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5480" windowHeight="11640" activeTab="1"/>
  </bookViews>
  <sheets>
    <sheet name="User's Guide" sheetId="1" r:id="rId1"/>
    <sheet name="Project Description" sheetId="2" r:id="rId2"/>
    <sheet name="Project ERR" sheetId="3" r:id="rId3"/>
    <sheet name="Subproject ERRs" sheetId="4" r:id="rId4"/>
    <sheet name="Roads and bridges transposed" sheetId="5" state="hidden" r:id="rId5"/>
  </sheets>
  <definedNames/>
  <calcPr fullCalcOnLoad="1"/>
</workbook>
</file>

<file path=xl/sharedStrings.xml><?xml version="1.0" encoding="utf-8"?>
<sst xmlns="http://schemas.openxmlformats.org/spreadsheetml/2006/main" count="128" uniqueCount="84">
  <si>
    <t>1. Roads with significant initial traffic levels, for which a cost-benefit analysis is conducted based on vehicle operating cost (VOC) savings. For these roads, the main objective is to reduce the cost of travel, as expressed in VOC savings. Economic cost-benefit analysis utilizing VOC benefits was carried out on three roads, using the Roads Economic Decision Model (RED), developed by the World Bank for low volume roads. All road projects yield at least 12% internal rate of return.</t>
  </si>
  <si>
    <t>2. Bridges, for which a cost-benefit analysis is conducted based on quantified non-VOC economic benefits. For these investments, the main objective is to remove a critical transport constraint that has an effect on economic activity. Since the main justification for the two bridge projects is to address a cut off in transport service, benefits were quantified in terms of lost revenue due to a transport blockage. This was done by estimating the number of blockage days per year and the lost revenue of transport passengers and drivers, assuming that 25% of travel is work-related. Results indicate a strong economic rate of return based on these assumptions for both sets of bridge investments. In both cases, sensitivity tests involving increasing costs and decreasing benefits still yield rates of return of 12% or higher.</t>
  </si>
  <si>
    <t>3. Rural access and “social” roads, for which a cost-effectiveness approach is undertaken. For these roads, the main objective is to ensure basic minimum access requirements to isolated populations to social and administrative services and market opportunities. Least-cost technical solutions were sought to achieve the objectives of increased mobility to rural populations. The cobblestone option is judged the least cost alternative (as compared to asphalt and double surface treatment), in view of technical factors (mountainous terrain, risk of washouts, high routine maintenance costs).</t>
  </si>
  <si>
    <t xml:space="preserve">In this context, the project roads have been divided into three categories for purposes of economic analysis:
</t>
  </si>
  <si>
    <t>Gives a summary of the project, a list of components, and states the economic rationale for the project.</t>
  </si>
  <si>
    <t xml:space="preserve">You can find more information on HDM-IV and download the program here. </t>
  </si>
  <si>
    <t>Year</t>
  </si>
  <si>
    <t>Benefits road 1</t>
  </si>
  <si>
    <t>Benefits road 2</t>
  </si>
  <si>
    <t>Benefits road 4</t>
  </si>
  <si>
    <t>Benefits bridge 11</t>
  </si>
  <si>
    <t>Benefits bridge 12</t>
  </si>
  <si>
    <t>Total benefit flows roads</t>
  </si>
  <si>
    <t>TOTAL BENEFITS AG 0504</t>
  </si>
  <si>
    <t>Total benefits port</t>
  </si>
  <si>
    <t>millions ECV</t>
  </si>
  <si>
    <t>dollars US</t>
  </si>
  <si>
    <t>Absolute poverty</t>
  </si>
  <si>
    <t>Total benefits</t>
  </si>
  <si>
    <t>Cumulative benefits</t>
  </si>
  <si>
    <t xml:space="preserve">Projected GDP </t>
  </si>
  <si>
    <t>% of Projected GDP</t>
  </si>
  <si>
    <t>npv</t>
  </si>
  <si>
    <t>Base case</t>
  </si>
  <si>
    <t>Cape Verde: Roads and Bridges</t>
  </si>
  <si>
    <t>Roads</t>
  </si>
  <si>
    <t xml:space="preserve">TOTAL Costs/Benefits </t>
  </si>
  <si>
    <t>Costs+20 ben -20</t>
  </si>
  <si>
    <t>Total</t>
  </si>
  <si>
    <t>Benefit Road 1</t>
  </si>
  <si>
    <t>Benefit Road 2</t>
  </si>
  <si>
    <t>Benefit Road 4</t>
  </si>
  <si>
    <t>Benefit Bridge 11</t>
  </si>
  <si>
    <t>Benefit Bridge 12</t>
  </si>
  <si>
    <t>Benefit Road 3 and 5</t>
  </si>
  <si>
    <t>Cost</t>
  </si>
  <si>
    <t>Admin Cost</t>
  </si>
  <si>
    <t>CV Contribution</t>
  </si>
  <si>
    <t>Costs - 20 Ben +20</t>
  </si>
  <si>
    <t>Cape Verde: ERR Summary</t>
  </si>
  <si>
    <t>Costs +20%, Benefits -20%</t>
  </si>
  <si>
    <t>Costs -20%, Benefits +20%</t>
  </si>
  <si>
    <t>Net benefits
Road 1</t>
  </si>
  <si>
    <t>Net benefits
Road 2</t>
  </si>
  <si>
    <t>Net benefits
Road 4</t>
  </si>
  <si>
    <t>Net benefits
Bridge 11</t>
  </si>
  <si>
    <t>Net benefits
Bridge 12</t>
  </si>
  <si>
    <t>Total net benefit flows</t>
  </si>
  <si>
    <t>20-year ERR</t>
  </si>
  <si>
    <t>Project ERR</t>
  </si>
  <si>
    <t>Subproject ERRs</t>
  </si>
  <si>
    <t>Project name</t>
  </si>
  <si>
    <t>Roads and Bridges Activity</t>
  </si>
  <si>
    <t>Amount of MCC funds</t>
  </si>
  <si>
    <t>Estimated ERR and time horizon</t>
  </si>
  <si>
    <t>Benefit streams included in ERR</t>
  </si>
  <si>
    <t>Costs included in ERR (other than costs borne by MCC)</t>
  </si>
  <si>
    <t>Project description</t>
  </si>
  <si>
    <t xml:space="preserve">This project is designed to improve basic access and mobility on Santiago Island. Priority improvements to the Santiago Island network will include: (i) rehabilitation of two heavily traveled east-west axes, while serving agricultural communities along their alignments; and (ii) rehabilitation/reconstruction of three rural roads linking isolated agricultural and fishing communities to the main network. Improvement to the Santo Antão Island network involves ensuring all weather access to two major towns, located at the confluence of rivers and cut off during heavy rains. Both towns are located on the island’s primary network, which has a minimum level of service, and the absence of these bridges prevents connectivity to significant levels of traffic. </t>
  </si>
  <si>
    <t>Monetized time savings</t>
  </si>
  <si>
    <t>Reduced vehicle operating costs</t>
  </si>
  <si>
    <t>Lost income due to impassable routes</t>
  </si>
  <si>
    <t>N/A</t>
  </si>
  <si>
    <t>Spreadsheet version</t>
  </si>
  <si>
    <t>Date</t>
  </si>
  <si>
    <t>Investment memo, final</t>
  </si>
  <si>
    <t>Worksheets in this file</t>
  </si>
  <si>
    <t>It details the economic costs and benefits associated with each road and bridge project and calculates the individual ERRs over a 20-year time period.</t>
  </si>
  <si>
    <t xml:space="preserve">The worksheet summarizes the cumulative costs and benefits associated with MCC investments. Benefits are summarized by year, and the associated ERR is computed over a 20-year time period.  </t>
  </si>
  <si>
    <t>Project Description</t>
  </si>
  <si>
    <t>Summary</t>
  </si>
  <si>
    <t>Components</t>
  </si>
  <si>
    <t>Economic Rationale</t>
  </si>
  <si>
    <t>Cape Verde consists of nine inhabited islands that are not linked by an efficient transportation system. This lack of transportation infrastructure hinders the development of a common national market, increases the costs of production, and impedes the movement of people and goods between islands. MCC will provide up to approximately $78.7 million for road and small bridge investments to ensure improved transportation links to social services, employment opportunities, local markets, and ports and airports; and for improvements to the Port of Praia, which handles half of the island nation's cargo . The roads and bridges in the Infrastructure Project will impact over 60,000 people on the islands of Santiago and Santo Antão. The improvements in the Port of Praia to be funded by MCC, combined with the concurrent privatization of port services, are expected increase the efficiency of the port and to prevent a bottleneck to growth in commerce, in particular in the tourism industry.</t>
  </si>
  <si>
    <t xml:space="preserve">The analysis used the Highway Development Management (HDM)-IV model, which was originally developed by the World Bank and is now widely used in highway planning.  HDM estimates the total costs for different scenarios in road construction, maintenance and use so that users can determine the best strategy for road projects.  </t>
  </si>
  <si>
    <t>Note: Calculations of the net benefit streams were done as part of a World Bank analysis of these roads; therefore, a further breakdown of the benefits and costs is not included herein.</t>
  </si>
  <si>
    <t>The following pages outline the net benefit streams for the first two categories, as the rural access and "social" roads were not analyzed from a cost-benefit perspective.  Calculations of the net benefit streams were done as part of a World Bank analysis of the same roads; therefore, a further breakdown of the benefits and costs is not included herein.</t>
  </si>
  <si>
    <t>The principal intended beneficiaries of the Roads and Bridges Activity are rural and urban populations in the two islands where the interventions occur. These include Cape Verdean families, farmers, businesses, non-governmental organizations, and social-service providers and communities located along the roads or bridges proposed for improvement and construction. Improved access over continuous island road networks is viewed as a prerequisite and facilitator of all other development and poverty reduction programs on these islands. Other direct benefits of the Roads and Bridges Activity investments include increased employment for men and women, particularly where cobblestone technologies will be applied. Stakeholders include local contractors, design engineers, consultants, transport service providers and traders, all of whom benefit directly from increased business opportunities resulting from the implementation and ongoing maintenance of the overall Roads and Bridges Activity.</t>
  </si>
  <si>
    <t>The objective of the Roads and Bridges Project is to achieve basic connectivity and improve mobility on two targeted island networks. To achieve this objective, MCC funding will be used to fund the following activities:</t>
  </si>
  <si>
    <t>Last updated:  5/9/2005</t>
  </si>
  <si>
    <t>1. Rehabilitate two heavily traveled east-west axes on Santiago.</t>
  </si>
  <si>
    <t>2. Reconstruct three rural roads linking isolated agricultural and fishing communities to the main network.</t>
  </si>
  <si>
    <t>3. Ensure all-weather and reliable access to two major towns by constructing a series of bridges in Santo Antão.</t>
  </si>
  <si>
    <t>at least 13% over 20 years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</si>
</sst>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_(* #,##0_);_(* \(#,##0\);_(* &quot;-&quot;??_);_(@_)"/>
    <numFmt numFmtId="167" formatCode="&quot;Yes&quot;;&quot;Yes&quot;;&quot;No&quot;"/>
    <numFmt numFmtId="168" formatCode="&quot;True&quot;;&quot;True&quot;;&quot;False&quot;"/>
    <numFmt numFmtId="169" formatCode="&quot;On&quot;;&quot;On&quot;;&quot;Off&quot;"/>
    <numFmt numFmtId="170" formatCode="[$€-2]\ #,##0.00_);[Red]\([$€-2]\ #,##0.00\)"/>
  </numFmts>
  <fonts count="13">
    <font>
      <sz val="10"/>
      <name val="Arial"/>
      <family val="0"/>
    </font>
    <font>
      <sz val="8"/>
      <name val="Arial"/>
      <family val="0"/>
    </font>
    <font>
      <sz val="9.5"/>
      <color indexed="8"/>
      <name val="Arial"/>
      <family val="2"/>
    </font>
    <font>
      <sz val="10"/>
      <color indexed="8"/>
      <name val="Arial"/>
      <family val="2"/>
    </font>
    <font>
      <b/>
      <sz val="10"/>
      <name val="Arial"/>
      <family val="2"/>
    </font>
    <font>
      <b/>
      <sz val="14"/>
      <name val="Arial"/>
      <family val="2"/>
    </font>
    <font>
      <b/>
      <sz val="9.5"/>
      <color indexed="8"/>
      <name val="Arial"/>
      <family val="2"/>
    </font>
    <font>
      <u val="single"/>
      <sz val="10"/>
      <color indexed="12"/>
      <name val="Arial"/>
      <family val="0"/>
    </font>
    <font>
      <u val="single"/>
      <sz val="10"/>
      <color indexed="36"/>
      <name val="Arial"/>
      <family val="0"/>
    </font>
    <font>
      <b/>
      <sz val="16"/>
      <name val="Arial"/>
      <family val="2"/>
    </font>
    <font>
      <sz val="14"/>
      <name val="Arial"/>
      <family val="0"/>
    </font>
    <font>
      <sz val="8"/>
      <color indexed="23"/>
      <name val="Arial"/>
      <family val="0"/>
    </font>
    <font>
      <sz val="8"/>
      <color indexed="17"/>
      <name val="Arial"/>
      <family val="0"/>
    </font>
  </fonts>
  <fills count="4">
    <fill>
      <patternFill/>
    </fill>
    <fill>
      <patternFill patternType="gray125"/>
    </fill>
    <fill>
      <patternFill patternType="solid">
        <fgColor indexed="47"/>
        <bgColor indexed="64"/>
      </patternFill>
    </fill>
    <fill>
      <patternFill patternType="solid">
        <fgColor indexed="43"/>
        <bgColor indexed="64"/>
      </patternFill>
    </fill>
  </fills>
  <borders count="23">
    <border>
      <left/>
      <right/>
      <top/>
      <bottom/>
      <diagonal/>
    </border>
    <border>
      <left style="medium">
        <color indexed="8"/>
      </left>
      <right>
        <color indexed="63"/>
      </right>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double"/>
      <top>
        <color indexed="63"/>
      </top>
      <bottom>
        <color indexed="63"/>
      </bottom>
    </border>
    <border>
      <left>
        <color indexed="63"/>
      </left>
      <right style="double"/>
      <top style="double"/>
      <bottom style="double"/>
    </border>
    <border>
      <left>
        <color indexed="63"/>
      </left>
      <right style="double"/>
      <top style="thin"/>
      <bottom style="thin"/>
    </border>
    <border>
      <left>
        <color indexed="63"/>
      </left>
      <right style="double"/>
      <top style="thin"/>
      <bottom>
        <color indexed="63"/>
      </bottom>
    </border>
    <border>
      <left>
        <color indexed="63"/>
      </left>
      <right style="double"/>
      <top>
        <color indexed="63"/>
      </top>
      <bottom style="thin"/>
    </border>
    <border>
      <left style="double"/>
      <right style="thin"/>
      <top style="double"/>
      <bottom style="double"/>
    </border>
    <border>
      <left style="double"/>
      <right style="thin"/>
      <top>
        <color indexed="63"/>
      </top>
      <bottom>
        <color indexed="63"/>
      </bottom>
    </border>
    <border>
      <left style="double"/>
      <right style="thin"/>
      <top style="thin"/>
      <bottom>
        <color indexed="63"/>
      </bottom>
    </border>
    <border>
      <left style="double"/>
      <right style="thin"/>
      <top style="thin"/>
      <bottom style="thin"/>
    </border>
    <border>
      <left style="double"/>
      <right style="thin"/>
      <top>
        <color indexed="63"/>
      </top>
      <bottom style="thin"/>
    </border>
    <border>
      <left style="thin"/>
      <right style="double"/>
      <top style="thin"/>
      <bottom style="thin"/>
    </border>
    <border>
      <left style="thin"/>
      <right style="double"/>
      <top style="double"/>
      <bottom style="thin"/>
    </border>
    <border>
      <left style="thin"/>
      <right style="double"/>
      <top>
        <color indexed="63"/>
      </top>
      <bottom>
        <color indexed="63"/>
      </bottom>
    </border>
    <border>
      <left>
        <color indexed="63"/>
      </left>
      <right style="double"/>
      <top>
        <color indexed="63"/>
      </top>
      <bottom style="double"/>
    </border>
    <border>
      <left style="double"/>
      <right style="thin"/>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1" fontId="0" fillId="0" borderId="0" xfId="0" applyNumberFormat="1" applyAlignment="1">
      <alignment/>
    </xf>
    <xf numFmtId="0" fontId="2" fillId="0" borderId="1" xfId="0" applyFont="1" applyBorder="1" applyAlignment="1">
      <alignment horizontal="right" vertical="top" wrapText="1"/>
    </xf>
    <xf numFmtId="1" fontId="3" fillId="0" borderId="0" xfId="0" applyNumberFormat="1" applyFont="1" applyBorder="1" applyAlignment="1">
      <alignment horizontal="right" vertical="top" wrapText="1"/>
    </xf>
    <xf numFmtId="1" fontId="3" fillId="0" borderId="0" xfId="0" applyNumberFormat="1" applyFont="1" applyBorder="1" applyAlignment="1">
      <alignment horizontal="right" wrapText="1"/>
    </xf>
    <xf numFmtId="0" fontId="0" fillId="0" borderId="0" xfId="0" applyNumberFormat="1" applyAlignment="1">
      <alignment/>
    </xf>
    <xf numFmtId="9" fontId="0" fillId="0" borderId="0" xfId="0" applyNumberFormat="1" applyAlignment="1">
      <alignment/>
    </xf>
    <xf numFmtId="164" fontId="0" fillId="0" borderId="0" xfId="0" applyNumberFormat="1" applyAlignment="1">
      <alignment/>
    </xf>
    <xf numFmtId="165" fontId="0" fillId="0" borderId="0" xfId="0" applyNumberFormat="1" applyAlignment="1">
      <alignment/>
    </xf>
    <xf numFmtId="10" fontId="0" fillId="0" borderId="0" xfId="0" applyNumberFormat="1" applyAlignment="1">
      <alignment/>
    </xf>
    <xf numFmtId="0" fontId="0" fillId="0" borderId="0" xfId="0" applyAlignment="1">
      <alignment wrapText="1"/>
    </xf>
    <xf numFmtId="0" fontId="4" fillId="0" borderId="0" xfId="0" applyFont="1" applyAlignment="1">
      <alignment/>
    </xf>
    <xf numFmtId="0" fontId="4" fillId="0" borderId="0" xfId="0" applyFont="1" applyAlignment="1">
      <alignment horizontal="center" vertical="center"/>
    </xf>
    <xf numFmtId="0" fontId="5" fillId="0" borderId="0" xfId="0" applyFont="1" applyAlignment="1">
      <alignment/>
    </xf>
    <xf numFmtId="0" fontId="4" fillId="2" borderId="0" xfId="0" applyFont="1" applyFill="1" applyAlignment="1">
      <alignment/>
    </xf>
    <xf numFmtId="0" fontId="0" fillId="2" borderId="0" xfId="0" applyFill="1" applyAlignment="1">
      <alignment/>
    </xf>
    <xf numFmtId="9" fontId="0" fillId="2" borderId="0" xfId="0" applyNumberFormat="1" applyFill="1" applyAlignment="1">
      <alignment/>
    </xf>
    <xf numFmtId="10" fontId="0" fillId="2" borderId="0" xfId="0" applyNumberFormat="1" applyFill="1" applyAlignment="1">
      <alignment/>
    </xf>
    <xf numFmtId="0" fontId="0" fillId="0" borderId="0" xfId="0" applyFont="1" applyFill="1" applyAlignment="1">
      <alignment/>
    </xf>
    <xf numFmtId="3" fontId="0" fillId="0" borderId="0" xfId="0" applyNumberFormat="1" applyAlignment="1">
      <alignment/>
    </xf>
    <xf numFmtId="166" fontId="0" fillId="0" borderId="0" xfId="15" applyNumberFormat="1" applyAlignment="1">
      <alignment/>
    </xf>
    <xf numFmtId="0" fontId="0" fillId="0" borderId="0" xfId="0" applyFill="1" applyAlignment="1">
      <alignment/>
    </xf>
    <xf numFmtId="0" fontId="4" fillId="0" borderId="0" xfId="0" applyFont="1" applyAlignment="1">
      <alignment horizontal="center" vertical="center" wrapText="1"/>
    </xf>
    <xf numFmtId="9" fontId="4" fillId="0" borderId="0" xfId="0" applyNumberFormat="1" applyFont="1" applyAlignment="1">
      <alignment/>
    </xf>
    <xf numFmtId="8" fontId="4" fillId="0" borderId="0" xfId="0" applyNumberFormat="1" applyFont="1" applyAlignment="1">
      <alignment/>
    </xf>
    <xf numFmtId="0" fontId="0" fillId="0" borderId="0" xfId="0" applyFont="1" applyAlignment="1">
      <alignment/>
    </xf>
    <xf numFmtId="0" fontId="4" fillId="2" borderId="0" xfId="0" applyFont="1" applyFill="1" applyBorder="1" applyAlignment="1">
      <alignment/>
    </xf>
    <xf numFmtId="0" fontId="6" fillId="2" borderId="0" xfId="0" applyFont="1" applyFill="1" applyBorder="1" applyAlignment="1">
      <alignment horizontal="right" vertical="top" wrapText="1"/>
    </xf>
    <xf numFmtId="0" fontId="4" fillId="0" borderId="2" xfId="0" applyFont="1" applyBorder="1" applyAlignment="1">
      <alignment/>
    </xf>
    <xf numFmtId="0" fontId="4" fillId="0" borderId="3" xfId="0" applyFont="1" applyBorder="1" applyAlignment="1">
      <alignment/>
    </xf>
    <xf numFmtId="0" fontId="4" fillId="0" borderId="4" xfId="0" applyFont="1" applyBorder="1" applyAlignment="1">
      <alignment/>
    </xf>
    <xf numFmtId="165" fontId="4" fillId="3" borderId="5" xfId="0" applyNumberFormat="1" applyFont="1" applyFill="1" applyBorder="1" applyAlignment="1">
      <alignment/>
    </xf>
    <xf numFmtId="165" fontId="4" fillId="3" borderId="6" xfId="0" applyNumberFormat="1" applyFont="1" applyFill="1" applyBorder="1" applyAlignment="1">
      <alignment/>
    </xf>
    <xf numFmtId="165" fontId="4" fillId="3" borderId="7" xfId="0" applyNumberFormat="1" applyFont="1" applyFill="1" applyBorder="1" applyAlignment="1">
      <alignment/>
    </xf>
    <xf numFmtId="0" fontId="0" fillId="0" borderId="8" xfId="0" applyFont="1" applyBorder="1" applyAlignment="1">
      <alignment vertical="top" wrapText="1"/>
    </xf>
    <xf numFmtId="0" fontId="4" fillId="0" borderId="9" xfId="0" applyFont="1" applyBorder="1" applyAlignment="1">
      <alignment horizontal="center" vertical="top" wrapText="1"/>
    </xf>
    <xf numFmtId="0" fontId="0" fillId="0" borderId="8" xfId="0" applyBorder="1" applyAlignment="1">
      <alignment wrapText="1"/>
    </xf>
    <xf numFmtId="14" fontId="0" fillId="0" borderId="8" xfId="0" applyNumberFormat="1" applyFont="1" applyBorder="1" applyAlignment="1">
      <alignment horizontal="left" vertical="top" wrapText="1"/>
    </xf>
    <xf numFmtId="6" fontId="0" fillId="0" borderId="10" xfId="0" applyNumberFormat="1" applyFont="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vertical="top" wrapText="1"/>
    </xf>
    <xf numFmtId="0" fontId="0" fillId="0" borderId="12" xfId="0" applyFont="1" applyBorder="1" applyAlignment="1">
      <alignment vertical="top" wrapText="1"/>
    </xf>
    <xf numFmtId="0" fontId="0" fillId="0" borderId="10" xfId="0" applyFont="1" applyBorder="1" applyAlignment="1">
      <alignment vertical="top" wrapText="1"/>
    </xf>
    <xf numFmtId="0" fontId="0" fillId="0" borderId="8" xfId="0" applyNumberFormat="1" applyBorder="1" applyAlignment="1">
      <alignment wrapText="1"/>
    </xf>
    <xf numFmtId="0" fontId="0" fillId="0" borderId="13" xfId="0" applyFont="1" applyBorder="1" applyAlignment="1">
      <alignment vertical="top"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7" fillId="0" borderId="8" xfId="20" applyFill="1" applyBorder="1" applyAlignment="1">
      <alignment vertical="top" wrapText="1"/>
    </xf>
    <xf numFmtId="0" fontId="7" fillId="0" borderId="8" xfId="20" applyBorder="1" applyAlignment="1">
      <alignment wrapText="1"/>
    </xf>
    <xf numFmtId="0" fontId="0" fillId="0" borderId="18" xfId="0" applyFont="1" applyBorder="1" applyAlignment="1">
      <alignment vertical="top" wrapText="1"/>
    </xf>
    <xf numFmtId="0" fontId="0" fillId="0" borderId="19" xfId="0" applyFont="1" applyBorder="1" applyAlignment="1">
      <alignment horizontal="left" vertical="top" wrapText="1"/>
    </xf>
    <xf numFmtId="0" fontId="0" fillId="0" borderId="8" xfId="0" applyFont="1" applyBorder="1" applyAlignment="1">
      <alignment horizontal="left" vertical="top" wrapText="1"/>
    </xf>
    <xf numFmtId="0" fontId="0" fillId="0" borderId="20" xfId="0" applyFont="1" applyBorder="1" applyAlignment="1">
      <alignment vertical="top" wrapText="1"/>
    </xf>
    <xf numFmtId="0" fontId="7" fillId="0" borderId="8" xfId="20" applyBorder="1" applyAlignment="1">
      <alignment horizontal="left" vertical="top" wrapText="1"/>
    </xf>
    <xf numFmtId="0" fontId="0" fillId="0" borderId="0" xfId="0" applyBorder="1" applyAlignment="1">
      <alignment horizontal="left" vertical="top"/>
    </xf>
    <xf numFmtId="0" fontId="11" fillId="0" borderId="21" xfId="0" applyFont="1" applyBorder="1" applyAlignment="1">
      <alignment wrapText="1"/>
    </xf>
    <xf numFmtId="0" fontId="0" fillId="0" borderId="0" xfId="0" applyBorder="1" applyAlignment="1">
      <alignment/>
    </xf>
    <xf numFmtId="0" fontId="10" fillId="0" borderId="0" xfId="0" applyFont="1" applyBorder="1" applyAlignment="1">
      <alignment/>
    </xf>
    <xf numFmtId="0" fontId="0" fillId="0" borderId="0" xfId="0" applyBorder="1" applyAlignment="1">
      <alignment wrapText="1"/>
    </xf>
    <xf numFmtId="0" fontId="0" fillId="0" borderId="0" xfId="0" applyNumberFormat="1" applyBorder="1" applyAlignment="1">
      <alignment wrapText="1"/>
    </xf>
    <xf numFmtId="0" fontId="0" fillId="0" borderId="0" xfId="0" applyNumberFormat="1" applyBorder="1" applyAlignment="1">
      <alignment vertical="top" wrapText="1"/>
    </xf>
    <xf numFmtId="0" fontId="0" fillId="0" borderId="0" xfId="0" applyFill="1" applyBorder="1" applyAlignment="1">
      <alignment vertical="top" wrapText="1"/>
    </xf>
    <xf numFmtId="0" fontId="7" fillId="0" borderId="0" xfId="20" applyNumberFormat="1" applyFont="1" applyFill="1" applyBorder="1" applyAlignment="1">
      <alignment wrapText="1"/>
    </xf>
    <xf numFmtId="0" fontId="9" fillId="0" borderId="0" xfId="0" applyFont="1" applyBorder="1" applyAlignment="1">
      <alignment/>
    </xf>
    <xf numFmtId="0" fontId="4" fillId="0" borderId="0" xfId="0" applyFont="1" applyBorder="1" applyAlignment="1">
      <alignment/>
    </xf>
    <xf numFmtId="0" fontId="12" fillId="0" borderId="0" xfId="0" applyFont="1" applyAlignment="1">
      <alignment horizontal="right"/>
    </xf>
    <xf numFmtId="14" fontId="12" fillId="0" borderId="0" xfId="0" applyNumberFormat="1" applyFont="1" applyBorder="1" applyAlignment="1">
      <alignment horizontal="right"/>
    </xf>
    <xf numFmtId="0" fontId="0" fillId="0" borderId="15" xfId="0" applyFont="1" applyBorder="1" applyAlignment="1">
      <alignment horizontal="left" vertical="center" wrapText="1"/>
    </xf>
    <xf numFmtId="0" fontId="0" fillId="0" borderId="14" xfId="0" applyFont="1" applyBorder="1" applyAlignment="1">
      <alignment horizontal="left" vertical="center" wrapText="1"/>
    </xf>
    <xf numFmtId="0" fontId="0" fillId="0" borderId="17" xfId="0" applyFont="1" applyBorder="1" applyAlignment="1">
      <alignment horizontal="left" vertical="center" wrapText="1"/>
    </xf>
    <xf numFmtId="0" fontId="9" fillId="0" borderId="0" xfId="0" applyFont="1" applyAlignment="1">
      <alignment horizontal="center" vertical="center"/>
    </xf>
    <xf numFmtId="0" fontId="0" fillId="0" borderId="15"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0" xfId="0"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85725</xdr:rowOff>
    </xdr:from>
    <xdr:to>
      <xdr:col>1</xdr:col>
      <xdr:colOff>19050</xdr:colOff>
      <xdr:row>5</xdr:row>
      <xdr:rowOff>19050</xdr:rowOff>
    </xdr:to>
    <xdr:pic>
      <xdr:nvPicPr>
        <xdr:cNvPr id="1" name="Picture 2"/>
        <xdr:cNvPicPr preferRelativeResize="1">
          <a:picLocks noChangeAspect="1"/>
        </xdr:cNvPicPr>
      </xdr:nvPicPr>
      <xdr:blipFill>
        <a:blip r:embed="rId1"/>
        <a:stretch>
          <a:fillRect/>
        </a:stretch>
      </xdr:blipFill>
      <xdr:spPr>
        <a:xfrm>
          <a:off x="38100" y="85725"/>
          <a:ext cx="26193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24</xdr:row>
      <xdr:rowOff>19050</xdr:rowOff>
    </xdr:from>
    <xdr:to>
      <xdr:col>1</xdr:col>
      <xdr:colOff>2190750</xdr:colOff>
      <xdr:row>25</xdr:row>
      <xdr:rowOff>9525</xdr:rowOff>
    </xdr:to>
    <xdr:pic>
      <xdr:nvPicPr>
        <xdr:cNvPr id="1" name="Picture 1"/>
        <xdr:cNvPicPr preferRelativeResize="1">
          <a:picLocks noChangeAspect="1"/>
        </xdr:cNvPicPr>
      </xdr:nvPicPr>
      <xdr:blipFill>
        <a:blip r:embed="rId1"/>
        <a:stretch>
          <a:fillRect/>
        </a:stretch>
      </xdr:blipFill>
      <xdr:spPr>
        <a:xfrm>
          <a:off x="361950" y="10077450"/>
          <a:ext cx="2162175"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hdm-ims.com/hdm4.ht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26"/>
  <sheetViews>
    <sheetView showGridLines="0" workbookViewId="0" topLeftCell="A1">
      <selection activeCell="B18" sqref="B18"/>
    </sheetView>
  </sheetViews>
  <sheetFormatPr defaultColWidth="9.140625" defaultRowHeight="12.75"/>
  <cols>
    <col min="1" max="1" width="39.57421875" style="0" customWidth="1"/>
    <col min="2" max="2" width="106.421875" style="0" customWidth="1"/>
  </cols>
  <sheetData>
    <row r="1" ht="12.75">
      <c r="B1" s="67" t="s">
        <v>79</v>
      </c>
    </row>
    <row r="2" ht="20.25" customHeight="1">
      <c r="B2" s="72" t="s">
        <v>24</v>
      </c>
    </row>
    <row r="3" ht="12.75">
      <c r="B3" s="72"/>
    </row>
    <row r="4" ht="12.75">
      <c r="B4" s="72"/>
    </row>
    <row r="5" ht="12.75">
      <c r="B5" s="72"/>
    </row>
    <row r="6" ht="12.75">
      <c r="B6" s="72"/>
    </row>
    <row r="7" ht="13.5" thickBot="1"/>
    <row r="8" spans="1:2" ht="14.25" thickBot="1" thickTop="1">
      <c r="A8" s="44" t="s">
        <v>51</v>
      </c>
      <c r="B8" s="35" t="s">
        <v>52</v>
      </c>
    </row>
    <row r="9" spans="1:2" ht="13.5" thickTop="1">
      <c r="A9" s="45" t="s">
        <v>63</v>
      </c>
      <c r="B9" s="52" t="s">
        <v>65</v>
      </c>
    </row>
    <row r="10" spans="1:2" ht="12.75">
      <c r="A10" s="46" t="s">
        <v>64</v>
      </c>
      <c r="B10" s="37">
        <v>38481</v>
      </c>
    </row>
    <row r="11" spans="1:2" ht="12.75">
      <c r="A11" s="47" t="s">
        <v>53</v>
      </c>
      <c r="B11" s="38">
        <v>25020000</v>
      </c>
    </row>
    <row r="12" spans="1:2" ht="89.25">
      <c r="A12" s="48" t="s">
        <v>57</v>
      </c>
      <c r="B12" s="51" t="s">
        <v>58</v>
      </c>
    </row>
    <row r="13" spans="1:2" ht="12.75">
      <c r="A13" s="69" t="s">
        <v>55</v>
      </c>
      <c r="B13" s="40" t="s">
        <v>59</v>
      </c>
    </row>
    <row r="14" spans="1:2" ht="12.75">
      <c r="A14" s="70"/>
      <c r="B14" s="34" t="s">
        <v>60</v>
      </c>
    </row>
    <row r="15" spans="1:2" ht="12.75">
      <c r="A15" s="71"/>
      <c r="B15" s="41" t="s">
        <v>61</v>
      </c>
    </row>
    <row r="16" spans="1:2" ht="25.5">
      <c r="A16" s="47" t="s">
        <v>56</v>
      </c>
      <c r="B16" s="42" t="s">
        <v>62</v>
      </c>
    </row>
    <row r="17" spans="1:2" ht="12.75">
      <c r="A17" s="47" t="s">
        <v>54</v>
      </c>
      <c r="B17" s="39" t="s">
        <v>83</v>
      </c>
    </row>
    <row r="18" spans="1:2" ht="12.75">
      <c r="A18" s="73" t="s">
        <v>66</v>
      </c>
      <c r="B18" s="55" t="s">
        <v>69</v>
      </c>
    </row>
    <row r="19" spans="1:2" ht="12.75">
      <c r="A19" s="74"/>
      <c r="B19" s="54" t="s">
        <v>4</v>
      </c>
    </row>
    <row r="20" spans="1:2" ht="12.75">
      <c r="A20" s="74"/>
      <c r="B20" s="53"/>
    </row>
    <row r="21" spans="1:2" ht="12.75">
      <c r="A21" s="74"/>
      <c r="B21" s="49" t="s">
        <v>49</v>
      </c>
    </row>
    <row r="22" spans="1:2" ht="25.5">
      <c r="A22" s="74"/>
      <c r="B22" s="43" t="s">
        <v>68</v>
      </c>
    </row>
    <row r="23" spans="1:2" ht="12.75">
      <c r="A23" s="74"/>
      <c r="B23" s="36"/>
    </row>
    <row r="24" spans="1:2" ht="12.75">
      <c r="A24" s="74"/>
      <c r="B24" s="50" t="s">
        <v>50</v>
      </c>
    </row>
    <row r="25" spans="1:2" ht="25.5">
      <c r="A25" s="74"/>
      <c r="B25" s="43" t="s">
        <v>67</v>
      </c>
    </row>
    <row r="26" spans="1:2" ht="33.75" customHeight="1" thickBot="1">
      <c r="A26" s="75"/>
      <c r="B26" s="57" t="s">
        <v>75</v>
      </c>
    </row>
    <row r="27" ht="13.5" thickTop="1"/>
  </sheetData>
  <mergeCells count="3">
    <mergeCell ref="A13:A15"/>
    <mergeCell ref="B2:B6"/>
    <mergeCell ref="A18:A26"/>
  </mergeCells>
  <hyperlinks>
    <hyperlink ref="B21" location="'Project ERR'!A1" display="Project ERR"/>
    <hyperlink ref="B24" location="'Subproject ERRs'!A1" display="Subproject ERRs"/>
    <hyperlink ref="B18" location="'Project Description'!A1" display="Project Description"/>
  </hyperlinks>
  <printOptions/>
  <pageMargins left="0.75" right="0.75" top="1" bottom="1" header="0.5" footer="0.5"/>
  <pageSetup fitToHeight="1" fitToWidth="1" horizontalDpi="600" verticalDpi="600" orientation="landscape" scale="84" r:id="rId2"/>
  <drawing r:id="rId1"/>
</worksheet>
</file>

<file path=xl/worksheets/sheet2.xml><?xml version="1.0" encoding="utf-8"?>
<worksheet xmlns="http://schemas.openxmlformats.org/spreadsheetml/2006/main" xmlns:r="http://schemas.openxmlformats.org/officeDocument/2006/relationships">
  <dimension ref="A1:B25"/>
  <sheetViews>
    <sheetView showGridLines="0" tabSelected="1" workbookViewId="0" topLeftCell="A1">
      <selection activeCell="B13" sqref="B13"/>
    </sheetView>
  </sheetViews>
  <sheetFormatPr defaultColWidth="9.140625" defaultRowHeight="12.75"/>
  <cols>
    <col min="1" max="1" width="5.00390625" style="58" customWidth="1"/>
    <col min="2" max="2" width="114.28125" style="58" customWidth="1"/>
    <col min="3" max="16384" width="9.140625" style="58" customWidth="1"/>
  </cols>
  <sheetData>
    <row r="1" ht="20.25">
      <c r="B1" s="65" t="s">
        <v>24</v>
      </c>
    </row>
    <row r="3" ht="18">
      <c r="B3" s="59" t="s">
        <v>69</v>
      </c>
    </row>
    <row r="4" ht="24.75" customHeight="1">
      <c r="B4" s="66" t="s">
        <v>70</v>
      </c>
    </row>
    <row r="5" ht="6.75" customHeight="1"/>
    <row r="6" spans="1:2" ht="105" customHeight="1">
      <c r="A6" s="56"/>
      <c r="B6" s="60" t="s">
        <v>73</v>
      </c>
    </row>
    <row r="7" spans="1:2" ht="27" customHeight="1">
      <c r="A7" s="56"/>
      <c r="B7" s="66" t="s">
        <v>71</v>
      </c>
    </row>
    <row r="8" spans="1:2" ht="7.5" customHeight="1">
      <c r="A8" s="56"/>
      <c r="B8" s="60"/>
    </row>
    <row r="9" spans="1:2" ht="30.75" customHeight="1">
      <c r="A9" s="76"/>
      <c r="B9" s="61" t="s">
        <v>78</v>
      </c>
    </row>
    <row r="10" spans="1:2" ht="12.75">
      <c r="A10" s="76"/>
      <c r="B10" s="58" t="s">
        <v>80</v>
      </c>
    </row>
    <row r="11" spans="1:2" ht="14.25" customHeight="1">
      <c r="A11" s="76"/>
      <c r="B11" s="58" t="s">
        <v>81</v>
      </c>
    </row>
    <row r="12" spans="1:2" ht="15" customHeight="1">
      <c r="A12" s="76"/>
      <c r="B12" s="58" t="s">
        <v>82</v>
      </c>
    </row>
    <row r="13" spans="1:2" ht="28.5" customHeight="1">
      <c r="A13" s="56"/>
      <c r="B13" s="66" t="s">
        <v>72</v>
      </c>
    </row>
    <row r="14" ht="8.25" customHeight="1">
      <c r="A14" s="56"/>
    </row>
    <row r="15" spans="1:2" ht="114" customHeight="1">
      <c r="A15" s="76"/>
      <c r="B15" s="62" t="s">
        <v>77</v>
      </c>
    </row>
    <row r="16" spans="1:2" ht="18.75" customHeight="1">
      <c r="A16" s="76"/>
      <c r="B16" s="63" t="s">
        <v>3</v>
      </c>
    </row>
    <row r="17" spans="1:2" ht="50.25" customHeight="1">
      <c r="A17" s="76"/>
      <c r="B17" s="61" t="s">
        <v>0</v>
      </c>
    </row>
    <row r="18" spans="1:2" ht="81" customHeight="1">
      <c r="A18" s="76"/>
      <c r="B18" s="61" t="s">
        <v>1</v>
      </c>
    </row>
    <row r="19" spans="1:2" ht="70.5" customHeight="1">
      <c r="A19" s="76"/>
      <c r="B19" s="61" t="s">
        <v>2</v>
      </c>
    </row>
    <row r="20" spans="1:2" ht="44.25" customHeight="1">
      <c r="A20" s="76"/>
      <c r="B20" s="61" t="s">
        <v>76</v>
      </c>
    </row>
    <row r="21" spans="1:2" ht="41.25" customHeight="1">
      <c r="A21" s="76"/>
      <c r="B21" s="61" t="s">
        <v>74</v>
      </c>
    </row>
    <row r="22" spans="1:2" ht="15" customHeight="1">
      <c r="A22" s="76"/>
      <c r="B22" s="64" t="s">
        <v>5</v>
      </c>
    </row>
    <row r="25" ht="12.75">
      <c r="B25" s="68" t="s">
        <v>79</v>
      </c>
    </row>
  </sheetData>
  <mergeCells count="2">
    <mergeCell ref="A9:A12"/>
    <mergeCell ref="A15:A22"/>
  </mergeCells>
  <hyperlinks>
    <hyperlink ref="B22" r:id="rId1" display="You can find more information on HDM-4 and download the program here. "/>
  </hyperlinks>
  <printOptions/>
  <pageMargins left="0.75" right="0.75" top="1" bottom="1" header="0.5" footer="0.5"/>
  <pageSetup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dimension ref="A1:V22"/>
  <sheetViews>
    <sheetView workbookViewId="0" topLeftCell="A1">
      <selection activeCell="M1" sqref="M1"/>
    </sheetView>
  </sheetViews>
  <sheetFormatPr defaultColWidth="9.140625" defaultRowHeight="12.75"/>
  <cols>
    <col min="1" max="1" width="24.7109375" style="0" bestFit="1" customWidth="1"/>
    <col min="2" max="4" width="10.8515625" style="0" bestFit="1" customWidth="1"/>
    <col min="5" max="21" width="10.28125" style="0" bestFit="1" customWidth="1"/>
  </cols>
  <sheetData>
    <row r="1" spans="1:13" ht="18">
      <c r="A1" s="13" t="s">
        <v>39</v>
      </c>
      <c r="M1" s="68" t="s">
        <v>79</v>
      </c>
    </row>
    <row r="3" spans="1:2" ht="12.75">
      <c r="A3" s="28" t="s">
        <v>23</v>
      </c>
      <c r="B3" s="31">
        <f>U7</f>
        <v>0.1362015614793589</v>
      </c>
    </row>
    <row r="4" spans="1:2" ht="12.75">
      <c r="A4" s="29" t="s">
        <v>40</v>
      </c>
      <c r="B4" s="32">
        <f>V10</f>
        <v>0.06905561461116642</v>
      </c>
    </row>
    <row r="5" spans="1:2" ht="12.75">
      <c r="A5" s="30" t="s">
        <v>41</v>
      </c>
      <c r="B5" s="33">
        <f>V22</f>
        <v>0.17477693752358142</v>
      </c>
    </row>
    <row r="7" spans="1:21" ht="12.75">
      <c r="A7" s="14" t="s">
        <v>25</v>
      </c>
      <c r="B7" s="15"/>
      <c r="C7" s="15"/>
      <c r="D7" s="15"/>
      <c r="E7" s="15"/>
      <c r="F7" s="15"/>
      <c r="G7" s="15"/>
      <c r="H7" s="15"/>
      <c r="I7" s="15"/>
      <c r="J7" s="15"/>
      <c r="K7" s="16">
        <f>IRR(B9:K9)</f>
        <v>0.005998444300997624</v>
      </c>
      <c r="L7" s="15"/>
      <c r="M7" s="15"/>
      <c r="N7" s="15"/>
      <c r="O7" s="15"/>
      <c r="P7" s="16">
        <f>IRR(B9:P9)</f>
        <v>0.10704725324772962</v>
      </c>
      <c r="Q7" s="15"/>
      <c r="R7" s="15"/>
      <c r="S7" s="15"/>
      <c r="T7" s="15"/>
      <c r="U7" s="17">
        <f>IRR(B9:U9)</f>
        <v>0.1362015614793589</v>
      </c>
    </row>
    <row r="8" spans="1:21" s="21" customFormat="1" ht="12.75">
      <c r="A8" s="18" t="s">
        <v>6</v>
      </c>
      <c r="B8" s="21">
        <v>1</v>
      </c>
      <c r="C8" s="21">
        <v>2</v>
      </c>
      <c r="D8" s="21">
        <v>3</v>
      </c>
      <c r="E8" s="21">
        <v>4</v>
      </c>
      <c r="F8" s="21">
        <v>5</v>
      </c>
      <c r="G8" s="21">
        <v>6</v>
      </c>
      <c r="H8" s="21">
        <v>7</v>
      </c>
      <c r="I8" s="21">
        <v>8</v>
      </c>
      <c r="J8" s="21">
        <v>9</v>
      </c>
      <c r="K8" s="21">
        <v>10</v>
      </c>
      <c r="L8" s="21">
        <v>11</v>
      </c>
      <c r="M8" s="21">
        <v>12</v>
      </c>
      <c r="N8" s="21">
        <v>13</v>
      </c>
      <c r="O8" s="21">
        <v>14</v>
      </c>
      <c r="P8" s="21">
        <v>15</v>
      </c>
      <c r="Q8" s="21">
        <v>16</v>
      </c>
      <c r="R8" s="21">
        <v>17</v>
      </c>
      <c r="S8" s="21">
        <v>18</v>
      </c>
      <c r="T8" s="21">
        <v>19</v>
      </c>
      <c r="U8" s="21">
        <v>20</v>
      </c>
    </row>
    <row r="9" spans="1:21" ht="12.75">
      <c r="A9" s="18" t="s">
        <v>26</v>
      </c>
      <c r="B9" s="19">
        <f>C12+B13+B14+B15+B16-B19-B20</f>
        <v>-4167084.4698795183</v>
      </c>
      <c r="C9" s="19">
        <f aca="true" t="shared" si="0" ref="C9:U9">D12+C13+D14+E15+E16-C19-C20</f>
        <v>-5824283.722891566</v>
      </c>
      <c r="D9" s="19">
        <f t="shared" si="0"/>
        <v>-5845056.65060241</v>
      </c>
      <c r="E9" s="19">
        <f t="shared" si="0"/>
        <v>439955.1807228918</v>
      </c>
      <c r="F9" s="19">
        <f t="shared" si="0"/>
        <v>2139879.518072289</v>
      </c>
      <c r="G9" s="19">
        <f t="shared" si="0"/>
        <v>2349277.108433735</v>
      </c>
      <c r="H9" s="19">
        <f t="shared" si="0"/>
        <v>2568313.253012048</v>
      </c>
      <c r="I9" s="19">
        <f t="shared" si="0"/>
        <v>2753614.4578313255</v>
      </c>
      <c r="J9" s="19">
        <f t="shared" si="0"/>
        <v>2951927.710843373</v>
      </c>
      <c r="K9" s="19">
        <f t="shared" si="0"/>
        <v>3163975.9036144577</v>
      </c>
      <c r="L9" s="19">
        <f t="shared" si="0"/>
        <v>3390722.891566265</v>
      </c>
      <c r="M9" s="19">
        <f t="shared" si="0"/>
        <v>3621325.301204819</v>
      </c>
      <c r="N9" s="19">
        <f t="shared" si="0"/>
        <v>3867228.9156626505</v>
      </c>
      <c r="O9" s="19">
        <f t="shared" si="0"/>
        <v>4129759.0361445784</v>
      </c>
      <c r="P9" s="19">
        <f t="shared" si="0"/>
        <v>4409879.518072289</v>
      </c>
      <c r="Q9" s="19">
        <f t="shared" si="0"/>
        <v>4696265.0602409635</v>
      </c>
      <c r="R9" s="19">
        <f t="shared" si="0"/>
        <v>4935180.722891566</v>
      </c>
      <c r="S9" s="19">
        <f t="shared" si="0"/>
        <v>5186024.096385541</v>
      </c>
      <c r="T9" s="19">
        <f t="shared" si="0"/>
        <v>3543734.939759036</v>
      </c>
      <c r="U9" s="19">
        <f t="shared" si="0"/>
        <v>1564939.7590361445</v>
      </c>
    </row>
    <row r="10" spans="1:22" ht="12.75">
      <c r="A10" s="18" t="s">
        <v>27</v>
      </c>
      <c r="B10" s="19">
        <f>B11*0.8-B19*1.2-B20</f>
        <v>-5106217</v>
      </c>
      <c r="C10" s="19">
        <f aca="true" t="shared" si="1" ref="C10:U10">C11*0.8-C19*1.2-C20</f>
        <v>-8277392.156626506</v>
      </c>
      <c r="D10" s="19">
        <f t="shared" si="1"/>
        <v>-8185996.409638554</v>
      </c>
      <c r="E10" s="19">
        <f t="shared" si="1"/>
        <v>-366647.2289156625</v>
      </c>
      <c r="F10" s="19">
        <f t="shared" si="1"/>
        <v>1555951.8072289159</v>
      </c>
      <c r="G10" s="19">
        <f t="shared" si="1"/>
        <v>1709301.2048192774</v>
      </c>
      <c r="H10" s="19">
        <f t="shared" si="1"/>
        <v>1877108.4337349397</v>
      </c>
      <c r="I10" s="19">
        <f t="shared" si="1"/>
        <v>2035951.8072289159</v>
      </c>
      <c r="J10" s="19">
        <f t="shared" si="1"/>
        <v>2192771.0843373495</v>
      </c>
      <c r="K10" s="19">
        <f t="shared" si="1"/>
        <v>2350843.373493976</v>
      </c>
      <c r="L10" s="19">
        <f t="shared" si="1"/>
        <v>2519710.843373494</v>
      </c>
      <c r="M10" s="19">
        <f t="shared" si="1"/>
        <v>2700433.7349397596</v>
      </c>
      <c r="N10" s="19">
        <f t="shared" si="1"/>
        <v>2893783.1325301207</v>
      </c>
      <c r="O10" s="19">
        <f t="shared" si="1"/>
        <v>3090891.5662650606</v>
      </c>
      <c r="P10" s="19">
        <f t="shared" si="1"/>
        <v>3301108.4337349404</v>
      </c>
      <c r="Q10" s="19">
        <f t="shared" si="1"/>
        <v>3525783.132530121</v>
      </c>
      <c r="R10" s="19">
        <f t="shared" si="1"/>
        <v>3734457.831325302</v>
      </c>
      <c r="S10" s="19">
        <f t="shared" si="1"/>
        <v>3936867.469879518</v>
      </c>
      <c r="T10" s="19">
        <f t="shared" si="1"/>
        <v>4136963.855421687</v>
      </c>
      <c r="U10" s="19">
        <f t="shared" si="1"/>
        <v>4347277.108433735</v>
      </c>
      <c r="V10" s="6">
        <f>IRR(B10:U10)</f>
        <v>0.06905561461116642</v>
      </c>
    </row>
    <row r="11" spans="1:21" ht="12.75">
      <c r="A11" t="s">
        <v>28</v>
      </c>
      <c r="B11" s="20">
        <f>SUM(B12:B17)</f>
        <v>0</v>
      </c>
      <c r="C11" s="20">
        <f aca="true" t="shared" si="2" ref="C11:U11">SUM(C12:C17)</f>
        <v>609638.5542168674</v>
      </c>
      <c r="D11" s="20">
        <f t="shared" si="2"/>
        <v>1036746.9879518072</v>
      </c>
      <c r="E11" s="20">
        <f t="shared" si="2"/>
        <v>1770240.9638554216</v>
      </c>
      <c r="F11" s="20">
        <f t="shared" si="2"/>
        <v>1944939.7590361447</v>
      </c>
      <c r="G11" s="20">
        <f t="shared" si="2"/>
        <v>2136626.5060240966</v>
      </c>
      <c r="H11" s="20">
        <f t="shared" si="2"/>
        <v>2346385.5421686745</v>
      </c>
      <c r="I11" s="20">
        <f t="shared" si="2"/>
        <v>2544939.7590361447</v>
      </c>
      <c r="J11" s="20">
        <f t="shared" si="2"/>
        <v>2740963.8554216865</v>
      </c>
      <c r="K11" s="20">
        <f t="shared" si="2"/>
        <v>2938554.2168674697</v>
      </c>
      <c r="L11" s="20">
        <f t="shared" si="2"/>
        <v>3149638.5542168673</v>
      </c>
      <c r="M11" s="20">
        <f t="shared" si="2"/>
        <v>3375542.168674699</v>
      </c>
      <c r="N11" s="20">
        <f t="shared" si="2"/>
        <v>3617228.9156626505</v>
      </c>
      <c r="O11" s="20">
        <f t="shared" si="2"/>
        <v>3863614.4578313255</v>
      </c>
      <c r="P11" s="20">
        <f t="shared" si="2"/>
        <v>4126385.542168675</v>
      </c>
      <c r="Q11" s="20">
        <f t="shared" si="2"/>
        <v>4407228.915662651</v>
      </c>
      <c r="R11" s="20">
        <f t="shared" si="2"/>
        <v>4668072.289156627</v>
      </c>
      <c r="S11" s="20">
        <f t="shared" si="2"/>
        <v>4921084.337349397</v>
      </c>
      <c r="T11" s="20">
        <f t="shared" si="2"/>
        <v>5171204.819277109</v>
      </c>
      <c r="U11" s="20">
        <f t="shared" si="2"/>
        <v>5434096.385542168</v>
      </c>
    </row>
    <row r="12" spans="1:22" ht="12.75">
      <c r="A12" t="s">
        <v>29</v>
      </c>
      <c r="C12" s="1">
        <v>193132.53012048194</v>
      </c>
      <c r="D12" s="20">
        <v>214337.34939759035</v>
      </c>
      <c r="E12" s="20">
        <v>237710.843373494</v>
      </c>
      <c r="F12" s="20">
        <v>263373.4939759036</v>
      </c>
      <c r="G12" s="20">
        <v>291566.265060241</v>
      </c>
      <c r="H12" s="20">
        <v>322530.1204819277</v>
      </c>
      <c r="I12" s="20">
        <v>346506.0240963855</v>
      </c>
      <c r="J12" s="20">
        <v>372048.1927710843</v>
      </c>
      <c r="K12" s="20">
        <v>399397.5903614458</v>
      </c>
      <c r="L12" s="20">
        <v>428674.6987951807</v>
      </c>
      <c r="M12" s="20">
        <v>460000</v>
      </c>
      <c r="N12" s="20">
        <v>493493.9759036145</v>
      </c>
      <c r="O12" s="20">
        <v>529397.5903614458</v>
      </c>
      <c r="P12" s="20">
        <v>567710.843373494</v>
      </c>
      <c r="Q12" s="20">
        <v>608795.1807228916</v>
      </c>
      <c r="R12" s="20">
        <v>640240.9638554216</v>
      </c>
      <c r="S12" s="20">
        <v>673132.530120482</v>
      </c>
      <c r="T12" s="20">
        <v>707710.843373494</v>
      </c>
      <c r="U12" s="20">
        <v>744096.3855421686</v>
      </c>
      <c r="V12" s="20"/>
    </row>
    <row r="13" spans="1:22" ht="12.75">
      <c r="A13" t="s">
        <v>30</v>
      </c>
      <c r="C13" s="20">
        <v>416506.0240963855</v>
      </c>
      <c r="D13" s="20">
        <v>460722.8915662651</v>
      </c>
      <c r="E13" s="20">
        <v>509397.5903614458</v>
      </c>
      <c r="F13" s="20">
        <v>562771.0843373494</v>
      </c>
      <c r="G13" s="20">
        <v>621686.7469879518</v>
      </c>
      <c r="H13" s="20">
        <v>686265.0602409638</v>
      </c>
      <c r="I13" s="20">
        <v>736144.578313253</v>
      </c>
      <c r="J13" s="20">
        <v>789397.5903614457</v>
      </c>
      <c r="K13" s="20">
        <v>846506.0240963856</v>
      </c>
      <c r="L13" s="20">
        <v>907469.8795180722</v>
      </c>
      <c r="M13" s="20">
        <v>972771.0843373494</v>
      </c>
      <c r="N13" s="20">
        <v>1042650.6024096386</v>
      </c>
      <c r="O13" s="20">
        <v>1117469.8795180724</v>
      </c>
      <c r="P13" s="20">
        <v>1197349.3975903615</v>
      </c>
      <c r="Q13" s="20">
        <v>1283012.0481927712</v>
      </c>
      <c r="R13" s="20">
        <v>1348433.7349397591</v>
      </c>
      <c r="S13" s="20">
        <v>1417108.4337349397</v>
      </c>
      <c r="T13" s="20">
        <v>1489156.626506024</v>
      </c>
      <c r="U13" s="20">
        <v>1564939.7590361445</v>
      </c>
      <c r="V13" s="20"/>
    </row>
    <row r="14" spans="1:22" ht="12.75">
      <c r="A14" t="s">
        <v>31</v>
      </c>
      <c r="D14" s="20">
        <v>361686.7469879518</v>
      </c>
      <c r="E14" s="20">
        <v>400843.37349397596</v>
      </c>
      <c r="F14" s="20">
        <v>443734.9397590361</v>
      </c>
      <c r="G14" s="20">
        <v>491084.3373493976</v>
      </c>
      <c r="H14" s="20">
        <v>543132.530120482</v>
      </c>
      <c r="I14" s="20">
        <v>600361.4457831326</v>
      </c>
      <c r="J14" s="20">
        <v>644337.3493975904</v>
      </c>
      <c r="K14" s="20">
        <v>691566.265060241</v>
      </c>
      <c r="L14" s="20">
        <v>741927.7108433734</v>
      </c>
      <c r="M14" s="20">
        <v>795903.6144578314</v>
      </c>
      <c r="N14" s="20">
        <v>853734.9397590362</v>
      </c>
      <c r="O14" s="20">
        <v>915421.686746988</v>
      </c>
      <c r="P14" s="20">
        <v>981566.265060241</v>
      </c>
      <c r="Q14" s="20">
        <v>1052409.6385542168</v>
      </c>
      <c r="R14" s="20">
        <v>1128072.2891566264</v>
      </c>
      <c r="S14" s="20">
        <v>1185903.6144578313</v>
      </c>
      <c r="T14" s="20">
        <v>1246626.5060240964</v>
      </c>
      <c r="U14" s="20">
        <v>1310481.9277108433</v>
      </c>
      <c r="V14" s="20"/>
    </row>
    <row r="15" spans="1:22" ht="12.75">
      <c r="A15" t="s">
        <v>32</v>
      </c>
      <c r="E15" s="20">
        <v>339397.5903614458</v>
      </c>
      <c r="F15" s="20">
        <v>363493.9759036145</v>
      </c>
      <c r="G15" s="20">
        <v>389277.108433735</v>
      </c>
      <c r="H15" s="20">
        <v>416867.4698795181</v>
      </c>
      <c r="I15" s="20">
        <v>446265.0602409639</v>
      </c>
      <c r="J15" s="20">
        <v>477710.843373494</v>
      </c>
      <c r="K15" s="20">
        <v>511325.3012048193</v>
      </c>
      <c r="L15" s="20">
        <v>547228.9156626506</v>
      </c>
      <c r="M15" s="20">
        <v>585662.6506024096</v>
      </c>
      <c r="N15" s="20">
        <v>626626.5060240964</v>
      </c>
      <c r="O15" s="20">
        <v>658313.2530120482</v>
      </c>
      <c r="P15" s="20">
        <v>691566.265060241</v>
      </c>
      <c r="Q15" s="20">
        <v>726506.0240963856</v>
      </c>
      <c r="R15" s="20">
        <v>763132.530120482</v>
      </c>
      <c r="S15" s="20">
        <v>801445.78313253</v>
      </c>
      <c r="T15" s="20">
        <v>841807.2289156626</v>
      </c>
      <c r="U15" s="20">
        <v>884096.3855421686</v>
      </c>
      <c r="V15" s="20"/>
    </row>
    <row r="16" spans="1:22" ht="12.75">
      <c r="A16" t="s">
        <v>33</v>
      </c>
      <c r="E16" s="20">
        <v>282891.5662650602</v>
      </c>
      <c r="F16" s="20">
        <v>311566.265060241</v>
      </c>
      <c r="G16" s="20">
        <v>343012.0481927711</v>
      </c>
      <c r="H16" s="20">
        <v>377590.3614457831</v>
      </c>
      <c r="I16" s="20">
        <v>415662.6506024096</v>
      </c>
      <c r="J16" s="20">
        <v>457469.8795180723</v>
      </c>
      <c r="K16" s="20">
        <v>489759.0361445783</v>
      </c>
      <c r="L16" s="20">
        <v>524337.3493975904</v>
      </c>
      <c r="M16" s="20">
        <v>561204.8192771084</v>
      </c>
      <c r="N16" s="20">
        <v>600722.891566265</v>
      </c>
      <c r="O16" s="20">
        <v>643012.048192771</v>
      </c>
      <c r="P16" s="20">
        <v>688192.7710843374</v>
      </c>
      <c r="Q16" s="20">
        <v>736506.0240963856</v>
      </c>
      <c r="R16" s="20">
        <v>788192.7710843374</v>
      </c>
      <c r="S16" s="20">
        <v>843493.9759036144</v>
      </c>
      <c r="T16" s="20">
        <v>885903.6144578314</v>
      </c>
      <c r="U16" s="20">
        <v>930481.9277108434</v>
      </c>
      <c r="V16" s="20"/>
    </row>
    <row r="17" spans="1:21" ht="12.75">
      <c r="A17" t="s">
        <v>34</v>
      </c>
      <c r="E17" s="20"/>
      <c r="F17" s="20"/>
      <c r="G17" s="20"/>
      <c r="H17" s="20"/>
      <c r="I17" s="20"/>
      <c r="J17" s="20"/>
      <c r="K17" s="20"/>
      <c r="L17" s="20"/>
      <c r="M17" s="20"/>
      <c r="N17" s="20"/>
      <c r="O17" s="20"/>
      <c r="P17" s="20"/>
      <c r="Q17" s="20"/>
      <c r="R17" s="20"/>
      <c r="S17" s="20"/>
      <c r="T17" s="20"/>
      <c r="U17" s="20"/>
    </row>
    <row r="18" spans="5:21" ht="12.75">
      <c r="E18" s="20"/>
      <c r="F18" s="20"/>
      <c r="G18" s="20"/>
      <c r="H18" s="20"/>
      <c r="I18" s="20"/>
      <c r="J18" s="20"/>
      <c r="K18" s="20"/>
      <c r="L18" s="20"/>
      <c r="M18" s="20"/>
      <c r="N18" s="20"/>
      <c r="O18" s="20"/>
      <c r="P18" s="20"/>
      <c r="Q18" s="20"/>
      <c r="R18" s="20"/>
      <c r="S18" s="20"/>
      <c r="T18" s="20"/>
      <c r="U18" s="20"/>
    </row>
    <row r="19" spans="1:6" ht="12.75">
      <c r="A19" t="s">
        <v>35</v>
      </c>
      <c r="B19" s="19">
        <v>3730000</v>
      </c>
      <c r="C19" s="19">
        <v>6630000</v>
      </c>
      <c r="D19" s="19">
        <v>6980000</v>
      </c>
      <c r="E19" s="19">
        <v>1370000</v>
      </c>
      <c r="F19" s="19">
        <v>0</v>
      </c>
    </row>
    <row r="20" spans="1:6" ht="12.75">
      <c r="A20" t="s">
        <v>36</v>
      </c>
      <c r="B20" s="19">
        <v>630217</v>
      </c>
      <c r="C20" s="19">
        <v>809103</v>
      </c>
      <c r="D20" s="19">
        <v>639394</v>
      </c>
      <c r="E20" s="19">
        <v>138840</v>
      </c>
      <c r="F20" s="20">
        <v>0</v>
      </c>
    </row>
    <row r="21" spans="1:6" ht="12.75">
      <c r="A21" t="s">
        <v>37</v>
      </c>
      <c r="B21" s="20">
        <v>0</v>
      </c>
      <c r="C21" s="20">
        <v>0</v>
      </c>
      <c r="D21" s="20">
        <v>0</v>
      </c>
      <c r="E21" s="20">
        <v>0</v>
      </c>
      <c r="F21" s="20">
        <v>0</v>
      </c>
    </row>
    <row r="22" spans="1:22" ht="12.75">
      <c r="A22" t="s">
        <v>38</v>
      </c>
      <c r="B22" s="20">
        <f>B11*1.2-B19*0.8-B20</f>
        <v>-3614217</v>
      </c>
      <c r="C22" s="20">
        <f aca="true" t="shared" si="3" ref="C22:U22">C11*1.2-C19*0.8-C20</f>
        <v>-5381536.73493976</v>
      </c>
      <c r="D22" s="20">
        <f t="shared" si="3"/>
        <v>-4979297.614457832</v>
      </c>
      <c r="E22" s="20">
        <f t="shared" si="3"/>
        <v>889449.1566265058</v>
      </c>
      <c r="F22" s="20">
        <f t="shared" si="3"/>
        <v>2333927.7108433736</v>
      </c>
      <c r="G22" s="20">
        <f t="shared" si="3"/>
        <v>2563951.807228916</v>
      </c>
      <c r="H22" s="20">
        <f t="shared" si="3"/>
        <v>2815662.650602409</v>
      </c>
      <c r="I22" s="20">
        <f t="shared" si="3"/>
        <v>3053927.7108433736</v>
      </c>
      <c r="J22" s="20">
        <f t="shared" si="3"/>
        <v>3289156.6265060236</v>
      </c>
      <c r="K22" s="20">
        <f t="shared" si="3"/>
        <v>3526265.0602409635</v>
      </c>
      <c r="L22" s="20">
        <f t="shared" si="3"/>
        <v>3779566.2650602404</v>
      </c>
      <c r="M22" s="20">
        <f t="shared" si="3"/>
        <v>4050650.6024096385</v>
      </c>
      <c r="N22" s="20">
        <f t="shared" si="3"/>
        <v>4340674.698795181</v>
      </c>
      <c r="O22" s="20">
        <f t="shared" si="3"/>
        <v>4636337.34939759</v>
      </c>
      <c r="P22" s="20">
        <f t="shared" si="3"/>
        <v>4951662.65060241</v>
      </c>
      <c r="Q22" s="20">
        <f t="shared" si="3"/>
        <v>5288674.698795181</v>
      </c>
      <c r="R22" s="20">
        <f t="shared" si="3"/>
        <v>5601686.746987952</v>
      </c>
      <c r="S22" s="20">
        <f t="shared" si="3"/>
        <v>5905301.204819276</v>
      </c>
      <c r="T22" s="20">
        <f t="shared" si="3"/>
        <v>6205445.78313253</v>
      </c>
      <c r="U22" s="20">
        <f t="shared" si="3"/>
        <v>6520915.662650602</v>
      </c>
      <c r="V22" s="6">
        <f>IRR(B22:U22)</f>
        <v>0.17477693752358142</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Z44"/>
  <sheetViews>
    <sheetView workbookViewId="0" topLeftCell="A1">
      <selection activeCell="L29" sqref="L29"/>
    </sheetView>
  </sheetViews>
  <sheetFormatPr defaultColWidth="9.140625" defaultRowHeight="12.75"/>
  <cols>
    <col min="1" max="1" width="11.421875" style="0" customWidth="1"/>
    <col min="2" max="2" width="17.421875" style="0" customWidth="1"/>
    <col min="3" max="3" width="12.28125" style="0" customWidth="1"/>
    <col min="4" max="4" width="13.57421875" style="0" bestFit="1" customWidth="1"/>
    <col min="5" max="5" width="11.28125" style="0" customWidth="1"/>
    <col min="6" max="6" width="14.7109375" style="0" customWidth="1"/>
    <col min="7" max="7" width="11.8515625" style="0" customWidth="1"/>
    <col min="8" max="8" width="12.421875" style="0" customWidth="1"/>
    <col min="9" max="9" width="11.57421875" style="0" customWidth="1"/>
    <col min="10" max="10" width="12.7109375" style="0" customWidth="1"/>
    <col min="11" max="11" width="10.7109375" style="0" customWidth="1"/>
    <col min="13" max="13" width="14.8515625" style="0" customWidth="1"/>
    <col min="14" max="14" width="16.140625" style="0" customWidth="1"/>
    <col min="18" max="18" width="15.421875" style="0" bestFit="1" customWidth="1"/>
    <col min="19" max="19" width="19.28125" style="0" bestFit="1" customWidth="1"/>
    <col min="20" max="20" width="15.00390625" style="0" bestFit="1" customWidth="1"/>
    <col min="21" max="21" width="18.8515625" style="0" bestFit="1" customWidth="1"/>
    <col min="22" max="22" width="17.28125" style="0" bestFit="1" customWidth="1"/>
    <col min="23" max="23" width="14.140625" style="0" bestFit="1" customWidth="1"/>
  </cols>
  <sheetData>
    <row r="1" spans="1:9" s="13" customFormat="1" ht="18">
      <c r="A1" s="13" t="s">
        <v>24</v>
      </c>
      <c r="I1" s="68" t="s">
        <v>79</v>
      </c>
    </row>
    <row r="3" spans="1:21" s="12" customFormat="1" ht="38.25">
      <c r="A3" s="12" t="s">
        <v>6</v>
      </c>
      <c r="B3" s="77" t="s">
        <v>42</v>
      </c>
      <c r="C3" s="78"/>
      <c r="D3" s="77" t="s">
        <v>43</v>
      </c>
      <c r="E3" s="78"/>
      <c r="F3" s="77" t="s">
        <v>44</v>
      </c>
      <c r="G3" s="78"/>
      <c r="H3" s="77" t="s">
        <v>45</v>
      </c>
      <c r="I3" s="78"/>
      <c r="J3" s="77" t="s">
        <v>46</v>
      </c>
      <c r="K3" s="78"/>
      <c r="M3" s="22" t="s">
        <v>47</v>
      </c>
      <c r="N3" s="22"/>
      <c r="O3" s="22" t="s">
        <v>14</v>
      </c>
      <c r="R3" s="12" t="s">
        <v>18</v>
      </c>
      <c r="S3" s="12" t="s">
        <v>19</v>
      </c>
      <c r="T3" s="12" t="s">
        <v>20</v>
      </c>
      <c r="U3" s="12" t="s">
        <v>21</v>
      </c>
    </row>
    <row r="4" spans="2:11" ht="12.75">
      <c r="B4" t="s">
        <v>15</v>
      </c>
      <c r="C4" t="s">
        <v>16</v>
      </c>
      <c r="D4" t="s">
        <v>15</v>
      </c>
      <c r="E4" t="s">
        <v>16</v>
      </c>
      <c r="F4" t="s">
        <v>15</v>
      </c>
      <c r="G4" t="s">
        <v>16</v>
      </c>
      <c r="H4" t="s">
        <v>15</v>
      </c>
      <c r="I4" t="s">
        <v>16</v>
      </c>
      <c r="J4" t="s">
        <v>15</v>
      </c>
      <c r="K4" t="s">
        <v>16</v>
      </c>
    </row>
    <row r="5" spans="1:23" ht="12.75">
      <c r="A5">
        <v>2006</v>
      </c>
      <c r="B5" s="1">
        <v>-146.36</v>
      </c>
      <c r="C5" s="1">
        <f aca="true" t="shared" si="0" ref="C5:C24">B5*1000000/83</f>
        <v>-1763373.4939759036</v>
      </c>
      <c r="D5" s="1">
        <v>-257.901</v>
      </c>
      <c r="E5" s="1">
        <f aca="true" t="shared" si="1" ref="E5:E25">D5*1000000/83</f>
        <v>-3107240.9638554216</v>
      </c>
      <c r="F5" s="1">
        <v>-260.64</v>
      </c>
      <c r="G5" s="1">
        <f aca="true" t="shared" si="2" ref="G5:G25">F5*1000000/83</f>
        <v>-3140240.9638554216</v>
      </c>
      <c r="H5" s="1">
        <v>-173.09</v>
      </c>
      <c r="I5" s="1">
        <f aca="true" t="shared" si="3" ref="I5:I25">H5*1000000/83</f>
        <v>-2085421.686746988</v>
      </c>
      <c r="J5" s="1">
        <v>-163.664</v>
      </c>
      <c r="K5" s="1">
        <f aca="true" t="shared" si="4" ref="K5:K25">J5*1000000/83</f>
        <v>-1971855.4216867469</v>
      </c>
      <c r="M5" s="1">
        <f>K5+I5+G5+E5+C5</f>
        <v>-12068132.53012048</v>
      </c>
      <c r="O5">
        <f>15000000-13600000</f>
        <v>1400000</v>
      </c>
      <c r="R5" s="7">
        <f aca="true" t="shared" si="5" ref="R5:R25">SUM(M5:Q5)</f>
        <v>-10668132.53012048</v>
      </c>
      <c r="S5" s="7">
        <f>R5</f>
        <v>-10668132.53012048</v>
      </c>
      <c r="T5" s="7">
        <v>700000000</v>
      </c>
      <c r="U5" s="8">
        <f aca="true" t="shared" si="6" ref="U5:U25">R5/T5</f>
        <v>-0.015240189328743544</v>
      </c>
      <c r="V5">
        <v>20000000</v>
      </c>
      <c r="W5" s="9">
        <f>V5/T5</f>
        <v>0.02857142857142857</v>
      </c>
    </row>
    <row r="6" spans="1:23" ht="12.75">
      <c r="A6" s="2">
        <f aca="true" t="shared" si="7" ref="A6:A25">A5+1</f>
        <v>2007</v>
      </c>
      <c r="B6" s="3">
        <v>16.03</v>
      </c>
      <c r="C6" s="1">
        <f t="shared" si="0"/>
        <v>193132.53012048194</v>
      </c>
      <c r="D6" s="3">
        <v>34.57</v>
      </c>
      <c r="E6" s="1">
        <f t="shared" si="1"/>
        <v>416506.0240963855</v>
      </c>
      <c r="F6" s="3">
        <v>30.02</v>
      </c>
      <c r="G6" s="1">
        <f t="shared" si="2"/>
        <v>361686.7469879518</v>
      </c>
      <c r="H6" s="3">
        <v>28.17</v>
      </c>
      <c r="I6" s="1">
        <f t="shared" si="3"/>
        <v>339397.5903614458</v>
      </c>
      <c r="J6" s="3">
        <v>23.48</v>
      </c>
      <c r="K6" s="1">
        <f t="shared" si="4"/>
        <v>282891.5662650602</v>
      </c>
      <c r="M6" s="1">
        <f aca="true" t="shared" si="8" ref="M6:M25">K6+I6+G6+E6+C6</f>
        <v>1593614.4578313252</v>
      </c>
      <c r="O6">
        <v>1578795.1807228914</v>
      </c>
      <c r="R6" s="7">
        <f t="shared" si="5"/>
        <v>3172409.6385542164</v>
      </c>
      <c r="S6" s="7">
        <f aca="true" t="shared" si="9" ref="S6:S25">S5+R6</f>
        <v>-7495722.891566264</v>
      </c>
      <c r="T6" s="7">
        <f aca="true" t="shared" si="10" ref="T6:T25">T5*1.06</f>
        <v>742000000</v>
      </c>
      <c r="U6" s="8">
        <f t="shared" si="6"/>
        <v>0.004275484688078458</v>
      </c>
      <c r="V6">
        <v>20000000</v>
      </c>
      <c r="W6" s="9">
        <f>V6/T6</f>
        <v>0.026954177897574125</v>
      </c>
    </row>
    <row r="7" spans="1:23" ht="12.75">
      <c r="A7" s="2">
        <f t="shared" si="7"/>
        <v>2008</v>
      </c>
      <c r="B7" s="3">
        <v>17.79</v>
      </c>
      <c r="C7" s="1">
        <f t="shared" si="0"/>
        <v>214337.34939759035</v>
      </c>
      <c r="D7" s="3">
        <v>38.24</v>
      </c>
      <c r="E7" s="1">
        <f t="shared" si="1"/>
        <v>460722.8915662651</v>
      </c>
      <c r="F7" s="3">
        <v>33.27</v>
      </c>
      <c r="G7" s="1">
        <f t="shared" si="2"/>
        <v>400843.37349397596</v>
      </c>
      <c r="H7" s="3">
        <v>30.17</v>
      </c>
      <c r="I7" s="1">
        <f t="shared" si="3"/>
        <v>363493.9759036145</v>
      </c>
      <c r="J7" s="3">
        <v>25.86</v>
      </c>
      <c r="K7" s="1">
        <f t="shared" si="4"/>
        <v>311566.265060241</v>
      </c>
      <c r="M7" s="1">
        <f t="shared" si="8"/>
        <v>1750963.855421687</v>
      </c>
      <c r="O7">
        <v>2017935.3132530116</v>
      </c>
      <c r="R7" s="7">
        <f t="shared" si="5"/>
        <v>3768899.1686746986</v>
      </c>
      <c r="S7" s="7">
        <f t="shared" si="9"/>
        <v>-3726823.722891566</v>
      </c>
      <c r="T7" s="7">
        <f t="shared" si="10"/>
        <v>786520000</v>
      </c>
      <c r="U7" s="8">
        <f t="shared" si="6"/>
        <v>0.004791866918418729</v>
      </c>
      <c r="V7">
        <v>20000000</v>
      </c>
      <c r="W7" s="9">
        <f>V7/T7</f>
        <v>0.02542846971469257</v>
      </c>
    </row>
    <row r="8" spans="1:23" ht="12.75">
      <c r="A8" s="2">
        <f t="shared" si="7"/>
        <v>2009</v>
      </c>
      <c r="B8" s="3">
        <v>19.73</v>
      </c>
      <c r="C8" s="1">
        <f t="shared" si="0"/>
        <v>237710.843373494</v>
      </c>
      <c r="D8" s="3">
        <v>42.28</v>
      </c>
      <c r="E8" s="1">
        <f t="shared" si="1"/>
        <v>509397.5903614458</v>
      </c>
      <c r="F8" s="3">
        <v>36.83</v>
      </c>
      <c r="G8" s="1">
        <f t="shared" si="2"/>
        <v>443734.9397590361</v>
      </c>
      <c r="H8" s="3">
        <v>32.31</v>
      </c>
      <c r="I8" s="1">
        <f t="shared" si="3"/>
        <v>389277.108433735</v>
      </c>
      <c r="J8" s="3">
        <v>28.47</v>
      </c>
      <c r="K8" s="1">
        <f t="shared" si="4"/>
        <v>343012.0481927711</v>
      </c>
      <c r="M8" s="1">
        <f t="shared" si="8"/>
        <v>1923132.530120482</v>
      </c>
      <c r="O8">
        <f>28000000-25594784.241253</f>
        <v>2405215.7587470002</v>
      </c>
      <c r="R8" s="7">
        <f t="shared" si="5"/>
        <v>4328348.288867482</v>
      </c>
      <c r="S8" s="7">
        <f t="shared" si="9"/>
        <v>601524.5659759161</v>
      </c>
      <c r="T8" s="7">
        <f t="shared" si="10"/>
        <v>833711200</v>
      </c>
      <c r="U8" s="8">
        <f t="shared" si="6"/>
        <v>0.005191663838590008</v>
      </c>
      <c r="V8">
        <v>20000000</v>
      </c>
      <c r="W8" s="9">
        <f>V8/T8</f>
        <v>0.02398912237235148</v>
      </c>
    </row>
    <row r="9" spans="1:23" ht="12.75">
      <c r="A9" s="2">
        <f t="shared" si="7"/>
        <v>2010</v>
      </c>
      <c r="B9" s="3">
        <v>21.86</v>
      </c>
      <c r="C9" s="1">
        <f t="shared" si="0"/>
        <v>263373.4939759036</v>
      </c>
      <c r="D9" s="3">
        <v>46.71</v>
      </c>
      <c r="E9" s="1">
        <f t="shared" si="1"/>
        <v>562771.0843373494</v>
      </c>
      <c r="F9" s="3">
        <v>40.76</v>
      </c>
      <c r="G9" s="1">
        <f t="shared" si="2"/>
        <v>491084.3373493976</v>
      </c>
      <c r="H9" s="3">
        <v>34.6</v>
      </c>
      <c r="I9" s="1">
        <f t="shared" si="3"/>
        <v>416867.4698795181</v>
      </c>
      <c r="J9" s="3">
        <v>31.34</v>
      </c>
      <c r="K9" s="1">
        <f t="shared" si="4"/>
        <v>377590.3614457831</v>
      </c>
      <c r="M9" s="1">
        <f t="shared" si="8"/>
        <v>2111686.746987952</v>
      </c>
      <c r="O9">
        <v>2780997.6705974005</v>
      </c>
      <c r="R9" s="7">
        <f t="shared" si="5"/>
        <v>4892684.417585352</v>
      </c>
      <c r="S9" s="7">
        <f t="shared" si="9"/>
        <v>5494208.983561268</v>
      </c>
      <c r="T9" s="7">
        <f t="shared" si="10"/>
        <v>883733872</v>
      </c>
      <c r="U9" s="8">
        <f t="shared" si="6"/>
        <v>0.005536377604846804</v>
      </c>
      <c r="V9">
        <v>20000000</v>
      </c>
      <c r="W9" s="9">
        <f>V9/T9</f>
        <v>0.022631247521086303</v>
      </c>
    </row>
    <row r="10" spans="1:21" ht="12.75">
      <c r="A10" s="2">
        <f t="shared" si="7"/>
        <v>2011</v>
      </c>
      <c r="B10" s="3">
        <v>24.2</v>
      </c>
      <c r="C10" s="1">
        <f t="shared" si="0"/>
        <v>291566.265060241</v>
      </c>
      <c r="D10" s="3">
        <v>51.6</v>
      </c>
      <c r="E10" s="1">
        <f t="shared" si="1"/>
        <v>621686.7469879518</v>
      </c>
      <c r="F10" s="3">
        <v>45.08</v>
      </c>
      <c r="G10" s="1">
        <f t="shared" si="2"/>
        <v>543132.530120482</v>
      </c>
      <c r="H10" s="3">
        <v>37.04</v>
      </c>
      <c r="I10" s="1">
        <f t="shared" si="3"/>
        <v>446265.0602409639</v>
      </c>
      <c r="J10" s="3">
        <v>34.5</v>
      </c>
      <c r="K10" s="1">
        <f t="shared" si="4"/>
        <v>415662.6506024096</v>
      </c>
      <c r="M10" s="1">
        <f t="shared" si="8"/>
        <v>2318313.253012048</v>
      </c>
      <c r="O10">
        <v>3252642.53367362</v>
      </c>
      <c r="R10" s="7">
        <f t="shared" si="5"/>
        <v>5570955.786685668</v>
      </c>
      <c r="S10" s="7">
        <f t="shared" si="9"/>
        <v>11065164.770246936</v>
      </c>
      <c r="T10" s="7">
        <f t="shared" si="10"/>
        <v>936757904.32</v>
      </c>
      <c r="U10" s="8">
        <f t="shared" si="6"/>
        <v>0.005947060346109029</v>
      </c>
    </row>
    <row r="11" spans="1:21" ht="12.75">
      <c r="A11" s="2">
        <f t="shared" si="7"/>
        <v>2012</v>
      </c>
      <c r="B11" s="3">
        <v>26.77</v>
      </c>
      <c r="C11" s="1">
        <f t="shared" si="0"/>
        <v>322530.1204819277</v>
      </c>
      <c r="D11" s="3">
        <v>56.96</v>
      </c>
      <c r="E11" s="1">
        <f t="shared" si="1"/>
        <v>686265.0602409638</v>
      </c>
      <c r="F11" s="3">
        <v>49.83</v>
      </c>
      <c r="G11" s="1">
        <f t="shared" si="2"/>
        <v>600361.4457831326</v>
      </c>
      <c r="H11" s="3">
        <v>39.65</v>
      </c>
      <c r="I11" s="1">
        <f t="shared" si="3"/>
        <v>477710.843373494</v>
      </c>
      <c r="J11" s="3">
        <v>37.97</v>
      </c>
      <c r="K11" s="1">
        <f t="shared" si="4"/>
        <v>457469.8795180723</v>
      </c>
      <c r="M11" s="1">
        <f t="shared" si="8"/>
        <v>2544337.349397591</v>
      </c>
      <c r="O11">
        <v>3776866.486457208</v>
      </c>
      <c r="R11" s="7">
        <f t="shared" si="5"/>
        <v>6321203.835854799</v>
      </c>
      <c r="S11" s="7">
        <f t="shared" si="9"/>
        <v>17386368.606101736</v>
      </c>
      <c r="T11" s="7">
        <f t="shared" si="10"/>
        <v>992963378.5792001</v>
      </c>
      <c r="U11" s="8">
        <f t="shared" si="6"/>
        <v>0.006365998960505079</v>
      </c>
    </row>
    <row r="12" spans="1:21" ht="12.75">
      <c r="A12" s="2">
        <f t="shared" si="7"/>
        <v>2013</v>
      </c>
      <c r="B12" s="3">
        <v>28.76</v>
      </c>
      <c r="C12" s="1">
        <f t="shared" si="0"/>
        <v>346506.0240963855</v>
      </c>
      <c r="D12" s="3">
        <v>61.1</v>
      </c>
      <c r="E12" s="1">
        <f t="shared" si="1"/>
        <v>736144.578313253</v>
      </c>
      <c r="F12" s="3">
        <v>53.48</v>
      </c>
      <c r="G12" s="1">
        <f t="shared" si="2"/>
        <v>644337.3493975904</v>
      </c>
      <c r="H12" s="3">
        <v>42.44</v>
      </c>
      <c r="I12" s="1">
        <f t="shared" si="3"/>
        <v>511325.3012048193</v>
      </c>
      <c r="J12" s="3">
        <v>40.65</v>
      </c>
      <c r="K12" s="1">
        <f t="shared" si="4"/>
        <v>489759.0361445783</v>
      </c>
      <c r="M12" s="1">
        <f t="shared" si="8"/>
        <v>2728072.2891566264</v>
      </c>
      <c r="O12">
        <v>4365933.927403307</v>
      </c>
      <c r="R12" s="7">
        <f t="shared" si="5"/>
        <v>7094006.2165599335</v>
      </c>
      <c r="S12" s="7">
        <f t="shared" si="9"/>
        <v>24480374.822661668</v>
      </c>
      <c r="T12" s="7">
        <f t="shared" si="10"/>
        <v>1052541181.2939522</v>
      </c>
      <c r="U12" s="8">
        <f t="shared" si="6"/>
        <v>0.006739884712006085</v>
      </c>
    </row>
    <row r="13" spans="1:21" ht="12.75">
      <c r="A13" s="2">
        <f t="shared" si="7"/>
        <v>2014</v>
      </c>
      <c r="B13" s="3">
        <v>30.88</v>
      </c>
      <c r="C13" s="1">
        <f t="shared" si="0"/>
        <v>372048.1927710843</v>
      </c>
      <c r="D13" s="3">
        <v>65.52</v>
      </c>
      <c r="E13" s="1">
        <f t="shared" si="1"/>
        <v>789397.5903614457</v>
      </c>
      <c r="F13" s="3">
        <v>57.4</v>
      </c>
      <c r="G13" s="1">
        <f t="shared" si="2"/>
        <v>691566.265060241</v>
      </c>
      <c r="H13" s="3">
        <v>45.42</v>
      </c>
      <c r="I13" s="1">
        <f t="shared" si="3"/>
        <v>547228.9156626506</v>
      </c>
      <c r="J13" s="3">
        <v>43.52</v>
      </c>
      <c r="K13" s="1">
        <f t="shared" si="4"/>
        <v>524337.3493975904</v>
      </c>
      <c r="M13" s="1">
        <f t="shared" si="8"/>
        <v>2924578.3132530116</v>
      </c>
      <c r="O13">
        <v>5039717.95853344</v>
      </c>
      <c r="R13" s="7">
        <f t="shared" si="5"/>
        <v>7964296.271786451</v>
      </c>
      <c r="S13" s="7">
        <f t="shared" si="9"/>
        <v>32444671.09444812</v>
      </c>
      <c r="T13" s="7">
        <f t="shared" si="10"/>
        <v>1115693652.1715894</v>
      </c>
      <c r="U13" s="8">
        <f t="shared" si="6"/>
        <v>0.0071384257285005805</v>
      </c>
    </row>
    <row r="14" spans="1:21" ht="12.75">
      <c r="A14" s="2">
        <f t="shared" si="7"/>
        <v>2015</v>
      </c>
      <c r="B14" s="3">
        <v>33.15</v>
      </c>
      <c r="C14" s="1">
        <f t="shared" si="0"/>
        <v>399397.5903614458</v>
      </c>
      <c r="D14" s="3">
        <v>70.26</v>
      </c>
      <c r="E14" s="1">
        <f t="shared" si="1"/>
        <v>846506.0240963856</v>
      </c>
      <c r="F14" s="3">
        <v>61.58</v>
      </c>
      <c r="G14" s="1">
        <f t="shared" si="2"/>
        <v>741927.7108433734</v>
      </c>
      <c r="H14" s="3">
        <v>48.61</v>
      </c>
      <c r="I14" s="1">
        <f t="shared" si="3"/>
        <v>585662.6506024096</v>
      </c>
      <c r="J14" s="3">
        <v>46.58</v>
      </c>
      <c r="K14" s="1">
        <f t="shared" si="4"/>
        <v>561204.8192771084</v>
      </c>
      <c r="M14" s="1">
        <f t="shared" si="8"/>
        <v>3134698.7951807226</v>
      </c>
      <c r="O14">
        <v>3951767.2762014046</v>
      </c>
      <c r="R14" s="7">
        <f t="shared" si="5"/>
        <v>7086466.071382128</v>
      </c>
      <c r="S14" s="7">
        <f t="shared" si="9"/>
        <v>39531137.16583025</v>
      </c>
      <c r="T14" s="7">
        <f t="shared" si="10"/>
        <v>1182635271.301885</v>
      </c>
      <c r="U14" s="8">
        <f t="shared" si="6"/>
        <v>0.005992097685012477</v>
      </c>
    </row>
    <row r="15" spans="1:21" ht="12.75">
      <c r="A15" s="2">
        <f t="shared" si="7"/>
        <v>2016</v>
      </c>
      <c r="B15" s="3">
        <v>35.58</v>
      </c>
      <c r="C15" s="1">
        <f t="shared" si="0"/>
        <v>428674.6987951807</v>
      </c>
      <c r="D15" s="3">
        <v>75.32</v>
      </c>
      <c r="E15" s="1">
        <f t="shared" si="1"/>
        <v>907469.8795180722</v>
      </c>
      <c r="F15" s="3">
        <v>66.06</v>
      </c>
      <c r="G15" s="1">
        <f t="shared" si="2"/>
        <v>795903.6144578314</v>
      </c>
      <c r="H15" s="3">
        <v>52.01</v>
      </c>
      <c r="I15" s="1">
        <f t="shared" si="3"/>
        <v>626626.5060240964</v>
      </c>
      <c r="J15" s="3">
        <v>49.86</v>
      </c>
      <c r="K15" s="1">
        <f t="shared" si="4"/>
        <v>600722.891566265</v>
      </c>
      <c r="M15" s="1">
        <f t="shared" si="8"/>
        <v>3359397.5903614457</v>
      </c>
      <c r="O15">
        <v>5464380.181703903</v>
      </c>
      <c r="R15" s="7">
        <f t="shared" si="5"/>
        <v>8823777.772065349</v>
      </c>
      <c r="S15" s="7">
        <f t="shared" si="9"/>
        <v>48354914.937895596</v>
      </c>
      <c r="T15" s="7">
        <f t="shared" si="10"/>
        <v>1253593387.579998</v>
      </c>
      <c r="U15" s="8">
        <f t="shared" si="6"/>
        <v>0.007038787743687153</v>
      </c>
    </row>
    <row r="16" spans="1:21" ht="12.75">
      <c r="A16" s="2">
        <f t="shared" si="7"/>
        <v>2017</v>
      </c>
      <c r="B16" s="3">
        <v>38.18</v>
      </c>
      <c r="C16" s="1">
        <f t="shared" si="0"/>
        <v>460000</v>
      </c>
      <c r="D16" s="3">
        <v>80.74</v>
      </c>
      <c r="E16" s="1">
        <f t="shared" si="1"/>
        <v>972771.0843373494</v>
      </c>
      <c r="F16" s="3">
        <v>70.86</v>
      </c>
      <c r="G16" s="1">
        <f t="shared" si="2"/>
        <v>853734.9397590362</v>
      </c>
      <c r="H16" s="3">
        <v>54.64</v>
      </c>
      <c r="I16" s="1">
        <f t="shared" si="3"/>
        <v>658313.2530120482</v>
      </c>
      <c r="J16" s="3">
        <v>53.37</v>
      </c>
      <c r="K16" s="1">
        <f t="shared" si="4"/>
        <v>643012.048192771</v>
      </c>
      <c r="M16" s="1">
        <f t="shared" si="8"/>
        <v>3587831.325301205</v>
      </c>
      <c r="O16">
        <v>6146686.453515559</v>
      </c>
      <c r="R16" s="7">
        <f t="shared" si="5"/>
        <v>9734517.778816763</v>
      </c>
      <c r="S16" s="7">
        <f t="shared" si="9"/>
        <v>58089432.716712356</v>
      </c>
      <c r="T16" s="7">
        <f t="shared" si="10"/>
        <v>1328808990.8347979</v>
      </c>
      <c r="U16" s="8">
        <f t="shared" si="6"/>
        <v>0.007325746473690884</v>
      </c>
    </row>
    <row r="17" spans="1:21" ht="12.75">
      <c r="A17" s="2">
        <f t="shared" si="7"/>
        <v>2018</v>
      </c>
      <c r="B17" s="3">
        <v>40.96</v>
      </c>
      <c r="C17" s="1">
        <f t="shared" si="0"/>
        <v>493493.9759036145</v>
      </c>
      <c r="D17" s="3">
        <v>86.54</v>
      </c>
      <c r="E17" s="1">
        <f t="shared" si="1"/>
        <v>1042650.6024096386</v>
      </c>
      <c r="F17" s="3">
        <v>75.98</v>
      </c>
      <c r="G17" s="1">
        <f t="shared" si="2"/>
        <v>915421.686746988</v>
      </c>
      <c r="H17" s="3">
        <v>57.4</v>
      </c>
      <c r="I17" s="1">
        <f t="shared" si="3"/>
        <v>691566.265060241</v>
      </c>
      <c r="J17" s="3">
        <v>57.12</v>
      </c>
      <c r="K17" s="1">
        <f t="shared" si="4"/>
        <v>688192.7710843374</v>
      </c>
      <c r="M17" s="1">
        <f t="shared" si="8"/>
        <v>3831325.301204819</v>
      </c>
      <c r="O17">
        <v>7344737.89905712</v>
      </c>
      <c r="R17" s="7">
        <f t="shared" si="5"/>
        <v>11176063.20026194</v>
      </c>
      <c r="S17" s="7">
        <f t="shared" si="9"/>
        <v>69265495.91697429</v>
      </c>
      <c r="T17" s="7">
        <f t="shared" si="10"/>
        <v>1408537530.284886</v>
      </c>
      <c r="U17" s="8">
        <f t="shared" si="6"/>
        <v>0.00793451573704359</v>
      </c>
    </row>
    <row r="18" spans="1:21" ht="12.75">
      <c r="A18" s="2">
        <f t="shared" si="7"/>
        <v>2019</v>
      </c>
      <c r="B18" s="3">
        <v>43.94</v>
      </c>
      <c r="C18" s="1">
        <f t="shared" si="0"/>
        <v>529397.5903614458</v>
      </c>
      <c r="D18" s="3">
        <v>92.75</v>
      </c>
      <c r="E18" s="1">
        <f t="shared" si="1"/>
        <v>1117469.8795180724</v>
      </c>
      <c r="F18" s="3">
        <v>81.47</v>
      </c>
      <c r="G18" s="1">
        <f t="shared" si="2"/>
        <v>981566.265060241</v>
      </c>
      <c r="H18" s="3">
        <v>60.3</v>
      </c>
      <c r="I18" s="1">
        <f t="shared" si="3"/>
        <v>726506.0240963856</v>
      </c>
      <c r="J18" s="3">
        <v>61.13</v>
      </c>
      <c r="K18" s="1">
        <f t="shared" si="4"/>
        <v>736506.0240963856</v>
      </c>
      <c r="M18" s="1">
        <f t="shared" si="8"/>
        <v>4091445.7831325303</v>
      </c>
      <c r="O18">
        <v>8450608.487763323</v>
      </c>
      <c r="R18" s="7">
        <f t="shared" si="5"/>
        <v>12542054.270895854</v>
      </c>
      <c r="S18" s="7">
        <f t="shared" si="9"/>
        <v>81807550.18787014</v>
      </c>
      <c r="T18" s="7">
        <f t="shared" si="10"/>
        <v>1493049782.101979</v>
      </c>
      <c r="U18" s="8">
        <f t="shared" si="6"/>
        <v>0.008400292087540857</v>
      </c>
    </row>
    <row r="19" spans="1:21" ht="12.75">
      <c r="A19" s="2">
        <f t="shared" si="7"/>
        <v>2020</v>
      </c>
      <c r="B19" s="3">
        <v>47.12</v>
      </c>
      <c r="C19" s="1">
        <f t="shared" si="0"/>
        <v>567710.843373494</v>
      </c>
      <c r="D19" s="3">
        <v>99.38</v>
      </c>
      <c r="E19" s="1">
        <f t="shared" si="1"/>
        <v>1197349.3975903615</v>
      </c>
      <c r="F19" s="3">
        <v>87.35</v>
      </c>
      <c r="G19" s="1">
        <f t="shared" si="2"/>
        <v>1052409.6385542168</v>
      </c>
      <c r="H19" s="3">
        <v>63.34</v>
      </c>
      <c r="I19" s="1">
        <f t="shared" si="3"/>
        <v>763132.530120482</v>
      </c>
      <c r="J19" s="3">
        <v>65.42</v>
      </c>
      <c r="K19" s="1">
        <f t="shared" si="4"/>
        <v>788192.7710843374</v>
      </c>
      <c r="M19" s="1">
        <f t="shared" si="8"/>
        <v>4368795.180722891</v>
      </c>
      <c r="O19">
        <v>9587505.059581425</v>
      </c>
      <c r="R19" s="7">
        <f t="shared" si="5"/>
        <v>13956300.240304317</v>
      </c>
      <c r="S19" s="7">
        <f t="shared" si="9"/>
        <v>95763850.42817447</v>
      </c>
      <c r="T19" s="7">
        <f t="shared" si="10"/>
        <v>1582632769.0280979</v>
      </c>
      <c r="U19" s="8">
        <f t="shared" si="6"/>
        <v>0.00881840722208409</v>
      </c>
    </row>
    <row r="20" spans="1:21" ht="12.75">
      <c r="A20" s="2">
        <f t="shared" si="7"/>
        <v>2021</v>
      </c>
      <c r="B20" s="3">
        <v>50.53</v>
      </c>
      <c r="C20" s="1">
        <f t="shared" si="0"/>
        <v>608795.1807228916</v>
      </c>
      <c r="D20" s="3">
        <v>106.49</v>
      </c>
      <c r="E20" s="1">
        <f t="shared" si="1"/>
        <v>1283012.0481927712</v>
      </c>
      <c r="F20" s="3">
        <v>93.63</v>
      </c>
      <c r="G20" s="1">
        <f t="shared" si="2"/>
        <v>1128072.2891566264</v>
      </c>
      <c r="H20" s="3">
        <v>66.52</v>
      </c>
      <c r="I20" s="1">
        <f t="shared" si="3"/>
        <v>801445.78313253</v>
      </c>
      <c r="J20" s="3">
        <v>70.01</v>
      </c>
      <c r="K20" s="1">
        <f t="shared" si="4"/>
        <v>843493.9759036144</v>
      </c>
      <c r="M20" s="1">
        <f t="shared" si="8"/>
        <v>4664819.277108434</v>
      </c>
      <c r="O20">
        <v>10795889.70475905</v>
      </c>
      <c r="R20" s="7">
        <f t="shared" si="5"/>
        <v>15460708.981867485</v>
      </c>
      <c r="S20" s="7">
        <f t="shared" si="9"/>
        <v>111224559.41004196</v>
      </c>
      <c r="T20" s="7">
        <f t="shared" si="10"/>
        <v>1677590735.1697838</v>
      </c>
      <c r="U20" s="8">
        <f t="shared" si="6"/>
        <v>0.009216019531904934</v>
      </c>
    </row>
    <row r="21" spans="1:21" ht="12.75">
      <c r="A21" s="2">
        <f t="shared" si="7"/>
        <v>2022</v>
      </c>
      <c r="B21" s="3">
        <v>53.14</v>
      </c>
      <c r="C21" s="1">
        <f t="shared" si="0"/>
        <v>640240.9638554216</v>
      </c>
      <c r="D21" s="3">
        <v>111.92</v>
      </c>
      <c r="E21" s="1">
        <f t="shared" si="1"/>
        <v>1348433.7349397591</v>
      </c>
      <c r="F21" s="3">
        <v>98.43</v>
      </c>
      <c r="G21" s="1">
        <f t="shared" si="2"/>
        <v>1185903.6144578313</v>
      </c>
      <c r="H21" s="3">
        <v>69.87</v>
      </c>
      <c r="I21" s="1">
        <f t="shared" si="3"/>
        <v>841807.2289156626</v>
      </c>
      <c r="J21" s="3">
        <v>73.53</v>
      </c>
      <c r="K21" s="1">
        <f t="shared" si="4"/>
        <v>885903.6144578314</v>
      </c>
      <c r="M21" s="1">
        <f t="shared" si="8"/>
        <v>4902289.156626506</v>
      </c>
      <c r="O21">
        <v>12033435.0228125</v>
      </c>
      <c r="R21" s="7">
        <f t="shared" si="5"/>
        <v>16935724.17943901</v>
      </c>
      <c r="S21" s="7">
        <f t="shared" si="9"/>
        <v>128160283.58948097</v>
      </c>
      <c r="T21" s="7">
        <f t="shared" si="10"/>
        <v>1778246179.279971</v>
      </c>
      <c r="U21" s="8">
        <f t="shared" si="6"/>
        <v>0.009523835550315338</v>
      </c>
    </row>
    <row r="22" spans="1:21" ht="12.75">
      <c r="A22" s="2">
        <f t="shared" si="7"/>
        <v>2023</v>
      </c>
      <c r="B22" s="3">
        <v>55.87</v>
      </c>
      <c r="C22" s="1">
        <f t="shared" si="0"/>
        <v>673132.530120482</v>
      </c>
      <c r="D22" s="3">
        <v>117.62</v>
      </c>
      <c r="E22" s="1">
        <f t="shared" si="1"/>
        <v>1417108.4337349397</v>
      </c>
      <c r="F22" s="3">
        <v>103.47</v>
      </c>
      <c r="G22" s="1">
        <f t="shared" si="2"/>
        <v>1246626.5060240964</v>
      </c>
      <c r="H22" s="3">
        <v>73.38</v>
      </c>
      <c r="I22" s="1">
        <f t="shared" si="3"/>
        <v>884096.3855421686</v>
      </c>
      <c r="J22" s="3">
        <v>77.23</v>
      </c>
      <c r="K22" s="1">
        <f t="shared" si="4"/>
        <v>930481.9277108434</v>
      </c>
      <c r="M22" s="1">
        <f t="shared" si="8"/>
        <v>5151445.78313253</v>
      </c>
      <c r="O22">
        <v>13420588.191940175</v>
      </c>
      <c r="R22" s="7">
        <f t="shared" si="5"/>
        <v>18572033.975072704</v>
      </c>
      <c r="S22" s="7">
        <f t="shared" si="9"/>
        <v>146732317.56455368</v>
      </c>
      <c r="T22" s="7">
        <f t="shared" si="10"/>
        <v>1884940950.0367692</v>
      </c>
      <c r="U22" s="8">
        <f t="shared" si="6"/>
        <v>0.009852846570451145</v>
      </c>
    </row>
    <row r="23" spans="1:21" ht="12.75">
      <c r="A23" s="2">
        <f t="shared" si="7"/>
        <v>2024</v>
      </c>
      <c r="B23" s="3">
        <v>58.74</v>
      </c>
      <c r="C23" s="1">
        <f t="shared" si="0"/>
        <v>707710.843373494</v>
      </c>
      <c r="D23" s="3">
        <v>123.6</v>
      </c>
      <c r="E23" s="1">
        <f t="shared" si="1"/>
        <v>1489156.626506024</v>
      </c>
      <c r="F23" s="3">
        <v>108.77</v>
      </c>
      <c r="G23" s="1">
        <f t="shared" si="2"/>
        <v>1310481.9277108433</v>
      </c>
      <c r="H23" s="3">
        <v>77.06</v>
      </c>
      <c r="I23" s="1">
        <f t="shared" si="3"/>
        <v>928433.734939759</v>
      </c>
      <c r="J23" s="3">
        <v>81.11</v>
      </c>
      <c r="K23" s="1">
        <f t="shared" si="4"/>
        <v>977228.9156626506</v>
      </c>
      <c r="M23" s="1">
        <f t="shared" si="8"/>
        <v>5413012.048192771</v>
      </c>
      <c r="O23">
        <v>14974533.153999945</v>
      </c>
      <c r="R23" s="7">
        <f t="shared" si="5"/>
        <v>20387545.202192716</v>
      </c>
      <c r="S23" s="7">
        <f t="shared" si="9"/>
        <v>167119862.7667464</v>
      </c>
      <c r="T23" s="7">
        <f t="shared" si="10"/>
        <v>1998037407.0389755</v>
      </c>
      <c r="U23" s="8">
        <f t="shared" si="6"/>
        <v>0.010203785539934599</v>
      </c>
    </row>
    <row r="24" spans="1:21" ht="12.75">
      <c r="A24" s="2">
        <f t="shared" si="7"/>
        <v>2025</v>
      </c>
      <c r="B24" s="3">
        <v>61.76</v>
      </c>
      <c r="C24" s="1">
        <f t="shared" si="0"/>
        <v>744096.3855421686</v>
      </c>
      <c r="D24" s="3">
        <v>129.89</v>
      </c>
      <c r="E24" s="1">
        <f t="shared" si="1"/>
        <v>1564939.7590361445</v>
      </c>
      <c r="F24" s="3">
        <v>114.33</v>
      </c>
      <c r="G24" s="1">
        <f t="shared" si="2"/>
        <v>1377469.8795180724</v>
      </c>
      <c r="H24" s="3">
        <v>80.92</v>
      </c>
      <c r="I24" s="1">
        <f t="shared" si="3"/>
        <v>974939.7590361446</v>
      </c>
      <c r="J24" s="3">
        <v>85.18</v>
      </c>
      <c r="K24" s="1">
        <f t="shared" si="4"/>
        <v>1026265.0602409638</v>
      </c>
      <c r="M24" s="1">
        <f t="shared" si="8"/>
        <v>5687710.843373493</v>
      </c>
      <c r="O24">
        <v>16714344.004897442</v>
      </c>
      <c r="R24" s="7">
        <f t="shared" si="5"/>
        <v>22402054.848270934</v>
      </c>
      <c r="S24" s="7">
        <f t="shared" si="9"/>
        <v>189521917.61501732</v>
      </c>
      <c r="T24" s="7">
        <f t="shared" si="10"/>
        <v>2117919651.4613142</v>
      </c>
      <c r="U24" s="8">
        <f t="shared" si="6"/>
        <v>0.010577386556101903</v>
      </c>
    </row>
    <row r="25" spans="1:21" ht="12.75">
      <c r="A25" s="2">
        <f t="shared" si="7"/>
        <v>2026</v>
      </c>
      <c r="B25" s="4">
        <v>108.83</v>
      </c>
      <c r="C25" s="1">
        <f>B25*1000000/83</f>
        <v>1311204.8192771084</v>
      </c>
      <c r="D25" s="4">
        <v>213.86</v>
      </c>
      <c r="E25" s="1">
        <f t="shared" si="1"/>
        <v>2576626.506024096</v>
      </c>
      <c r="F25" s="4">
        <v>198.36</v>
      </c>
      <c r="G25" s="1">
        <f t="shared" si="2"/>
        <v>2389879.518072289</v>
      </c>
      <c r="H25" s="4">
        <v>136.9</v>
      </c>
      <c r="I25" s="1">
        <f t="shared" si="3"/>
        <v>1649397.5903614457</v>
      </c>
      <c r="J25" s="4">
        <v>138.55</v>
      </c>
      <c r="K25" s="1">
        <f t="shared" si="4"/>
        <v>1669277.1084337349</v>
      </c>
      <c r="M25" s="1">
        <f t="shared" si="8"/>
        <v>9596385.542168673</v>
      </c>
      <c r="O25">
        <v>18661186.589127757</v>
      </c>
      <c r="R25" s="7">
        <f t="shared" si="5"/>
        <v>28257572.13129643</v>
      </c>
      <c r="S25" s="7">
        <f t="shared" si="9"/>
        <v>217779489.74631375</v>
      </c>
      <c r="T25" s="7">
        <f t="shared" si="10"/>
        <v>2244994830.548993</v>
      </c>
      <c r="U25" s="8">
        <f t="shared" si="6"/>
        <v>0.012586920801232445</v>
      </c>
    </row>
    <row r="26" spans="2:15" ht="12.75">
      <c r="B26" s="5"/>
      <c r="O26">
        <v>20838541.13506332</v>
      </c>
    </row>
    <row r="27" spans="1:18" s="11" customFormat="1" ht="12.75">
      <c r="A27" s="11" t="s">
        <v>48</v>
      </c>
      <c r="B27" s="23">
        <f aca="true" t="shared" si="11" ref="B27:K27">IRR(B5:B25)</f>
        <v>0.17772810791390503</v>
      </c>
      <c r="C27" s="23">
        <f t="shared" si="11"/>
        <v>0.177728107913905</v>
      </c>
      <c r="D27" s="23">
        <f t="shared" si="11"/>
        <v>0.207509417819286</v>
      </c>
      <c r="E27" s="23">
        <f t="shared" si="11"/>
        <v>0.2075094178205171</v>
      </c>
      <c r="F27" s="23">
        <f t="shared" si="11"/>
        <v>0.18434612667316716</v>
      </c>
      <c r="G27" s="23">
        <f t="shared" si="11"/>
        <v>0.18434612667316727</v>
      </c>
      <c r="H27" s="23">
        <f t="shared" si="11"/>
        <v>0.21963043373090305</v>
      </c>
      <c r="I27" s="23">
        <f t="shared" si="11"/>
        <v>0.2196304337374384</v>
      </c>
      <c r="J27" s="23">
        <f t="shared" si="11"/>
        <v>0.2162349823742299</v>
      </c>
      <c r="K27" s="23">
        <f t="shared" si="11"/>
        <v>0.21623498238029507</v>
      </c>
      <c r="M27" s="23">
        <f>IRR(M5:M25)</f>
        <v>0.20068094318078739</v>
      </c>
      <c r="O27" s="25">
        <v>23272448.093424037</v>
      </c>
      <c r="Q27" s="11" t="s">
        <v>22</v>
      </c>
      <c r="R27" s="24">
        <f>NPV(0.06,R5:R25)</f>
        <v>91275519.31803529</v>
      </c>
    </row>
    <row r="28" ht="12.75">
      <c r="O28">
        <v>25991779.561126415</v>
      </c>
    </row>
    <row r="29" ht="12.75">
      <c r="O29">
        <v>50528538.9146181</v>
      </c>
    </row>
    <row r="32" spans="2:24" s="26" customFormat="1" ht="12.75">
      <c r="B32" s="26" t="s">
        <v>6</v>
      </c>
      <c r="D32" s="26">
        <v>2006</v>
      </c>
      <c r="E32" s="27">
        <f aca="true" t="shared" si="12" ref="E32:X32">D32+1</f>
        <v>2007</v>
      </c>
      <c r="F32" s="27">
        <f t="shared" si="12"/>
        <v>2008</v>
      </c>
      <c r="G32" s="27">
        <f t="shared" si="12"/>
        <v>2009</v>
      </c>
      <c r="H32" s="27">
        <f t="shared" si="12"/>
        <v>2010</v>
      </c>
      <c r="I32" s="27">
        <f t="shared" si="12"/>
        <v>2011</v>
      </c>
      <c r="J32" s="27">
        <f t="shared" si="12"/>
        <v>2012</v>
      </c>
      <c r="K32" s="27">
        <f t="shared" si="12"/>
        <v>2013</v>
      </c>
      <c r="L32" s="27">
        <f t="shared" si="12"/>
        <v>2014</v>
      </c>
      <c r="M32" s="27">
        <f t="shared" si="12"/>
        <v>2015</v>
      </c>
      <c r="N32" s="27">
        <f t="shared" si="12"/>
        <v>2016</v>
      </c>
      <c r="O32" s="27">
        <f t="shared" si="12"/>
        <v>2017</v>
      </c>
      <c r="P32" s="27">
        <f t="shared" si="12"/>
        <v>2018</v>
      </c>
      <c r="Q32" s="27">
        <f t="shared" si="12"/>
        <v>2019</v>
      </c>
      <c r="R32" s="27">
        <f t="shared" si="12"/>
        <v>2020</v>
      </c>
      <c r="S32" s="27">
        <f t="shared" si="12"/>
        <v>2021</v>
      </c>
      <c r="T32" s="27">
        <f t="shared" si="12"/>
        <v>2022</v>
      </c>
      <c r="U32" s="27">
        <f t="shared" si="12"/>
        <v>2023</v>
      </c>
      <c r="V32" s="27">
        <f t="shared" si="12"/>
        <v>2024</v>
      </c>
      <c r="W32" s="27">
        <f t="shared" si="12"/>
        <v>2025</v>
      </c>
      <c r="X32" s="27">
        <f t="shared" si="12"/>
        <v>2026</v>
      </c>
    </row>
    <row r="33" spans="2:26" ht="12.75">
      <c r="B33" t="s">
        <v>7</v>
      </c>
      <c r="C33" t="s">
        <v>15</v>
      </c>
      <c r="D33" s="1">
        <v>-146.36</v>
      </c>
      <c r="E33" s="3">
        <v>16.03</v>
      </c>
      <c r="F33" s="3">
        <v>17.79</v>
      </c>
      <c r="G33" s="3">
        <v>19.73</v>
      </c>
      <c r="H33" s="3">
        <v>21.86</v>
      </c>
      <c r="I33" s="3">
        <v>24.2</v>
      </c>
      <c r="J33" s="3">
        <v>26.77</v>
      </c>
      <c r="K33" s="3">
        <v>28.76</v>
      </c>
      <c r="L33" s="3">
        <v>30.88</v>
      </c>
      <c r="M33" s="3">
        <v>33.15</v>
      </c>
      <c r="N33" s="3">
        <v>35.58</v>
      </c>
      <c r="O33" s="3">
        <v>38.18</v>
      </c>
      <c r="P33" s="3">
        <v>40.96</v>
      </c>
      <c r="Q33" s="3">
        <v>43.94</v>
      </c>
      <c r="R33" s="3">
        <v>47.12</v>
      </c>
      <c r="S33" s="3">
        <v>50.53</v>
      </c>
      <c r="T33" s="3">
        <v>53.14</v>
      </c>
      <c r="U33" s="3">
        <v>55.87</v>
      </c>
      <c r="V33" s="3">
        <v>58.74</v>
      </c>
      <c r="W33" s="3">
        <v>61.76</v>
      </c>
      <c r="X33" s="4">
        <v>108.83</v>
      </c>
      <c r="Y33" s="5"/>
      <c r="Z33" s="6">
        <f aca="true" t="shared" si="13" ref="Z33:Z42">IRR(D33:X33)</f>
        <v>0.17772810791390503</v>
      </c>
    </row>
    <row r="34" spans="3:26" ht="12.75">
      <c r="C34" t="s">
        <v>16</v>
      </c>
      <c r="D34" s="1">
        <f aca="true" t="shared" si="14" ref="D34:X34">D33*1000000/83</f>
        <v>-1763373.4939759036</v>
      </c>
      <c r="E34" s="1">
        <f t="shared" si="14"/>
        <v>193132.53012048194</v>
      </c>
      <c r="F34" s="1">
        <f t="shared" si="14"/>
        <v>214337.34939759035</v>
      </c>
      <c r="G34" s="1">
        <f t="shared" si="14"/>
        <v>237710.843373494</v>
      </c>
      <c r="H34" s="1">
        <f t="shared" si="14"/>
        <v>263373.4939759036</v>
      </c>
      <c r="I34" s="1">
        <f t="shared" si="14"/>
        <v>291566.265060241</v>
      </c>
      <c r="J34" s="1">
        <f t="shared" si="14"/>
        <v>322530.1204819277</v>
      </c>
      <c r="K34" s="1">
        <f t="shared" si="14"/>
        <v>346506.0240963855</v>
      </c>
      <c r="L34" s="1">
        <f t="shared" si="14"/>
        <v>372048.1927710843</v>
      </c>
      <c r="M34" s="1">
        <f t="shared" si="14"/>
        <v>399397.5903614458</v>
      </c>
      <c r="N34" s="1">
        <f t="shared" si="14"/>
        <v>428674.6987951807</v>
      </c>
      <c r="O34" s="1">
        <f t="shared" si="14"/>
        <v>460000</v>
      </c>
      <c r="P34" s="1">
        <f t="shared" si="14"/>
        <v>493493.9759036145</v>
      </c>
      <c r="Q34" s="1">
        <f t="shared" si="14"/>
        <v>529397.5903614458</v>
      </c>
      <c r="R34" s="1">
        <f t="shared" si="14"/>
        <v>567710.843373494</v>
      </c>
      <c r="S34" s="1">
        <f t="shared" si="14"/>
        <v>608795.1807228916</v>
      </c>
      <c r="T34" s="1">
        <f t="shared" si="14"/>
        <v>640240.9638554216</v>
      </c>
      <c r="U34" s="1">
        <f t="shared" si="14"/>
        <v>673132.530120482</v>
      </c>
      <c r="V34" s="1">
        <f t="shared" si="14"/>
        <v>707710.843373494</v>
      </c>
      <c r="W34" s="1">
        <f t="shared" si="14"/>
        <v>744096.3855421686</v>
      </c>
      <c r="X34" s="1">
        <f t="shared" si="14"/>
        <v>1311204.8192771084</v>
      </c>
      <c r="Z34" s="6">
        <f t="shared" si="13"/>
        <v>0.177728107913905</v>
      </c>
    </row>
    <row r="35" spans="2:26" ht="12.75">
      <c r="B35" t="s">
        <v>8</v>
      </c>
      <c r="C35" t="s">
        <v>15</v>
      </c>
      <c r="D35" s="1">
        <v>-257.901</v>
      </c>
      <c r="E35" s="3">
        <v>34.57</v>
      </c>
      <c r="F35" s="3">
        <v>38.24</v>
      </c>
      <c r="G35" s="3">
        <v>42.28</v>
      </c>
      <c r="H35" s="3">
        <v>46.71</v>
      </c>
      <c r="I35" s="3">
        <v>51.6</v>
      </c>
      <c r="J35" s="3">
        <v>56.96</v>
      </c>
      <c r="K35" s="3">
        <v>61.1</v>
      </c>
      <c r="L35" s="3">
        <v>65.52</v>
      </c>
      <c r="M35" s="3">
        <v>70.26</v>
      </c>
      <c r="N35" s="3">
        <v>75.32</v>
      </c>
      <c r="O35" s="3">
        <v>80.74</v>
      </c>
      <c r="P35" s="3">
        <v>86.54</v>
      </c>
      <c r="Q35" s="3">
        <v>92.75</v>
      </c>
      <c r="R35" s="3">
        <v>99.38</v>
      </c>
      <c r="S35" s="3">
        <v>106.49</v>
      </c>
      <c r="T35" s="3">
        <v>111.92</v>
      </c>
      <c r="U35" s="3">
        <v>117.62</v>
      </c>
      <c r="V35" s="3">
        <v>123.6</v>
      </c>
      <c r="W35" s="3">
        <v>129.89</v>
      </c>
      <c r="X35" s="4">
        <v>213.86</v>
      </c>
      <c r="Z35" s="6">
        <f t="shared" si="13"/>
        <v>0.207509417819286</v>
      </c>
    </row>
    <row r="36" spans="3:26" ht="12.75">
      <c r="C36" t="s">
        <v>16</v>
      </c>
      <c r="D36" s="1">
        <f aca="true" t="shared" si="15" ref="D36:X36">D35*1000000/83</f>
        <v>-3107240.9638554216</v>
      </c>
      <c r="E36" s="1">
        <f t="shared" si="15"/>
        <v>416506.0240963855</v>
      </c>
      <c r="F36" s="1">
        <f t="shared" si="15"/>
        <v>460722.8915662651</v>
      </c>
      <c r="G36" s="1">
        <f t="shared" si="15"/>
        <v>509397.5903614458</v>
      </c>
      <c r="H36" s="1">
        <f t="shared" si="15"/>
        <v>562771.0843373494</v>
      </c>
      <c r="I36" s="1">
        <f t="shared" si="15"/>
        <v>621686.7469879518</v>
      </c>
      <c r="J36" s="1">
        <f t="shared" si="15"/>
        <v>686265.0602409638</v>
      </c>
      <c r="K36" s="1">
        <f t="shared" si="15"/>
        <v>736144.578313253</v>
      </c>
      <c r="L36" s="1">
        <f t="shared" si="15"/>
        <v>789397.5903614457</v>
      </c>
      <c r="M36" s="1">
        <f t="shared" si="15"/>
        <v>846506.0240963856</v>
      </c>
      <c r="N36" s="1">
        <f t="shared" si="15"/>
        <v>907469.8795180722</v>
      </c>
      <c r="O36" s="1">
        <f t="shared" si="15"/>
        <v>972771.0843373494</v>
      </c>
      <c r="P36" s="1">
        <f t="shared" si="15"/>
        <v>1042650.6024096386</v>
      </c>
      <c r="Q36" s="1">
        <f t="shared" si="15"/>
        <v>1117469.8795180724</v>
      </c>
      <c r="R36" s="1">
        <f t="shared" si="15"/>
        <v>1197349.3975903615</v>
      </c>
      <c r="S36" s="1">
        <f t="shared" si="15"/>
        <v>1283012.0481927712</v>
      </c>
      <c r="T36" s="1">
        <f t="shared" si="15"/>
        <v>1348433.7349397591</v>
      </c>
      <c r="U36" s="1">
        <f t="shared" si="15"/>
        <v>1417108.4337349397</v>
      </c>
      <c r="V36" s="1">
        <f t="shared" si="15"/>
        <v>1489156.626506024</v>
      </c>
      <c r="W36" s="1">
        <f t="shared" si="15"/>
        <v>1564939.7590361445</v>
      </c>
      <c r="X36" s="1">
        <f t="shared" si="15"/>
        <v>2576626.506024096</v>
      </c>
      <c r="Z36" s="6">
        <f t="shared" si="13"/>
        <v>0.2075094178205171</v>
      </c>
    </row>
    <row r="37" spans="2:26" ht="12.75">
      <c r="B37" t="s">
        <v>9</v>
      </c>
      <c r="C37" t="s">
        <v>15</v>
      </c>
      <c r="D37" s="1">
        <v>-260.64</v>
      </c>
      <c r="E37" s="3">
        <v>30.02</v>
      </c>
      <c r="F37" s="3">
        <v>33.27</v>
      </c>
      <c r="G37" s="3">
        <v>36.83</v>
      </c>
      <c r="H37" s="3">
        <v>40.76</v>
      </c>
      <c r="I37" s="3">
        <v>45.08</v>
      </c>
      <c r="J37" s="3">
        <v>49.83</v>
      </c>
      <c r="K37" s="3">
        <v>53.48</v>
      </c>
      <c r="L37" s="3">
        <v>57.4</v>
      </c>
      <c r="M37" s="3">
        <v>61.58</v>
      </c>
      <c r="N37" s="3">
        <v>66.06</v>
      </c>
      <c r="O37" s="3">
        <v>70.86</v>
      </c>
      <c r="P37" s="3">
        <v>75.98</v>
      </c>
      <c r="Q37" s="3">
        <v>81.47</v>
      </c>
      <c r="R37" s="3">
        <v>87.35</v>
      </c>
      <c r="S37" s="3">
        <v>93.63</v>
      </c>
      <c r="T37" s="3">
        <v>98.43</v>
      </c>
      <c r="U37" s="3">
        <v>103.47</v>
      </c>
      <c r="V37" s="3">
        <v>108.77</v>
      </c>
      <c r="W37" s="3">
        <v>114.33</v>
      </c>
      <c r="X37" s="4">
        <v>198.36</v>
      </c>
      <c r="Z37" s="6">
        <f t="shared" si="13"/>
        <v>0.18434612667316716</v>
      </c>
    </row>
    <row r="38" spans="3:26" ht="12.75">
      <c r="C38" t="s">
        <v>16</v>
      </c>
      <c r="D38" s="1">
        <f aca="true" t="shared" si="16" ref="D38:X38">D37*1000000/83</f>
        <v>-3140240.9638554216</v>
      </c>
      <c r="E38" s="1">
        <f t="shared" si="16"/>
        <v>361686.7469879518</v>
      </c>
      <c r="F38" s="1">
        <f t="shared" si="16"/>
        <v>400843.37349397596</v>
      </c>
      <c r="G38" s="1">
        <f t="shared" si="16"/>
        <v>443734.9397590361</v>
      </c>
      <c r="H38" s="1">
        <f t="shared" si="16"/>
        <v>491084.3373493976</v>
      </c>
      <c r="I38" s="1">
        <f t="shared" si="16"/>
        <v>543132.530120482</v>
      </c>
      <c r="J38" s="1">
        <f t="shared" si="16"/>
        <v>600361.4457831326</v>
      </c>
      <c r="K38" s="1">
        <f t="shared" si="16"/>
        <v>644337.3493975904</v>
      </c>
      <c r="L38" s="1">
        <f t="shared" si="16"/>
        <v>691566.265060241</v>
      </c>
      <c r="M38" s="1">
        <f t="shared" si="16"/>
        <v>741927.7108433734</v>
      </c>
      <c r="N38" s="1">
        <f t="shared" si="16"/>
        <v>795903.6144578314</v>
      </c>
      <c r="O38" s="1">
        <f t="shared" si="16"/>
        <v>853734.9397590362</v>
      </c>
      <c r="P38" s="1">
        <f t="shared" si="16"/>
        <v>915421.686746988</v>
      </c>
      <c r="Q38" s="1">
        <f t="shared" si="16"/>
        <v>981566.265060241</v>
      </c>
      <c r="R38" s="1">
        <f t="shared" si="16"/>
        <v>1052409.6385542168</v>
      </c>
      <c r="S38" s="1">
        <f t="shared" si="16"/>
        <v>1128072.2891566264</v>
      </c>
      <c r="T38" s="1">
        <f t="shared" si="16"/>
        <v>1185903.6144578313</v>
      </c>
      <c r="U38" s="1">
        <f t="shared" si="16"/>
        <v>1246626.5060240964</v>
      </c>
      <c r="V38" s="1">
        <f t="shared" si="16"/>
        <v>1310481.9277108433</v>
      </c>
      <c r="W38" s="1">
        <f t="shared" si="16"/>
        <v>1377469.8795180724</v>
      </c>
      <c r="X38" s="1">
        <f t="shared" si="16"/>
        <v>2389879.518072289</v>
      </c>
      <c r="Z38" s="6">
        <f t="shared" si="13"/>
        <v>0.18434612667316727</v>
      </c>
    </row>
    <row r="39" spans="2:26" ht="12.75">
      <c r="B39" t="s">
        <v>10</v>
      </c>
      <c r="C39" t="s">
        <v>15</v>
      </c>
      <c r="D39" s="1">
        <v>-173.09</v>
      </c>
      <c r="E39" s="3">
        <v>28.17</v>
      </c>
      <c r="F39" s="3">
        <v>30.17</v>
      </c>
      <c r="G39" s="3">
        <v>32.31</v>
      </c>
      <c r="H39" s="3">
        <v>34.6</v>
      </c>
      <c r="I39" s="3">
        <v>37.04</v>
      </c>
      <c r="J39" s="3">
        <v>39.65</v>
      </c>
      <c r="K39" s="3">
        <v>42.44</v>
      </c>
      <c r="L39" s="3">
        <v>45.42</v>
      </c>
      <c r="M39" s="3">
        <v>48.61</v>
      </c>
      <c r="N39" s="3">
        <v>52.01</v>
      </c>
      <c r="O39" s="3">
        <v>54.64</v>
      </c>
      <c r="P39" s="3">
        <v>57.4</v>
      </c>
      <c r="Q39" s="3">
        <v>60.3</v>
      </c>
      <c r="R39" s="3">
        <v>63.34</v>
      </c>
      <c r="S39" s="3">
        <v>66.52</v>
      </c>
      <c r="T39" s="3">
        <v>69.87</v>
      </c>
      <c r="U39" s="3">
        <v>73.38</v>
      </c>
      <c r="V39" s="3">
        <v>77.06</v>
      </c>
      <c r="W39" s="3">
        <v>80.92</v>
      </c>
      <c r="X39" s="4">
        <v>136.9</v>
      </c>
      <c r="Z39" s="6">
        <f t="shared" si="13"/>
        <v>0.21963043373090305</v>
      </c>
    </row>
    <row r="40" spans="3:26" ht="12.75">
      <c r="C40" t="s">
        <v>16</v>
      </c>
      <c r="D40" s="1">
        <f aca="true" t="shared" si="17" ref="D40:X40">D39*1000000/83</f>
        <v>-2085421.686746988</v>
      </c>
      <c r="E40" s="1">
        <f t="shared" si="17"/>
        <v>339397.5903614458</v>
      </c>
      <c r="F40" s="1">
        <f t="shared" si="17"/>
        <v>363493.9759036145</v>
      </c>
      <c r="G40" s="1">
        <f t="shared" si="17"/>
        <v>389277.108433735</v>
      </c>
      <c r="H40" s="1">
        <f t="shared" si="17"/>
        <v>416867.4698795181</v>
      </c>
      <c r="I40" s="1">
        <f t="shared" si="17"/>
        <v>446265.0602409639</v>
      </c>
      <c r="J40" s="1">
        <f t="shared" si="17"/>
        <v>477710.843373494</v>
      </c>
      <c r="K40" s="1">
        <f t="shared" si="17"/>
        <v>511325.3012048193</v>
      </c>
      <c r="L40" s="1">
        <f t="shared" si="17"/>
        <v>547228.9156626506</v>
      </c>
      <c r="M40" s="1">
        <f t="shared" si="17"/>
        <v>585662.6506024096</v>
      </c>
      <c r="N40" s="1">
        <f t="shared" si="17"/>
        <v>626626.5060240964</v>
      </c>
      <c r="O40" s="1">
        <f t="shared" si="17"/>
        <v>658313.2530120482</v>
      </c>
      <c r="P40" s="1">
        <f t="shared" si="17"/>
        <v>691566.265060241</v>
      </c>
      <c r="Q40" s="1">
        <f t="shared" si="17"/>
        <v>726506.0240963856</v>
      </c>
      <c r="R40" s="1">
        <f t="shared" si="17"/>
        <v>763132.530120482</v>
      </c>
      <c r="S40" s="1">
        <f t="shared" si="17"/>
        <v>801445.78313253</v>
      </c>
      <c r="T40" s="1">
        <f t="shared" si="17"/>
        <v>841807.2289156626</v>
      </c>
      <c r="U40" s="1">
        <f t="shared" si="17"/>
        <v>884096.3855421686</v>
      </c>
      <c r="V40" s="1">
        <f t="shared" si="17"/>
        <v>928433.734939759</v>
      </c>
      <c r="W40" s="1">
        <f t="shared" si="17"/>
        <v>974939.7590361446</v>
      </c>
      <c r="X40" s="1">
        <f t="shared" si="17"/>
        <v>1649397.5903614457</v>
      </c>
      <c r="Z40" s="6">
        <f t="shared" si="13"/>
        <v>0.2196304337374384</v>
      </c>
    </row>
    <row r="41" spans="2:26" ht="12.75">
      <c r="B41" t="s">
        <v>11</v>
      </c>
      <c r="C41" t="s">
        <v>15</v>
      </c>
      <c r="D41" s="1">
        <v>-163.664</v>
      </c>
      <c r="E41" s="3">
        <v>23.48</v>
      </c>
      <c r="F41" s="3">
        <v>25.86</v>
      </c>
      <c r="G41" s="3">
        <v>28.47</v>
      </c>
      <c r="H41" s="3">
        <v>31.34</v>
      </c>
      <c r="I41" s="3">
        <v>34.5</v>
      </c>
      <c r="J41" s="3">
        <v>37.97</v>
      </c>
      <c r="K41" s="3">
        <v>40.65</v>
      </c>
      <c r="L41" s="3">
        <v>43.52</v>
      </c>
      <c r="M41" s="3">
        <v>46.58</v>
      </c>
      <c r="N41" s="3">
        <v>49.86</v>
      </c>
      <c r="O41" s="3">
        <v>53.37</v>
      </c>
      <c r="P41" s="3">
        <v>57.12</v>
      </c>
      <c r="Q41" s="3">
        <v>61.13</v>
      </c>
      <c r="R41" s="3">
        <v>65.42</v>
      </c>
      <c r="S41" s="3">
        <v>70.01</v>
      </c>
      <c r="T41" s="3">
        <v>73.53</v>
      </c>
      <c r="U41" s="3">
        <v>77.23</v>
      </c>
      <c r="V41" s="3">
        <v>81.11</v>
      </c>
      <c r="W41" s="3">
        <v>85.18</v>
      </c>
      <c r="X41" s="4">
        <v>138.55</v>
      </c>
      <c r="Z41" s="6">
        <f t="shared" si="13"/>
        <v>0.2162349823742299</v>
      </c>
    </row>
    <row r="42" spans="3:26" ht="12.75">
      <c r="C42" t="s">
        <v>16</v>
      </c>
      <c r="D42" s="1">
        <f aca="true" t="shared" si="18" ref="D42:X42">D41*1000000/83</f>
        <v>-1971855.4216867469</v>
      </c>
      <c r="E42" s="1">
        <f t="shared" si="18"/>
        <v>282891.5662650602</v>
      </c>
      <c r="F42" s="1">
        <f t="shared" si="18"/>
        <v>311566.265060241</v>
      </c>
      <c r="G42" s="1">
        <f t="shared" si="18"/>
        <v>343012.0481927711</v>
      </c>
      <c r="H42" s="1">
        <f t="shared" si="18"/>
        <v>377590.3614457831</v>
      </c>
      <c r="I42" s="1">
        <f t="shared" si="18"/>
        <v>415662.6506024096</v>
      </c>
      <c r="J42" s="1">
        <f t="shared" si="18"/>
        <v>457469.8795180723</v>
      </c>
      <c r="K42" s="1">
        <f t="shared" si="18"/>
        <v>489759.0361445783</v>
      </c>
      <c r="L42" s="1">
        <f t="shared" si="18"/>
        <v>524337.3493975904</v>
      </c>
      <c r="M42" s="1">
        <f t="shared" si="18"/>
        <v>561204.8192771084</v>
      </c>
      <c r="N42" s="1">
        <f t="shared" si="18"/>
        <v>600722.891566265</v>
      </c>
      <c r="O42" s="1">
        <f t="shared" si="18"/>
        <v>643012.048192771</v>
      </c>
      <c r="P42" s="1">
        <f t="shared" si="18"/>
        <v>688192.7710843374</v>
      </c>
      <c r="Q42" s="1">
        <f t="shared" si="18"/>
        <v>736506.0240963856</v>
      </c>
      <c r="R42" s="1">
        <f t="shared" si="18"/>
        <v>788192.7710843374</v>
      </c>
      <c r="S42" s="1">
        <f t="shared" si="18"/>
        <v>843493.9759036144</v>
      </c>
      <c r="T42" s="1">
        <f t="shared" si="18"/>
        <v>885903.6144578314</v>
      </c>
      <c r="U42" s="1">
        <f t="shared" si="18"/>
        <v>930481.9277108434</v>
      </c>
      <c r="V42" s="1">
        <f t="shared" si="18"/>
        <v>977228.9156626506</v>
      </c>
      <c r="W42" s="1">
        <f t="shared" si="18"/>
        <v>1026265.0602409638</v>
      </c>
      <c r="X42" s="1">
        <f t="shared" si="18"/>
        <v>1669277.1084337349</v>
      </c>
      <c r="Z42" s="6">
        <f t="shared" si="13"/>
        <v>0.21623498238029507</v>
      </c>
    </row>
    <row r="44" spans="2:24" ht="12.75">
      <c r="B44" t="s">
        <v>12</v>
      </c>
      <c r="D44" s="1">
        <f aca="true" t="shared" si="19" ref="D44:X44">D42+D40+D38+D36+D34</f>
        <v>-12068132.53012048</v>
      </c>
      <c r="E44" s="1">
        <f t="shared" si="19"/>
        <v>1593614.4578313252</v>
      </c>
      <c r="F44" s="1">
        <f t="shared" si="19"/>
        <v>1750963.855421687</v>
      </c>
      <c r="G44" s="1">
        <f t="shared" si="19"/>
        <v>1923132.530120482</v>
      </c>
      <c r="H44" s="1">
        <f t="shared" si="19"/>
        <v>2111686.746987952</v>
      </c>
      <c r="I44" s="1">
        <f t="shared" si="19"/>
        <v>2318313.253012048</v>
      </c>
      <c r="J44" s="1">
        <f t="shared" si="19"/>
        <v>2544337.349397591</v>
      </c>
      <c r="K44" s="1">
        <f t="shared" si="19"/>
        <v>2728072.2891566264</v>
      </c>
      <c r="L44" s="1">
        <f t="shared" si="19"/>
        <v>2924578.3132530116</v>
      </c>
      <c r="M44" s="1">
        <f t="shared" si="19"/>
        <v>3134698.7951807226</v>
      </c>
      <c r="N44" s="1">
        <f t="shared" si="19"/>
        <v>3359397.5903614457</v>
      </c>
      <c r="O44" s="1">
        <f t="shared" si="19"/>
        <v>3587831.325301205</v>
      </c>
      <c r="P44" s="1">
        <f t="shared" si="19"/>
        <v>3831325.301204819</v>
      </c>
      <c r="Q44" s="1">
        <f t="shared" si="19"/>
        <v>4091445.7831325303</v>
      </c>
      <c r="R44" s="1">
        <f t="shared" si="19"/>
        <v>4368795.180722891</v>
      </c>
      <c r="S44" s="1">
        <f t="shared" si="19"/>
        <v>4664819.277108434</v>
      </c>
      <c r="T44" s="1">
        <f t="shared" si="19"/>
        <v>4902289.156626506</v>
      </c>
      <c r="U44" s="1">
        <f t="shared" si="19"/>
        <v>5151445.78313253</v>
      </c>
      <c r="V44" s="1">
        <f t="shared" si="19"/>
        <v>5413012.048192771</v>
      </c>
      <c r="W44" s="1">
        <f t="shared" si="19"/>
        <v>5687710.843373493</v>
      </c>
      <c r="X44" s="1">
        <f t="shared" si="19"/>
        <v>9596385.542168673</v>
      </c>
    </row>
  </sheetData>
  <mergeCells count="5">
    <mergeCell ref="J3:K3"/>
    <mergeCell ref="B3:C3"/>
    <mergeCell ref="D3:E3"/>
    <mergeCell ref="F3:G3"/>
    <mergeCell ref="H3:I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O35"/>
  <sheetViews>
    <sheetView workbookViewId="0" topLeftCell="A1">
      <selection activeCell="E41" sqref="E41"/>
    </sheetView>
  </sheetViews>
  <sheetFormatPr defaultColWidth="9.140625" defaultRowHeight="12.75"/>
  <cols>
    <col min="2" max="2" width="17.140625" style="0" customWidth="1"/>
    <col min="3" max="3" width="11.7109375" style="0" customWidth="1"/>
    <col min="4" max="4" width="16.421875" style="0" customWidth="1"/>
    <col min="5" max="5" width="11.140625" style="0" customWidth="1"/>
    <col min="6" max="6" width="12.421875" style="0" customWidth="1"/>
    <col min="8" max="8" width="14.140625" style="0" customWidth="1"/>
    <col min="10" max="10" width="13.28125" style="0" customWidth="1"/>
    <col min="12" max="12" width="3.28125" style="0" customWidth="1"/>
    <col min="13" max="13" width="15.57421875" style="0" customWidth="1"/>
    <col min="14" max="14" width="12.8515625" style="0" customWidth="1"/>
    <col min="15" max="15" width="11.421875" style="0" customWidth="1"/>
  </cols>
  <sheetData>
    <row r="2" spans="1:15" ht="38.25">
      <c r="A2" t="s">
        <v>6</v>
      </c>
      <c r="B2" t="s">
        <v>7</v>
      </c>
      <c r="D2" t="s">
        <v>8</v>
      </c>
      <c r="F2" t="s">
        <v>9</v>
      </c>
      <c r="H2" t="s">
        <v>10</v>
      </c>
      <c r="J2" t="s">
        <v>11</v>
      </c>
      <c r="M2" s="10" t="s">
        <v>12</v>
      </c>
      <c r="N2" s="10" t="s">
        <v>13</v>
      </c>
      <c r="O2" s="10" t="s">
        <v>14</v>
      </c>
    </row>
    <row r="3" spans="2:11" ht="12.75">
      <c r="B3" t="s">
        <v>15</v>
      </c>
      <c r="C3" t="s">
        <v>16</v>
      </c>
      <c r="D3" t="s">
        <v>15</v>
      </c>
      <c r="E3" t="s">
        <v>16</v>
      </c>
      <c r="F3" t="s">
        <v>15</v>
      </c>
      <c r="G3" t="s">
        <v>16</v>
      </c>
      <c r="H3" t="s">
        <v>15</v>
      </c>
      <c r="I3" t="s">
        <v>16</v>
      </c>
      <c r="J3" t="s">
        <v>15</v>
      </c>
      <c r="K3" t="s">
        <v>16</v>
      </c>
    </row>
    <row r="4" spans="1:15" ht="12.75">
      <c r="A4">
        <v>2006</v>
      </c>
      <c r="B4" s="1">
        <v>-146.36</v>
      </c>
      <c r="C4" s="1">
        <f aca="true" t="shared" si="0" ref="C4:C24">B4*1000000/83</f>
        <v>-1763373.4939759036</v>
      </c>
      <c r="D4" s="1">
        <v>-257.901</v>
      </c>
      <c r="E4" s="1">
        <f aca="true" t="shared" si="1" ref="E4:E24">D4*1000000/83</f>
        <v>-3107240.9638554216</v>
      </c>
      <c r="F4" s="1">
        <v>-260.64</v>
      </c>
      <c r="G4" s="1">
        <f aca="true" t="shared" si="2" ref="G4:G24">F4*1000000/83</f>
        <v>-3140240.9638554216</v>
      </c>
      <c r="H4" s="1">
        <v>-173.09</v>
      </c>
      <c r="I4" s="1">
        <f aca="true" t="shared" si="3" ref="I4:I24">H4*1000000/83</f>
        <v>-2085421.686746988</v>
      </c>
      <c r="J4" s="1">
        <v>-163.664</v>
      </c>
      <c r="K4" s="1">
        <f aca="true" t="shared" si="4" ref="K4:K24">J4*1000000/83</f>
        <v>-1971855.4216867469</v>
      </c>
      <c r="M4" s="1">
        <f>K4+I4+G4+E4+C4</f>
        <v>-12068132.53012048</v>
      </c>
      <c r="N4">
        <v>0</v>
      </c>
      <c r="O4">
        <f>15000000-13600000</f>
        <v>1400000</v>
      </c>
    </row>
    <row r="5" spans="1:15" ht="12.75">
      <c r="A5" s="2">
        <f>A4+1</f>
        <v>2007</v>
      </c>
      <c r="B5" s="3">
        <v>16.03</v>
      </c>
      <c r="C5" s="1">
        <f t="shared" si="0"/>
        <v>193132.53012048194</v>
      </c>
      <c r="D5" s="3">
        <v>34.57</v>
      </c>
      <c r="E5" s="1">
        <f t="shared" si="1"/>
        <v>416506.0240963855</v>
      </c>
      <c r="F5" s="3">
        <v>30.02</v>
      </c>
      <c r="G5" s="1">
        <f t="shared" si="2"/>
        <v>361686.7469879518</v>
      </c>
      <c r="H5" s="3">
        <v>28.17</v>
      </c>
      <c r="I5" s="1">
        <f t="shared" si="3"/>
        <v>339397.5903614458</v>
      </c>
      <c r="J5" s="3">
        <v>23.48</v>
      </c>
      <c r="K5" s="1">
        <f t="shared" si="4"/>
        <v>282891.5662650602</v>
      </c>
      <c r="M5" s="1">
        <f aca="true" t="shared" si="5" ref="M5:M24">K5+I5+G5+E5+C5</f>
        <v>1593614.4578313252</v>
      </c>
      <c r="N5">
        <v>460876.51188429404</v>
      </c>
      <c r="O5">
        <v>1578795.1807228914</v>
      </c>
    </row>
    <row r="6" spans="1:15" ht="12.75">
      <c r="A6" s="2">
        <f aca="true" t="shared" si="6" ref="A6:A24">A5+1</f>
        <v>2008</v>
      </c>
      <c r="B6" s="3">
        <v>17.79</v>
      </c>
      <c r="C6" s="1">
        <f t="shared" si="0"/>
        <v>214337.34939759035</v>
      </c>
      <c r="D6" s="3">
        <v>38.24</v>
      </c>
      <c r="E6" s="1">
        <f t="shared" si="1"/>
        <v>460722.8915662651</v>
      </c>
      <c r="F6" s="3">
        <v>33.27</v>
      </c>
      <c r="G6" s="1">
        <f t="shared" si="2"/>
        <v>400843.37349397596</v>
      </c>
      <c r="H6" s="3">
        <v>30.17</v>
      </c>
      <c r="I6" s="1">
        <f t="shared" si="3"/>
        <v>363493.9759036145</v>
      </c>
      <c r="J6" s="3">
        <v>25.86</v>
      </c>
      <c r="K6" s="1">
        <f t="shared" si="4"/>
        <v>311566.265060241</v>
      </c>
      <c r="M6" s="1">
        <f t="shared" si="5"/>
        <v>1750963.855421687</v>
      </c>
      <c r="N6">
        <v>1090393.1463176077</v>
      </c>
      <c r="O6">
        <v>2017935.3132530116</v>
      </c>
    </row>
    <row r="7" spans="1:15" ht="12.75">
      <c r="A7" s="2">
        <f t="shared" si="6"/>
        <v>2009</v>
      </c>
      <c r="B7" s="3">
        <v>19.73</v>
      </c>
      <c r="C7" s="1">
        <f t="shared" si="0"/>
        <v>237710.843373494</v>
      </c>
      <c r="D7" s="3">
        <v>42.28</v>
      </c>
      <c r="E7" s="1">
        <f t="shared" si="1"/>
        <v>509397.5903614458</v>
      </c>
      <c r="F7" s="3">
        <v>36.83</v>
      </c>
      <c r="G7" s="1">
        <f t="shared" si="2"/>
        <v>443734.9397590361</v>
      </c>
      <c r="H7" s="3">
        <v>32.31</v>
      </c>
      <c r="I7" s="1">
        <f t="shared" si="3"/>
        <v>389277.108433735</v>
      </c>
      <c r="J7" s="3">
        <v>28.47</v>
      </c>
      <c r="K7" s="1">
        <f t="shared" si="4"/>
        <v>343012.0481927711</v>
      </c>
      <c r="M7" s="1">
        <f t="shared" si="5"/>
        <v>1923132.530120482</v>
      </c>
      <c r="N7">
        <v>1673257.3297705294</v>
      </c>
      <c r="O7">
        <f>28000000-25594784.241253</f>
        <v>2405215.7587470002</v>
      </c>
    </row>
    <row r="8" spans="1:15" ht="12.75">
      <c r="A8" s="2">
        <f t="shared" si="6"/>
        <v>2010</v>
      </c>
      <c r="B8" s="3">
        <v>21.86</v>
      </c>
      <c r="C8" s="1">
        <f t="shared" si="0"/>
        <v>263373.4939759036</v>
      </c>
      <c r="D8" s="3">
        <v>46.71</v>
      </c>
      <c r="E8" s="1">
        <f t="shared" si="1"/>
        <v>562771.0843373494</v>
      </c>
      <c r="F8" s="3">
        <v>40.76</v>
      </c>
      <c r="G8" s="1">
        <f t="shared" si="2"/>
        <v>491084.3373493976</v>
      </c>
      <c r="H8" s="3">
        <v>34.6</v>
      </c>
      <c r="I8" s="1">
        <f t="shared" si="3"/>
        <v>416867.4698795181</v>
      </c>
      <c r="J8" s="3">
        <v>31.34</v>
      </c>
      <c r="K8" s="1">
        <f t="shared" si="4"/>
        <v>377590.3614457831</v>
      </c>
      <c r="M8" s="1">
        <f t="shared" si="5"/>
        <v>2111686.746987952</v>
      </c>
      <c r="N8">
        <v>2288672.6896940386</v>
      </c>
      <c r="O8">
        <v>2780997.6705974005</v>
      </c>
    </row>
    <row r="9" spans="1:15" ht="12.75">
      <c r="A9" s="2">
        <f t="shared" si="6"/>
        <v>2011</v>
      </c>
      <c r="B9" s="3">
        <v>24.2</v>
      </c>
      <c r="C9" s="1">
        <f t="shared" si="0"/>
        <v>291566.265060241</v>
      </c>
      <c r="D9" s="3">
        <v>51.6</v>
      </c>
      <c r="E9" s="1">
        <f t="shared" si="1"/>
        <v>621686.7469879518</v>
      </c>
      <c r="F9" s="3">
        <v>45.08</v>
      </c>
      <c r="G9" s="1">
        <f t="shared" si="2"/>
        <v>543132.530120482</v>
      </c>
      <c r="H9" s="3">
        <v>37.04</v>
      </c>
      <c r="I9" s="1">
        <f t="shared" si="3"/>
        <v>446265.0602409639</v>
      </c>
      <c r="J9" s="3">
        <v>34.5</v>
      </c>
      <c r="K9" s="1">
        <f t="shared" si="4"/>
        <v>415662.6506024096</v>
      </c>
      <c r="M9" s="1">
        <f t="shared" si="5"/>
        <v>2318313.253012048</v>
      </c>
      <c r="N9">
        <v>2384626.8073410974</v>
      </c>
      <c r="O9">
        <v>3252642.53367362</v>
      </c>
    </row>
    <row r="10" spans="1:15" ht="12.75">
      <c r="A10" s="2">
        <f t="shared" si="6"/>
        <v>2012</v>
      </c>
      <c r="B10" s="3">
        <v>26.77</v>
      </c>
      <c r="C10" s="1">
        <f t="shared" si="0"/>
        <v>322530.1204819277</v>
      </c>
      <c r="D10" s="3">
        <v>56.96</v>
      </c>
      <c r="E10" s="1">
        <f t="shared" si="1"/>
        <v>686265.0602409638</v>
      </c>
      <c r="F10" s="3">
        <v>49.83</v>
      </c>
      <c r="G10" s="1">
        <f t="shared" si="2"/>
        <v>600361.4457831326</v>
      </c>
      <c r="H10" s="3">
        <v>39.65</v>
      </c>
      <c r="I10" s="1">
        <f t="shared" si="3"/>
        <v>477710.843373494</v>
      </c>
      <c r="J10" s="3">
        <v>37.97</v>
      </c>
      <c r="K10" s="1">
        <f t="shared" si="4"/>
        <v>457469.8795180723</v>
      </c>
      <c r="M10" s="1">
        <f t="shared" si="5"/>
        <v>2544337.349397591</v>
      </c>
      <c r="N10">
        <v>2397345.6308705094</v>
      </c>
      <c r="O10">
        <v>3776866.486457208</v>
      </c>
    </row>
    <row r="11" spans="1:15" ht="12.75">
      <c r="A11" s="2">
        <f t="shared" si="6"/>
        <v>2013</v>
      </c>
      <c r="B11" s="3">
        <v>28.76</v>
      </c>
      <c r="C11" s="1">
        <f t="shared" si="0"/>
        <v>346506.0240963855</v>
      </c>
      <c r="D11" s="3">
        <v>61.1</v>
      </c>
      <c r="E11" s="1">
        <f t="shared" si="1"/>
        <v>736144.578313253</v>
      </c>
      <c r="F11" s="3">
        <v>53.48</v>
      </c>
      <c r="G11" s="1">
        <f t="shared" si="2"/>
        <v>644337.3493975904</v>
      </c>
      <c r="H11" s="3">
        <v>42.44</v>
      </c>
      <c r="I11" s="1">
        <f t="shared" si="3"/>
        <v>511325.3012048193</v>
      </c>
      <c r="J11" s="3">
        <v>40.65</v>
      </c>
      <c r="K11" s="1">
        <f t="shared" si="4"/>
        <v>489759.0361445783</v>
      </c>
      <c r="M11" s="1">
        <f t="shared" si="5"/>
        <v>2728072.2891566264</v>
      </c>
      <c r="N11">
        <v>2418142.1014587446</v>
      </c>
      <c r="O11">
        <v>4365933.927403307</v>
      </c>
    </row>
    <row r="12" spans="1:15" ht="12.75">
      <c r="A12" s="2">
        <f t="shared" si="6"/>
        <v>2014</v>
      </c>
      <c r="B12" s="3">
        <v>30.88</v>
      </c>
      <c r="C12" s="1">
        <f t="shared" si="0"/>
        <v>372048.1927710843</v>
      </c>
      <c r="D12" s="3">
        <v>65.52</v>
      </c>
      <c r="E12" s="1">
        <f t="shared" si="1"/>
        <v>789397.5903614457</v>
      </c>
      <c r="F12" s="3">
        <v>57.4</v>
      </c>
      <c r="G12" s="1">
        <f t="shared" si="2"/>
        <v>691566.265060241</v>
      </c>
      <c r="H12" s="3">
        <v>45.42</v>
      </c>
      <c r="I12" s="1">
        <f t="shared" si="3"/>
        <v>547228.9156626506</v>
      </c>
      <c r="J12" s="3">
        <v>43.52</v>
      </c>
      <c r="K12" s="1">
        <f t="shared" si="4"/>
        <v>524337.3493975904</v>
      </c>
      <c r="M12" s="1">
        <f t="shared" si="5"/>
        <v>2924578.3132530116</v>
      </c>
      <c r="N12">
        <v>2438142.1014587446</v>
      </c>
      <c r="O12">
        <v>5039717.95853344</v>
      </c>
    </row>
    <row r="13" spans="1:15" ht="12.75">
      <c r="A13" s="2">
        <f t="shared" si="6"/>
        <v>2015</v>
      </c>
      <c r="B13" s="3">
        <v>33.15</v>
      </c>
      <c r="C13" s="1">
        <f t="shared" si="0"/>
        <v>399397.5903614458</v>
      </c>
      <c r="D13" s="3">
        <v>70.26</v>
      </c>
      <c r="E13" s="1">
        <f t="shared" si="1"/>
        <v>846506.0240963856</v>
      </c>
      <c r="F13" s="3">
        <v>61.58</v>
      </c>
      <c r="G13" s="1">
        <f t="shared" si="2"/>
        <v>741927.7108433734</v>
      </c>
      <c r="H13" s="3">
        <v>48.61</v>
      </c>
      <c r="I13" s="1">
        <f t="shared" si="3"/>
        <v>585662.6506024096</v>
      </c>
      <c r="J13" s="3">
        <v>46.58</v>
      </c>
      <c r="K13" s="1">
        <f t="shared" si="4"/>
        <v>561204.8192771084</v>
      </c>
      <c r="M13" s="1">
        <f t="shared" si="5"/>
        <v>3134698.7951807226</v>
      </c>
      <c r="N13">
        <v>2470142.1014587446</v>
      </c>
      <c r="O13">
        <v>3951767.2762014046</v>
      </c>
    </row>
    <row r="14" spans="1:15" ht="12.75">
      <c r="A14" s="2">
        <f t="shared" si="6"/>
        <v>2016</v>
      </c>
      <c r="B14" s="3">
        <v>35.58</v>
      </c>
      <c r="C14" s="1">
        <f t="shared" si="0"/>
        <v>428674.6987951807</v>
      </c>
      <c r="D14" s="3">
        <v>75.32</v>
      </c>
      <c r="E14" s="1">
        <f t="shared" si="1"/>
        <v>907469.8795180722</v>
      </c>
      <c r="F14" s="3">
        <v>66.06</v>
      </c>
      <c r="G14" s="1">
        <f t="shared" si="2"/>
        <v>795903.6144578314</v>
      </c>
      <c r="H14" s="3">
        <v>52.01</v>
      </c>
      <c r="I14" s="1">
        <f t="shared" si="3"/>
        <v>626626.5060240964</v>
      </c>
      <c r="J14" s="3">
        <v>49.86</v>
      </c>
      <c r="K14" s="1">
        <f t="shared" si="4"/>
        <v>600722.891566265</v>
      </c>
      <c r="M14" s="1">
        <f t="shared" si="5"/>
        <v>3359397.5903614457</v>
      </c>
      <c r="N14">
        <v>2497906.8073410974</v>
      </c>
      <c r="O14">
        <v>5464380.181703903</v>
      </c>
    </row>
    <row r="15" spans="1:15" ht="12.75">
      <c r="A15" s="2">
        <f t="shared" si="6"/>
        <v>2017</v>
      </c>
      <c r="B15" s="3">
        <v>38.18</v>
      </c>
      <c r="C15" s="1">
        <f t="shared" si="0"/>
        <v>460000</v>
      </c>
      <c r="D15" s="3">
        <v>80.74</v>
      </c>
      <c r="E15" s="1">
        <f t="shared" si="1"/>
        <v>972771.0843373494</v>
      </c>
      <c r="F15" s="3">
        <v>70.86</v>
      </c>
      <c r="G15" s="1">
        <f t="shared" si="2"/>
        <v>853734.9397590362</v>
      </c>
      <c r="H15" s="3">
        <v>54.64</v>
      </c>
      <c r="I15" s="1">
        <f t="shared" si="3"/>
        <v>658313.2530120482</v>
      </c>
      <c r="J15" s="3">
        <v>53.37</v>
      </c>
      <c r="K15" s="1">
        <f t="shared" si="4"/>
        <v>643012.048192771</v>
      </c>
      <c r="M15" s="1">
        <f t="shared" si="5"/>
        <v>3587831.325301205</v>
      </c>
      <c r="N15">
        <v>2519083.277929333</v>
      </c>
      <c r="O15">
        <v>6146686.453515559</v>
      </c>
    </row>
    <row r="16" spans="1:15" ht="12.75">
      <c r="A16" s="2">
        <f t="shared" si="6"/>
        <v>2018</v>
      </c>
      <c r="B16" s="3">
        <v>40.96</v>
      </c>
      <c r="C16" s="1">
        <f t="shared" si="0"/>
        <v>493493.9759036145</v>
      </c>
      <c r="D16" s="3">
        <v>86.54</v>
      </c>
      <c r="E16" s="1">
        <f t="shared" si="1"/>
        <v>1042650.6024096386</v>
      </c>
      <c r="F16" s="3">
        <v>75.98</v>
      </c>
      <c r="G16" s="1">
        <f t="shared" si="2"/>
        <v>915421.686746988</v>
      </c>
      <c r="H16" s="3">
        <v>57.4</v>
      </c>
      <c r="I16" s="1">
        <f t="shared" si="3"/>
        <v>691566.265060241</v>
      </c>
      <c r="J16" s="3">
        <v>57.12</v>
      </c>
      <c r="K16" s="1">
        <f t="shared" si="4"/>
        <v>688192.7710843374</v>
      </c>
      <c r="M16" s="1">
        <f t="shared" si="5"/>
        <v>3831325.301204819</v>
      </c>
      <c r="N16">
        <v>2530847.983811686</v>
      </c>
      <c r="O16">
        <v>7344737.89905712</v>
      </c>
    </row>
    <row r="17" spans="1:15" ht="12.75">
      <c r="A17" s="2">
        <f t="shared" si="6"/>
        <v>2019</v>
      </c>
      <c r="B17" s="3">
        <v>43.94</v>
      </c>
      <c r="C17" s="1">
        <f t="shared" si="0"/>
        <v>529397.5903614458</v>
      </c>
      <c r="D17" s="3">
        <v>92.75</v>
      </c>
      <c r="E17" s="1">
        <f t="shared" si="1"/>
        <v>1117469.8795180724</v>
      </c>
      <c r="F17" s="3">
        <v>81.47</v>
      </c>
      <c r="G17" s="1">
        <f t="shared" si="2"/>
        <v>981566.265060241</v>
      </c>
      <c r="H17" s="3">
        <v>60.3</v>
      </c>
      <c r="I17" s="1">
        <f t="shared" si="3"/>
        <v>726506.0240963856</v>
      </c>
      <c r="J17" s="3">
        <v>61.13</v>
      </c>
      <c r="K17" s="1">
        <f t="shared" si="4"/>
        <v>736506.0240963856</v>
      </c>
      <c r="M17" s="1">
        <f t="shared" si="5"/>
        <v>4091445.7831325303</v>
      </c>
      <c r="N17">
        <v>2530847.983811686</v>
      </c>
      <c r="O17">
        <v>8450608.487763323</v>
      </c>
    </row>
    <row r="18" spans="1:15" ht="12.75">
      <c r="A18" s="2">
        <f t="shared" si="6"/>
        <v>2020</v>
      </c>
      <c r="B18" s="3">
        <v>47.12</v>
      </c>
      <c r="C18" s="1">
        <f t="shared" si="0"/>
        <v>567710.843373494</v>
      </c>
      <c r="D18" s="3">
        <v>99.38</v>
      </c>
      <c r="E18" s="1">
        <f t="shared" si="1"/>
        <v>1197349.3975903615</v>
      </c>
      <c r="F18" s="3">
        <v>87.35</v>
      </c>
      <c r="G18" s="1">
        <f t="shared" si="2"/>
        <v>1052409.6385542168</v>
      </c>
      <c r="H18" s="3">
        <v>63.34</v>
      </c>
      <c r="I18" s="1">
        <f t="shared" si="3"/>
        <v>763132.530120482</v>
      </c>
      <c r="J18" s="3">
        <v>65.42</v>
      </c>
      <c r="K18" s="1">
        <f t="shared" si="4"/>
        <v>788192.7710843374</v>
      </c>
      <c r="M18" s="1">
        <f t="shared" si="5"/>
        <v>4368795.180722891</v>
      </c>
      <c r="N18">
        <v>2530847.983811686</v>
      </c>
      <c r="O18">
        <v>9587505.059581425</v>
      </c>
    </row>
    <row r="19" spans="1:15" ht="12.75">
      <c r="A19" s="2">
        <f t="shared" si="6"/>
        <v>2021</v>
      </c>
      <c r="B19" s="3">
        <v>50.53</v>
      </c>
      <c r="C19" s="1">
        <f t="shared" si="0"/>
        <v>608795.1807228916</v>
      </c>
      <c r="D19" s="3">
        <v>106.49</v>
      </c>
      <c r="E19" s="1">
        <f t="shared" si="1"/>
        <v>1283012.0481927712</v>
      </c>
      <c r="F19" s="3">
        <v>93.63</v>
      </c>
      <c r="G19" s="1">
        <f t="shared" si="2"/>
        <v>1128072.2891566264</v>
      </c>
      <c r="H19" s="3">
        <v>66.52</v>
      </c>
      <c r="I19" s="1">
        <f t="shared" si="3"/>
        <v>801445.78313253</v>
      </c>
      <c r="J19" s="3">
        <v>70.01</v>
      </c>
      <c r="K19" s="1">
        <f t="shared" si="4"/>
        <v>843493.9759036144</v>
      </c>
      <c r="M19" s="1">
        <f t="shared" si="5"/>
        <v>4664819.277108434</v>
      </c>
      <c r="N19">
        <v>2530847.983811686</v>
      </c>
      <c r="O19">
        <v>10795889.70475905</v>
      </c>
    </row>
    <row r="20" spans="1:15" ht="12.75">
      <c r="A20" s="2">
        <f t="shared" si="6"/>
        <v>2022</v>
      </c>
      <c r="B20" s="3">
        <v>53.14</v>
      </c>
      <c r="C20" s="1">
        <f t="shared" si="0"/>
        <v>640240.9638554216</v>
      </c>
      <c r="D20" s="3">
        <v>111.92</v>
      </c>
      <c r="E20" s="1">
        <f t="shared" si="1"/>
        <v>1348433.7349397591</v>
      </c>
      <c r="F20" s="3">
        <v>98.43</v>
      </c>
      <c r="G20" s="1">
        <f t="shared" si="2"/>
        <v>1185903.6144578313</v>
      </c>
      <c r="H20" s="3">
        <v>69.87</v>
      </c>
      <c r="I20" s="1">
        <f t="shared" si="3"/>
        <v>841807.2289156626</v>
      </c>
      <c r="J20" s="3">
        <v>73.53</v>
      </c>
      <c r="K20" s="1">
        <f t="shared" si="4"/>
        <v>885903.6144578314</v>
      </c>
      <c r="M20" s="1">
        <f t="shared" si="5"/>
        <v>4902289.156626506</v>
      </c>
      <c r="N20">
        <v>2530847.983811686</v>
      </c>
      <c r="O20">
        <v>12033435.0228125</v>
      </c>
    </row>
    <row r="21" spans="1:15" ht="12.75">
      <c r="A21" s="2">
        <f t="shared" si="6"/>
        <v>2023</v>
      </c>
      <c r="B21" s="3">
        <v>55.87</v>
      </c>
      <c r="C21" s="1">
        <f t="shared" si="0"/>
        <v>673132.530120482</v>
      </c>
      <c r="D21" s="3">
        <v>117.62</v>
      </c>
      <c r="E21" s="1">
        <f t="shared" si="1"/>
        <v>1417108.4337349397</v>
      </c>
      <c r="F21" s="3">
        <v>103.47</v>
      </c>
      <c r="G21" s="1">
        <f t="shared" si="2"/>
        <v>1246626.5060240964</v>
      </c>
      <c r="H21" s="3">
        <v>73.38</v>
      </c>
      <c r="I21" s="1">
        <f t="shared" si="3"/>
        <v>884096.3855421686</v>
      </c>
      <c r="J21" s="3">
        <v>77.23</v>
      </c>
      <c r="K21" s="1">
        <f t="shared" si="4"/>
        <v>930481.9277108434</v>
      </c>
      <c r="M21" s="1">
        <f t="shared" si="5"/>
        <v>5151445.78313253</v>
      </c>
      <c r="N21">
        <v>2530847.983811686</v>
      </c>
      <c r="O21">
        <v>13420588.191940175</v>
      </c>
    </row>
    <row r="22" spans="1:15" ht="12.75">
      <c r="A22" s="2">
        <f t="shared" si="6"/>
        <v>2024</v>
      </c>
      <c r="B22" s="3">
        <v>58.74</v>
      </c>
      <c r="C22" s="1">
        <f t="shared" si="0"/>
        <v>707710.843373494</v>
      </c>
      <c r="D22" s="3">
        <v>123.6</v>
      </c>
      <c r="E22" s="1">
        <f t="shared" si="1"/>
        <v>1489156.626506024</v>
      </c>
      <c r="F22" s="3">
        <v>108.77</v>
      </c>
      <c r="G22" s="1">
        <f t="shared" si="2"/>
        <v>1310481.9277108433</v>
      </c>
      <c r="H22" s="3">
        <v>77.06</v>
      </c>
      <c r="I22" s="1">
        <f t="shared" si="3"/>
        <v>928433.734939759</v>
      </c>
      <c r="J22" s="3">
        <v>81.11</v>
      </c>
      <c r="K22" s="1">
        <f t="shared" si="4"/>
        <v>977228.9156626506</v>
      </c>
      <c r="M22" s="1">
        <f t="shared" si="5"/>
        <v>5413012.048192771</v>
      </c>
      <c r="N22">
        <v>2530847.983811686</v>
      </c>
      <c r="O22">
        <v>14974533.153999945</v>
      </c>
    </row>
    <row r="23" spans="1:15" ht="12.75">
      <c r="A23" s="2">
        <f t="shared" si="6"/>
        <v>2025</v>
      </c>
      <c r="B23" s="3">
        <v>61.76</v>
      </c>
      <c r="C23" s="1">
        <f t="shared" si="0"/>
        <v>744096.3855421686</v>
      </c>
      <c r="D23" s="3">
        <v>129.89</v>
      </c>
      <c r="E23" s="1">
        <f t="shared" si="1"/>
        <v>1564939.7590361445</v>
      </c>
      <c r="F23" s="3">
        <v>114.33</v>
      </c>
      <c r="G23" s="1">
        <f t="shared" si="2"/>
        <v>1377469.8795180724</v>
      </c>
      <c r="H23" s="3">
        <v>80.92</v>
      </c>
      <c r="I23" s="1">
        <f t="shared" si="3"/>
        <v>974939.7590361446</v>
      </c>
      <c r="J23" s="3">
        <v>85.18</v>
      </c>
      <c r="K23" s="1">
        <f t="shared" si="4"/>
        <v>1026265.0602409638</v>
      </c>
      <c r="M23" s="1">
        <f t="shared" si="5"/>
        <v>5687710.843373493</v>
      </c>
      <c r="N23">
        <v>2514377.3955763914</v>
      </c>
      <c r="O23">
        <v>16714344.004897442</v>
      </c>
    </row>
    <row r="24" spans="1:15" ht="12.75">
      <c r="A24" s="2">
        <f t="shared" si="6"/>
        <v>2026</v>
      </c>
      <c r="B24" s="4">
        <v>108.83</v>
      </c>
      <c r="C24" s="1">
        <f t="shared" si="0"/>
        <v>1311204.8192771084</v>
      </c>
      <c r="D24" s="4">
        <v>213.86</v>
      </c>
      <c r="E24" s="1">
        <f t="shared" si="1"/>
        <v>2576626.506024096</v>
      </c>
      <c r="F24" s="4">
        <v>198.36</v>
      </c>
      <c r="G24" s="1">
        <f t="shared" si="2"/>
        <v>2389879.518072289</v>
      </c>
      <c r="H24" s="4">
        <v>136.9</v>
      </c>
      <c r="I24" s="1">
        <f t="shared" si="3"/>
        <v>1649397.5903614457</v>
      </c>
      <c r="J24" s="4">
        <v>138.55</v>
      </c>
      <c r="K24" s="1">
        <f t="shared" si="4"/>
        <v>1669277.1084337349</v>
      </c>
      <c r="M24" s="1">
        <f t="shared" si="5"/>
        <v>9596385.542168673</v>
      </c>
      <c r="O24">
        <v>18661186.589127757</v>
      </c>
    </row>
    <row r="25" spans="2:15" ht="12.75">
      <c r="B25" s="5"/>
      <c r="O25">
        <v>20838541.13506332</v>
      </c>
    </row>
    <row r="26" spans="2:15" ht="12.75">
      <c r="B26" s="6">
        <f aca="true" t="shared" si="7" ref="B26:K26">IRR(B4:B24)</f>
        <v>0.17772810791390503</v>
      </c>
      <c r="C26" s="6">
        <f t="shared" si="7"/>
        <v>0.177728107913905</v>
      </c>
      <c r="D26" s="6">
        <f t="shared" si="7"/>
        <v>0.207509417819286</v>
      </c>
      <c r="E26" s="6">
        <f t="shared" si="7"/>
        <v>0.2075094178205171</v>
      </c>
      <c r="F26" s="6">
        <f t="shared" si="7"/>
        <v>0.18434612667316716</v>
      </c>
      <c r="G26" s="6">
        <f t="shared" si="7"/>
        <v>0.18434612667316727</v>
      </c>
      <c r="H26" s="6">
        <f t="shared" si="7"/>
        <v>0.21963043373090305</v>
      </c>
      <c r="I26" s="6">
        <f t="shared" si="7"/>
        <v>0.2196304337374384</v>
      </c>
      <c r="J26" s="6">
        <f t="shared" si="7"/>
        <v>0.2162349823742299</v>
      </c>
      <c r="K26" s="6">
        <f t="shared" si="7"/>
        <v>0.21623498238029507</v>
      </c>
      <c r="O26">
        <v>23272448.093424037</v>
      </c>
    </row>
    <row r="27" ht="12.75">
      <c r="O27">
        <v>25991779.561126415</v>
      </c>
    </row>
    <row r="28" ht="12.75">
      <c r="O28">
        <v>50528538.9146181</v>
      </c>
    </row>
    <row r="34" ht="12.75">
      <c r="A34" t="s">
        <v>17</v>
      </c>
    </row>
    <row r="35" spans="1:2" ht="12.75">
      <c r="A35">
        <v>54000</v>
      </c>
      <c r="B35">
        <f>A35/83</f>
        <v>650.6024096385543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Jigar D. Bhatt</dc:creator>
  <cp:keywords/>
  <dc:description/>
  <cp:lastModifiedBy>defuser</cp:lastModifiedBy>
  <cp:lastPrinted>2007-12-19T17:28:26Z</cp:lastPrinted>
  <dcterms:created xsi:type="dcterms:W3CDTF">2007-08-29T19:57:28Z</dcterms:created>
  <dcterms:modified xsi:type="dcterms:W3CDTF">2008-02-26T18:44:41Z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