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310" activeTab="0"/>
  </bookViews>
  <sheets>
    <sheet name="Incentive effect" sheetId="1" r:id="rId1"/>
    <sheet name="Price threshold effect" sheetId="2" r:id="rId2"/>
    <sheet name="Net forgone royalty" sheetId="3" r:id="rId3"/>
  </sheets>
  <definedNames>
    <definedName name="_xlnm.Print_Area" localSheetId="0">'Incentive effect'!$A$1:$AD$96</definedName>
    <definedName name="_xlnm.Print_Area" localSheetId="2">'Net forgone royalty'!$B$9:$CE$61</definedName>
    <definedName name="_xlnm.Print_Area" localSheetId="1">'Price threshold effect'!$A$1:$AD$96</definedName>
    <definedName name="_xlnm.Print_Titles" localSheetId="2">'Net forgone royalty'!$A:$A,'Net forgone royalty'!$1:$8</definedName>
  </definedNames>
  <calcPr fullCalcOnLoad="1"/>
</workbook>
</file>

<file path=xl/sharedStrings.xml><?xml version="1.0" encoding="utf-8"?>
<sst xmlns="http://schemas.openxmlformats.org/spreadsheetml/2006/main" count="624" uniqueCount="324">
  <si>
    <t>Assumptions</t>
  </si>
  <si>
    <t>Market and Product Characteristics</t>
  </si>
  <si>
    <t>Incentive Size and Duration</t>
  </si>
  <si>
    <t>Drilling Intensity Effects</t>
  </si>
  <si>
    <t>Incentives apply to wells drilled 2003-08, production starting 2004-09</t>
  </si>
  <si>
    <t>RSV at 15K to 18K ft</t>
  </si>
  <si>
    <t>Bcf</t>
  </si>
  <si>
    <t># deep wells</t>
  </si>
  <si>
    <t>15K-18K '</t>
  </si>
  <si>
    <t>Elasticity of U.S. Demand</t>
  </si>
  <si>
    <t>RSV at &gt; 18K ft</t>
  </si>
  <si>
    <t>drilled/discovered</t>
  </si>
  <si>
    <t>without</t>
  </si>
  <si>
    <t>with</t>
  </si>
  <si>
    <t>Elasticity of U.S. Supply</t>
  </si>
  <si>
    <t>RSS at &gt; 18K ft</t>
  </si>
  <si>
    <t>Annual average #</t>
  </si>
  <si>
    <t>incentive</t>
  </si>
  <si>
    <t>Ratio of change in supply to change in equilibrium quantity</t>
  </si>
  <si>
    <t>Condensate/Gas price</t>
  </si>
  <si>
    <t>/bbl//mcf</t>
  </si>
  <si>
    <t>at historic rates</t>
  </si>
  <si>
    <t>Average landed price of gas</t>
  </si>
  <si>
    <t>per mcf</t>
  </si>
  <si>
    <t>Liquids portion of RSV value</t>
  </si>
  <si>
    <t>Rounded</t>
  </si>
  <si>
    <t>at 1/3 COS</t>
  </si>
  <si>
    <t>Average transportation cost</t>
  </si>
  <si>
    <t>Production years without incentive, rounded</t>
  </si>
  <si>
    <t>at 1/5 COS</t>
  </si>
  <si>
    <t>Royalty rate</t>
  </si>
  <si>
    <t>Tax rate</t>
  </si>
  <si>
    <t>Average duration of RSV production (yrs)</t>
  </si>
  <si>
    <t>Discoveries</t>
  </si>
  <si>
    <t>Discount Rate</t>
  </si>
  <si>
    <t>Discount Period</t>
  </si>
  <si>
    <t>Avg discovery size Bcfe</t>
  </si>
  <si>
    <t>Discount Factor</t>
  </si>
  <si>
    <t>Average well flow rate Bcfy</t>
  </si>
  <si>
    <t>Gas/oil production ratio</t>
  </si>
  <si>
    <t>mcf/bbl</t>
  </si>
  <si>
    <t>Average duration of all post RSV prodn</t>
  </si>
  <si>
    <t>Wells per field discovered with incentive</t>
  </si>
  <si>
    <t>Thermal Gas/oil ratio</t>
  </si>
  <si>
    <t>Leases w/ 18K' dry wells w/ other production</t>
  </si>
  <si>
    <t>Gas in deep production</t>
  </si>
  <si>
    <t>Average duration of RSS production</t>
  </si>
  <si>
    <t>years</t>
  </si>
  <si>
    <t>Average well flow rate shallower than 15K' (Bcfy)</t>
  </si>
  <si>
    <t>Deep Wells Drilled Anyway</t>
  </si>
  <si>
    <t>Production and Fiscal Effects of Incentive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</si>
  <si>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</si>
  <si>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</si>
  <si>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</si>
  <si>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</si>
  <si>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</si>
  <si>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</si>
  <si>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</si>
  <si>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</si>
  <si>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</si>
  <si>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</si>
  <si>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</si>
  <si>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</si>
  <si>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</si>
  <si>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</si>
  <si>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</si>
  <si>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Increment</t>
  </si>
  <si>
    <t>Foregone Royalties</t>
  </si>
  <si>
    <t>RSV on</t>
  </si>
  <si>
    <t>Royalty-Free</t>
  </si>
  <si>
    <t>Res. Added</t>
  </si>
  <si>
    <t>Production w/ no incentive</t>
  </si>
  <si>
    <t>Condensate</t>
  </si>
  <si>
    <t>Earned</t>
  </si>
  <si>
    <t>Used</t>
  </si>
  <si>
    <t>Reserves</t>
  </si>
  <si>
    <t>Gas Flow</t>
  </si>
  <si>
    <t>Gas</t>
  </si>
  <si>
    <t>Production</t>
  </si>
  <si>
    <t>Year</t>
  </si>
  <si>
    <t>BCF</t>
  </si>
  <si>
    <t>Bcfe</t>
  </si>
  <si>
    <t>MMbbls</t>
  </si>
  <si>
    <t>RSV</t>
  </si>
  <si>
    <t>RSS</t>
  </si>
  <si>
    <t>Totals</t>
  </si>
  <si>
    <t>Net Present Value at</t>
  </si>
  <si>
    <t>Checks</t>
  </si>
  <si>
    <t>Added Production/Forgone Royalty Production</t>
  </si>
  <si>
    <t>Resource effects (TCFE)</t>
  </si>
  <si>
    <t>15K'-18K'</t>
  </si>
  <si>
    <t>Undiscovered Resources</t>
  </si>
  <si>
    <t>Resources discovered/yr w/o incentive</t>
  </si>
  <si>
    <t>Resoruces discovered/yr w/ incentive</t>
  </si>
  <si>
    <t>Net Royalty Production Change</t>
  </si>
  <si>
    <t>RSV to leases that would have drilled deep well w/o incentive</t>
  </si>
  <si>
    <t>RSS to leases w/shallow production that drilled very deep w/ incentive</t>
  </si>
  <si>
    <t>RSV used by incremental and accelerated wells drilled w/ incentive</t>
  </si>
  <si>
    <t>Accelerated portion of increase in 15K'-18K'</t>
  </si>
  <si>
    <t>PV premium on accelerated production</t>
  </si>
  <si>
    <t>Incremental production</t>
  </si>
  <si>
    <t>Added production (incremental + acceleration premium)</t>
  </si>
  <si>
    <t>Net benefits in extra royalties (Bcf)</t>
  </si>
  <si>
    <t>Incremetal</t>
  </si>
  <si>
    <t>Incremental Royalty-Bearing</t>
  </si>
  <si>
    <t>Incremental</t>
  </si>
  <si>
    <t>Original wells</t>
  </si>
  <si>
    <t>Sliders</t>
  </si>
  <si>
    <t>Sidetracks</t>
  </si>
  <si>
    <t>RSV shares</t>
  </si>
  <si>
    <t>RSS shares</t>
  </si>
  <si>
    <t>Wted avg RSV</t>
  </si>
  <si>
    <t>Wted avg RSS</t>
  </si>
  <si>
    <t>Cmpl Share</t>
  </si>
  <si>
    <t>Forecast</t>
  </si>
  <si>
    <t>Incremental reserves</t>
  </si>
  <si>
    <t>MMS-EIA</t>
  </si>
  <si>
    <t>Henry</t>
  </si>
  <si>
    <t>original</t>
  </si>
  <si>
    <t>sliders</t>
  </si>
  <si>
    <t>sidetracks</t>
  </si>
  <si>
    <t>Proposal plus sidetracks and deeper well eligibility</t>
  </si>
  <si>
    <t>Production from</t>
  </si>
  <si>
    <t>Ineligible Old Wells</t>
  </si>
  <si>
    <t>On Leases w/ no prior deep production or deeper wells</t>
  </si>
  <si>
    <t>Wells</t>
  </si>
  <si>
    <t>Completions</t>
  </si>
  <si>
    <t>Shares of:</t>
  </si>
  <si>
    <r>
      <t>&gt;</t>
    </r>
    <r>
      <rPr>
        <sz val="10"/>
        <rFont val="Arial"/>
        <family val="2"/>
      </rPr>
      <t xml:space="preserve"> 18K'</t>
    </r>
  </si>
  <si>
    <t>ST share of RSV</t>
  </si>
  <si>
    <t>ST share of RSS</t>
  </si>
  <si>
    <t>Dry Share</t>
  </si>
  <si>
    <t>RSV and RSS Adjustment Calculations</t>
  </si>
  <si>
    <t>Very deep Dry Wells</t>
  </si>
  <si>
    <t>Sidetrack RSV at median length =</t>
  </si>
  <si>
    <t>&lt;18,000</t>
  </si>
  <si>
    <t>&gt;18,000</t>
  </si>
  <si>
    <t>15K-18K</t>
  </si>
  <si>
    <t>Low-side price ratio</t>
  </si>
  <si>
    <t>New Incentive</t>
  </si>
  <si>
    <t>Increased reserves discovered per year</t>
  </si>
  <si>
    <t>**</t>
  </si>
  <si>
    <t>Drilling adjustment due to price rise</t>
  </si>
  <si>
    <t>Realized</t>
  </si>
  <si>
    <t>Market</t>
  </si>
  <si>
    <t>No RR</t>
  </si>
  <si>
    <t>W/ RR</t>
  </si>
  <si>
    <t>Low price</t>
  </si>
  <si>
    <t>High price</t>
  </si>
  <si>
    <t>Increase in realized price</t>
  </si>
  <si>
    <t>Increase due to price alone</t>
  </si>
  <si>
    <t>Proportion due to price</t>
  </si>
  <si>
    <t>Proportion due to RR</t>
  </si>
  <si>
    <r>
      <t>&gt;</t>
    </r>
    <r>
      <rPr>
        <sz val="10"/>
        <rFont val="Arial"/>
        <family val="2"/>
      </rPr>
      <t xml:space="preserve"> 18K</t>
    </r>
  </si>
  <si>
    <t>Low price Baseline wells</t>
  </si>
  <si>
    <t>High price + incentive wells</t>
  </si>
  <si>
    <t>High price Baseline wells</t>
  </si>
  <si>
    <t>Incremental wells at high price</t>
  </si>
  <si>
    <t>&gt;20K' at another 10 BCF</t>
  </si>
  <si>
    <t>EVI 2-tier</t>
  </si>
  <si>
    <t>EVI 3-tier</t>
  </si>
  <si>
    <t>last 10 BCFdelayed @</t>
  </si>
  <si>
    <t>&gt;18K' or 18-20K' at 25 BCF</t>
  </si>
  <si>
    <t>Shelf Incentive</t>
  </si>
  <si>
    <t>Slope Incentive</t>
  </si>
  <si>
    <t>Average Discovery sizes</t>
  </si>
  <si>
    <t>daily flow</t>
  </si>
  <si>
    <t>flow yrs</t>
  </si>
  <si>
    <t>&gt;20K'</t>
  </si>
  <si>
    <t>recovery</t>
  </si>
  <si>
    <t>MMCFd</t>
  </si>
  <si>
    <t>&gt; 20K'</t>
  </si>
  <si>
    <t>18K-20K'</t>
  </si>
  <si>
    <t>EVI 1-tier</t>
  </si>
  <si>
    <t>no RSS</t>
  </si>
  <si>
    <t>&gt;20K' at 35 after sunset of 25</t>
  </si>
  <si>
    <t>After sunset of 25</t>
  </si>
  <si>
    <t>15K-18K'</t>
  </si>
  <si>
    <t>&gt; 20K" incentive</t>
  </si>
  <si>
    <t>while 25+10</t>
  </si>
  <si>
    <t>18K'-20K'</t>
  </si>
  <si>
    <t>with Epact Incentive</t>
  </si>
  <si>
    <t>year</t>
  </si>
  <si>
    <t>with 2-tier</t>
  </si>
  <si>
    <t>Discov.</t>
  </si>
  <si>
    <t>Time value of ultra-deep incentive</t>
  </si>
  <si>
    <t>Accelerated portion of increase in 18K'-20K'</t>
  </si>
  <si>
    <t>Years reserves can be discovered at incentive rate</t>
  </si>
  <si>
    <t>RSV yrs for 1/2 BCF in 1/3 yrs</t>
  </si>
  <si>
    <t>Residual</t>
  </si>
  <si>
    <t>Ultra-deep RSV</t>
  </si>
  <si>
    <t>200-400m resources/0-200m resources</t>
  </si>
  <si>
    <t>&gt;20K' resources/&gt;18K' resources</t>
  </si>
  <si>
    <t>200-400m non-straddle leases</t>
  </si>
  <si>
    <t>BCFE</t>
  </si>
  <si>
    <t>Condensate price/Gas price</t>
  </si>
  <si>
    <t>Shelf</t>
  </si>
  <si>
    <t>Slope</t>
  </si>
  <si>
    <t>Total discovered no incentive</t>
  </si>
  <si>
    <t>Total discovered with incenitve</t>
  </si>
  <si>
    <t>Ratio of shelf to slope</t>
  </si>
  <si>
    <t>30% Volatility</t>
  </si>
  <si>
    <t>Decline curve w/ 1/2 recovery in 1st 1/3 production time</t>
  </si>
  <si>
    <t>Percent of leases with extra ultra-deep well</t>
  </si>
  <si>
    <t>share of &gt;20K' resources getting 35</t>
  </si>
  <si>
    <t>&gt;18K' wells &gt;20K' =</t>
  </si>
  <si>
    <t>&gt;20K' at 25 BCF, or 35 BCF</t>
  </si>
  <si>
    <t>while 25</t>
  </si>
  <si>
    <t>Drilling intensity factors for &gt; 20K'</t>
  </si>
  <si>
    <t>&gt;20,000</t>
  </si>
  <si>
    <t>&gt;20K, no RSS</t>
  </si>
  <si>
    <t>9.34 ['06-'09]</t>
  </si>
  <si>
    <t>9.34 ['06-'11]</t>
  </si>
  <si>
    <t>slope share</t>
  </si>
  <si>
    <t>Effect of Price Thresholds on Ultra-Deep Gas Discoveries and Production</t>
  </si>
  <si>
    <t>slope 35/5</t>
  </si>
  <si>
    <t>slope @ 35/5</t>
  </si>
  <si>
    <t>all w/ no RSS</t>
  </si>
  <si>
    <t>6.50 ['06-'11]</t>
  </si>
  <si>
    <t>7.34 ['06-'11]</t>
  </si>
  <si>
    <t>shelf</t>
  </si>
  <si>
    <t>sl w/ RSS</t>
  </si>
  <si>
    <t>2016-2025 base production</t>
  </si>
  <si>
    <t>2006-2015 base production</t>
  </si>
  <si>
    <t>5.34 ['06-'11]</t>
  </si>
  <si>
    <t>3.50 ['06-'11]</t>
  </si>
  <si>
    <t>3.50 ['12-'30]</t>
  </si>
  <si>
    <t>slope w/ RSS</t>
  </si>
  <si>
    <t>Shelf @ 25</t>
  </si>
  <si>
    <t>Shelf @ 25+10</t>
  </si>
  <si>
    <t>last 10 of 35 share</t>
  </si>
  <si>
    <t>Base</t>
  </si>
  <si>
    <t>Added</t>
  </si>
  <si>
    <t>['04$/MCF]</t>
  </si>
  <si>
    <t>Base dampening effect of $9.34 rom DGEA04 =</t>
  </si>
  <si>
    <t>['04$/MMBtu]</t>
  </si>
  <si>
    <t>4.22 ['06-'11]</t>
  </si>
  <si>
    <t>9.34 ['12-'25]</t>
  </si>
  <si>
    <t>7.34 ['12-'25]</t>
  </si>
  <si>
    <t>6.50 ['12-'25]</t>
  </si>
  <si>
    <t>5.34 ['12-'25]</t>
  </si>
  <si>
    <t>4.22 ['12-'25]</t>
  </si>
  <si>
    <t>Update to 2006 price path</t>
  </si>
  <si>
    <t>Original Assumptions</t>
  </si>
  <si>
    <t xml:space="preserve">Epact Assumptions </t>
  </si>
  <si>
    <t>Price Threshold Scenarios</t>
  </si>
  <si>
    <t>Increase in eligibility (share of resources added)</t>
  </si>
  <si>
    <t xml:space="preserve">Price mean to threshold mean </t>
  </si>
  <si>
    <r>
      <t xml:space="preserve">Ultra-deep wells/all deep wells </t>
    </r>
    <r>
      <rPr>
        <u val="single"/>
        <sz val="10"/>
        <rFont val="Arial"/>
        <family val="0"/>
      </rPr>
      <t>&gt;</t>
    </r>
    <r>
      <rPr>
        <sz val="10"/>
        <rFont val="Arial"/>
        <family val="0"/>
      </rPr>
      <t xml:space="preserve"> 18K</t>
    </r>
  </si>
  <si>
    <t xml:space="preserve">Low side price to overall price </t>
  </si>
  <si>
    <t>Likelihood of Price Threshold Violation</t>
  </si>
  <si>
    <t>Incremental Production Adjusted for EVI with Anticiptated PT Violation Frequency (BCFE)</t>
  </si>
  <si>
    <t xml:space="preserve">Production (BCF) with Royalty Forgone with Anticipated Frequency of PT Violation </t>
  </si>
  <si>
    <t>Royalty Lost from RSV &amp; RSS on Status Quo Production ($MM)</t>
  </si>
  <si>
    <t>Incremental Liquids (MMbbl) with Anticipated PT Violation Freq.</t>
  </si>
  <si>
    <t>Royalty Gain on Incremental Liquids $MM)</t>
  </si>
  <si>
    <t>Incremental Royalty-bearing  Gas After RSV (BCF)</t>
  </si>
  <si>
    <t>Royalty Gain on Incremental Gas Above RSV ($MM)</t>
  </si>
  <si>
    <t>Royalty-free Gas when PT not violated (BCF)</t>
  </si>
  <si>
    <t>Royalty on Incremental Gas when PT Exceeded ($MM)</t>
  </si>
  <si>
    <t>Net Forgone Royalty ($MM)</t>
  </si>
  <si>
    <t>Price Threshold (PT)</t>
  </si>
  <si>
    <t>04$/MMBtu</t>
  </si>
  <si>
    <t>04$/MCF</t>
  </si>
  <si>
    <t>04$</t>
  </si>
  <si>
    <t>No PT</t>
  </si>
  <si>
    <t>2006-15</t>
  </si>
  <si>
    <t>2006-25</t>
  </si>
  <si>
    <t>PV</t>
  </si>
  <si>
    <t>2016-25</t>
  </si>
  <si>
    <t>AEO'06 Adjusted to GOM</t>
  </si>
  <si>
    <t>Net Forgone Royalty from Ultra-deep well Incentives</t>
  </si>
  <si>
    <t>avg '06-25</t>
  </si>
  <si>
    <t>Base Incentive Effect of Epact05 Ultra-Deep Gas Incentive on Discoveries and Production (No Price Threshold)</t>
  </si>
  <si>
    <t>Chance of Price &gt; Price Threshold</t>
  </si>
  <si>
    <t>Incremental Production</t>
  </si>
  <si>
    <t>Cost-effectiveness</t>
  </si>
  <si>
    <t>Increase from Base</t>
  </si>
  <si>
    <t>Net Forgone Royalty</t>
  </si>
  <si>
    <t>Decrease from Base</t>
  </si>
  <si>
    <t>nominal</t>
  </si>
  <si>
    <t>0-400m Ultra-deep Gas Effects</t>
  </si>
  <si>
    <t>P &gt; PT</t>
  </si>
  <si>
    <t>06-'25</t>
  </si>
  <si>
    <t>Difference</t>
  </si>
  <si>
    <t>Implied Cost of Incremental Production</t>
  </si>
  <si>
    <t>[P - 0.5*((1/6)*P)]</t>
  </si>
  <si>
    <t>Net Benefit $MM</t>
  </si>
  <si>
    <t>Cum</t>
  </si>
  <si>
    <t>Annualized PMT</t>
  </si>
  <si>
    <t>2007-22</t>
  </si>
  <si>
    <t>2007-2022 base production</t>
  </si>
  <si>
    <t>Incremental Production (BCF)</t>
  </si>
  <si>
    <t>Value of Incremental Production ($MM)</t>
  </si>
  <si>
    <t>Would-be Royalty ($MM)</t>
  </si>
  <si>
    <t>Forecast Gas Price ($/MCF)</t>
  </si>
  <si>
    <t>corrected</t>
  </si>
  <si>
    <t>$6.50 but never exceeded</t>
  </si>
  <si>
    <t>UD</t>
  </si>
  <si>
    <t>UDW</t>
  </si>
  <si>
    <t>Total</t>
  </si>
  <si>
    <t>PT = $6.50</t>
  </si>
  <si>
    <t>PT = $5.34</t>
  </si>
  <si>
    <t>PT = $4.22</t>
  </si>
  <si>
    <t>NPV</t>
  </si>
  <si>
    <t>PT = $3.50</t>
  </si>
  <si>
    <t>Current$/MCF</t>
  </si>
  <si>
    <t>Current$/'04$</t>
  </si>
  <si>
    <t>'05$/MCF</t>
  </si>
  <si>
    <t>Wellhead</t>
  </si>
  <si>
    <t>GDP Price</t>
  </si>
  <si>
    <t>Index</t>
  </si>
  <si>
    <t>2000=1.000</t>
  </si>
  <si>
    <t>Sum '04$</t>
  </si>
  <si>
    <t>Sum current$</t>
  </si>
  <si>
    <t>Current</t>
  </si>
  <si>
    <t>Net Forgone Royalty ('06$MM)</t>
  </si>
  <si>
    <t>Net Forgone Royalty ('04$MM)</t>
  </si>
  <si>
    <t>Inflation factor</t>
  </si>
  <si>
    <t>'06$</t>
  </si>
  <si>
    <t>factor</t>
  </si>
  <si>
    <t>Inflation</t>
  </si>
  <si>
    <t>'06$ sum</t>
  </si>
  <si>
    <t>'06$ PV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</si>
</sst>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0"/>
    <numFmt numFmtId="168" formatCode="&quot;$&quot;#,##0.000"/>
    <numFmt numFmtId="169" formatCode="&quot;$&quot;#,##0.0"/>
    <numFmt numFmtId="170" formatCode="&quot;$&quot;#,##0"/>
    <numFmt numFmtId="171" formatCode="0.000%"/>
    <numFmt numFmtId="172" formatCode="&quot;$&quot;#,##0.0000"/>
    <numFmt numFmtId="173" formatCode="0.000000"/>
    <numFmt numFmtId="174" formatCode="0.00000"/>
    <numFmt numFmtId="175" formatCode="0.0000"/>
    <numFmt numFmtId="176" formatCode="0.0000%"/>
    <numFmt numFmtId="177" formatCode="#,##0.0;[Red]#,##0.0"/>
    <numFmt numFmtId="178" formatCode="#,##0;[Red]#,##0"/>
    <numFmt numFmtId="179" formatCode="&quot;$&quot;#,##0;[Red]&quot;$&quot;#,##0"/>
    <numFmt numFmtId="180" formatCode="&quot;$&quot;#,##0.0;[Red]&quot;$&quot;#,##0.0"/>
    <numFmt numFmtId="181" formatCode="&quot;$&quot;#,##0.0_);[Red]\(&quot;$&quot;#,##0.0\)"/>
    <numFmt numFmtId="182" formatCode="#,##0.0"/>
    <numFmt numFmtId="183" formatCode="0.00000000"/>
    <numFmt numFmtId="184" formatCode="0.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"/>
    <numFmt numFmtId="190" formatCode="m/d/yyyy;@"/>
    <numFmt numFmtId="191" formatCode="_(* #,##0.0000_);_(* \(#,##0.0000\);_(* &quot;-&quot;??_);_(@_)"/>
    <numFmt numFmtId="192" formatCode="[$-409]mmmm\ d\,\ yyyy;@"/>
    <numFmt numFmtId="193" formatCode="0.000000000000%"/>
    <numFmt numFmtId="194" formatCode="#,##0.000"/>
    <numFmt numFmtId="195" formatCode="0.0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  <numFmt numFmtId="202" formatCode="0.00000%"/>
    <numFmt numFmtId="203" formatCode="0.00_);[Red]\(0.00\)"/>
    <numFmt numFmtId="204" formatCode="0.00000000000000%"/>
    <numFmt numFmtId="205" formatCode="&quot;$&quot;#,##0.00000"/>
    <numFmt numFmtId="206" formatCode="_(* #,##0.0_);_(* \(#,##0.0\);_(* &quot;-&quot;??_);_(@_)"/>
    <numFmt numFmtId="207" formatCode="_(* #,##0_);_(* \(#,##0\);_(* &quot;-&quot;??_);_(@_)"/>
    <numFmt numFmtId="208" formatCode="0.0_);[Red]\(0.0\)"/>
    <numFmt numFmtId="209" formatCode="0_);[Red]\(0\)"/>
    <numFmt numFmtId="210" formatCode="0.000000000000000%"/>
    <numFmt numFmtId="211" formatCode="0.00000000000000"/>
    <numFmt numFmtId="212" formatCode="0.0000000000000"/>
    <numFmt numFmtId="213" formatCode="0.000000000000"/>
    <numFmt numFmtId="214" formatCode="0.00000000000"/>
    <numFmt numFmtId="215" formatCode="0.0000000000"/>
  </numFmts>
  <fonts count="20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61"/>
      <name val="Arial"/>
      <family val="0"/>
    </font>
    <font>
      <strike/>
      <sz val="10"/>
      <name val="Arial"/>
      <family val="0"/>
    </font>
    <font>
      <strike/>
      <sz val="10"/>
      <color indexed="17"/>
      <name val="Arial"/>
      <family val="0"/>
    </font>
    <font>
      <strike/>
      <sz val="10"/>
      <color indexed="10"/>
      <name val="Arial"/>
      <family val="0"/>
    </font>
    <font>
      <b/>
      <sz val="13"/>
      <name val="Arial"/>
      <family val="2"/>
    </font>
    <font>
      <strike/>
      <sz val="10"/>
      <color indexed="60"/>
      <name val="Arial"/>
      <family val="0"/>
    </font>
    <font>
      <sz val="12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/>
    </xf>
    <xf numFmtId="166" fontId="0" fillId="0" borderId="4" xfId="21" applyNumberFormat="1" applyBorder="1" applyAlignment="1">
      <alignment horizontal="center"/>
    </xf>
    <xf numFmtId="0" fontId="0" fillId="0" borderId="0" xfId="0" applyBorder="1" applyAlignment="1" quotePrefix="1">
      <alignment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0" fillId="0" borderId="0" xfId="21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21" applyNumberFormat="1" applyBorder="1" applyAlignment="1" applyProtection="1">
      <alignment horizontal="center"/>
      <protection locked="0"/>
    </xf>
    <xf numFmtId="9" fontId="0" fillId="0" borderId="4" xfId="2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9" fontId="0" fillId="0" borderId="0" xfId="2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66" fontId="0" fillId="0" borderId="11" xfId="21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1" fontId="0" fillId="0" borderId="21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15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1" applyAlignment="1">
      <alignment horizontal="center"/>
    </xf>
    <xf numFmtId="1" fontId="0" fillId="0" borderId="5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0" fontId="0" fillId="0" borderId="0" xfId="21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9" fontId="0" fillId="0" borderId="24" xfId="2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6" fontId="0" fillId="0" borderId="26" xfId="21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/>
    </xf>
    <xf numFmtId="169" fontId="0" fillId="0" borderId="0" xfId="0" applyNumberFormat="1" applyBorder="1" applyAlignment="1">
      <alignment horizontal="center"/>
    </xf>
    <xf numFmtId="171" fontId="0" fillId="0" borderId="0" xfId="21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horizontal="left"/>
    </xf>
    <xf numFmtId="1" fontId="0" fillId="0" borderId="0" xfId="21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7" xfId="0" applyBorder="1" applyAlignment="1">
      <alignment/>
    </xf>
    <xf numFmtId="166" fontId="0" fillId="0" borderId="0" xfId="21" applyNumberFormat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" fontId="0" fillId="0" borderId="28" xfId="0" applyNumberFormat="1" applyBorder="1" applyAlignment="1" applyProtection="1">
      <alignment horizontal="center"/>
      <protection hidden="1"/>
    </xf>
    <xf numFmtId="3" fontId="0" fillId="0" borderId="29" xfId="0" applyNumberFormat="1" applyBorder="1" applyAlignment="1">
      <alignment/>
    </xf>
    <xf numFmtId="9" fontId="0" fillId="0" borderId="0" xfId="21" applyBorder="1" applyAlignment="1" applyProtection="1">
      <alignment horizontal="center"/>
      <protection hidden="1"/>
    </xf>
    <xf numFmtId="9" fontId="0" fillId="0" borderId="4" xfId="2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0" fillId="0" borderId="28" xfId="0" applyBorder="1" applyAlignment="1">
      <alignment/>
    </xf>
    <xf numFmtId="9" fontId="0" fillId="0" borderId="0" xfId="2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7" fontId="0" fillId="0" borderId="0" xfId="21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15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166" fontId="0" fillId="0" borderId="0" xfId="21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9" fontId="0" fillId="0" borderId="4" xfId="21" applyNumberFormat="1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0" xfId="21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9" fontId="0" fillId="0" borderId="0" xfId="2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0" fillId="0" borderId="24" xfId="0" applyNumberFormat="1" applyBorder="1" applyAlignment="1">
      <alignment horizontal="center" vertical="center"/>
    </xf>
    <xf numFmtId="166" fontId="0" fillId="0" borderId="24" xfId="21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7" xfId="21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Border="1" applyAlignment="1">
      <alignment horizontal="left"/>
    </xf>
    <xf numFmtId="167" fontId="0" fillId="0" borderId="15" xfId="0" applyNumberFormat="1" applyBorder="1" applyAlignment="1">
      <alignment horizontal="center"/>
    </xf>
    <xf numFmtId="166" fontId="0" fillId="0" borderId="4" xfId="21" applyNumberFormat="1" applyFont="1" applyBorder="1" applyAlignment="1">
      <alignment horizontal="center"/>
    </xf>
    <xf numFmtId="171" fontId="0" fillId="0" borderId="0" xfId="21" applyNumberFormat="1" applyAlignment="1">
      <alignment/>
    </xf>
    <xf numFmtId="0" fontId="0" fillId="3" borderId="0" xfId="0" applyFill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0" fontId="4" fillId="0" borderId="30" xfId="0" applyFont="1" applyBorder="1" applyAlignment="1">
      <alignment/>
    </xf>
    <xf numFmtId="173" fontId="0" fillId="0" borderId="5" xfId="0" applyNumberFormat="1" applyBorder="1" applyAlignment="1">
      <alignment/>
    </xf>
    <xf numFmtId="164" fontId="0" fillId="0" borderId="4" xfId="0" applyNumberFormat="1" applyFill="1" applyBorder="1" applyAlignment="1">
      <alignment horizontal="center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6" fontId="0" fillId="0" borderId="0" xfId="21" applyNumberForma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9" fontId="0" fillId="0" borderId="0" xfId="21" applyAlignment="1">
      <alignment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21" applyNumberFormat="1" applyFont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164" fontId="0" fillId="6" borderId="5" xfId="0" applyNumberFormat="1" applyFill="1" applyBorder="1" applyAlignment="1">
      <alignment horizontal="center"/>
    </xf>
    <xf numFmtId="1" fontId="0" fillId="0" borderId="7" xfId="0" applyNumberFormat="1" applyBorder="1" applyAlignment="1" applyProtection="1">
      <alignment horizontal="center"/>
      <protection hidden="1"/>
    </xf>
    <xf numFmtId="3" fontId="0" fillId="0" borderId="28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69" fontId="0" fillId="0" borderId="2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9" fontId="10" fillId="0" borderId="11" xfId="2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21" applyNumberFormat="1" applyFill="1" applyBorder="1" applyAlignment="1">
      <alignment horizontal="center"/>
    </xf>
    <xf numFmtId="0" fontId="0" fillId="0" borderId="5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5" fontId="0" fillId="5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28" xfId="0" applyBorder="1" applyAlignment="1">
      <alignment/>
    </xf>
    <xf numFmtId="1" fontId="0" fillId="8" borderId="0" xfId="0" applyNumberFormat="1" applyFill="1" applyBorder="1" applyAlignment="1">
      <alignment horizontal="center"/>
    </xf>
    <xf numFmtId="166" fontId="0" fillId="0" borderId="7" xfId="21" applyNumberFormat="1" applyBorder="1" applyAlignment="1">
      <alignment vertical="center"/>
    </xf>
    <xf numFmtId="166" fontId="0" fillId="0" borderId="9" xfId="21" applyNumberFormat="1" applyBorder="1" applyAlignment="1">
      <alignment vertical="center"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1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166" fontId="3" fillId="0" borderId="0" xfId="0" applyNumberFormat="1" applyFont="1" applyBorder="1" applyAlignment="1">
      <alignment horizontal="center"/>
    </xf>
    <xf numFmtId="175" fontId="0" fillId="0" borderId="7" xfId="0" applyNumberFormat="1" applyBorder="1" applyAlignment="1">
      <alignment horizontal="center" vertical="center"/>
    </xf>
    <xf numFmtId="175" fontId="0" fillId="0" borderId="7" xfId="0" applyNumberForma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166" fontId="0" fillId="0" borderId="0" xfId="21" applyNumberFormat="1" applyAlignment="1">
      <alignment vertical="center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9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0" fontId="0" fillId="0" borderId="7" xfId="21" applyNumberFormat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 applyProtection="1">
      <alignment horizontal="center"/>
      <protection hidden="1"/>
    </xf>
    <xf numFmtId="17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6" fontId="0" fillId="0" borderId="0" xfId="21" applyNumberFormat="1" applyAlignment="1">
      <alignment horizontal="center" vertical="center"/>
    </xf>
    <xf numFmtId="182" fontId="0" fillId="0" borderId="0" xfId="0" applyNumberFormat="1" applyAlignment="1">
      <alignment horizontal="center"/>
    </xf>
    <xf numFmtId="167" fontId="0" fillId="0" borderId="0" xfId="0" applyNumberFormat="1" applyBorder="1" applyAlignment="1">
      <alignment/>
    </xf>
    <xf numFmtId="2" fontId="13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9" fontId="16" fillId="0" borderId="0" xfId="2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9" fontId="14" fillId="0" borderId="0" xfId="21" applyFont="1" applyBorder="1" applyAlignment="1">
      <alignment horizontal="center"/>
    </xf>
    <xf numFmtId="2" fontId="14" fillId="0" borderId="0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15" fillId="0" borderId="0" xfId="21" applyNumberFormat="1" applyFont="1" applyBorder="1" applyAlignment="1">
      <alignment horizontal="center"/>
    </xf>
    <xf numFmtId="164" fontId="14" fillId="6" borderId="0" xfId="0" applyNumberFormat="1" applyFont="1" applyFill="1" applyBorder="1" applyAlignment="1">
      <alignment horizontal="center"/>
    </xf>
    <xf numFmtId="2" fontId="15" fillId="0" borderId="5" xfId="21" applyNumberFormat="1" applyFont="1" applyBorder="1" applyAlignment="1">
      <alignment horizontal="center"/>
    </xf>
    <xf numFmtId="2" fontId="15" fillId="0" borderId="4" xfId="21" applyNumberFormat="1" applyFont="1" applyBorder="1" applyAlignment="1">
      <alignment horizontal="center"/>
    </xf>
    <xf numFmtId="164" fontId="16" fillId="0" borderId="5" xfId="21" applyNumberFormat="1" applyFont="1" applyBorder="1" applyAlignment="1">
      <alignment horizontal="center"/>
    </xf>
    <xf numFmtId="164" fontId="14" fillId="0" borderId="4" xfId="21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167" fontId="0" fillId="0" borderId="13" xfId="0" applyNumberFormat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166" fontId="0" fillId="0" borderId="7" xfId="21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6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6" fontId="0" fillId="0" borderId="6" xfId="21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>
      <alignment horizontal="center"/>
    </xf>
    <xf numFmtId="1" fontId="14" fillId="5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2" fontId="14" fillId="5" borderId="5" xfId="0" applyNumberFormat="1" applyFont="1" applyFill="1" applyBorder="1" applyAlignment="1">
      <alignment horizontal="center"/>
    </xf>
    <xf numFmtId="2" fontId="14" fillId="5" borderId="4" xfId="0" applyNumberFormat="1" applyFont="1" applyFill="1" applyBorder="1" applyAlignment="1">
      <alignment horizontal="center"/>
    </xf>
    <xf numFmtId="165" fontId="14" fillId="5" borderId="4" xfId="0" applyNumberFormat="1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4" fillId="0" borderId="8" xfId="0" applyFont="1" applyBorder="1" applyAlignment="1">
      <alignment/>
    </xf>
    <xf numFmtId="10" fontId="14" fillId="0" borderId="9" xfId="21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1" fontId="0" fillId="11" borderId="5" xfId="0" applyNumberFormat="1" applyFill="1" applyBorder="1" applyAlignment="1">
      <alignment horizontal="center"/>
    </xf>
    <xf numFmtId="1" fontId="0" fillId="11" borderId="1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9" fontId="0" fillId="0" borderId="8" xfId="21" applyBorder="1" applyAlignment="1">
      <alignment horizontal="center"/>
    </xf>
    <xf numFmtId="0" fontId="0" fillId="3" borderId="6" xfId="0" applyFill="1" applyBorder="1" applyAlignment="1">
      <alignment horizontal="center"/>
    </xf>
    <xf numFmtId="2" fontId="3" fillId="0" borderId="0" xfId="21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21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7" fontId="0" fillId="0" borderId="12" xfId="0" applyNumberForma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75" fontId="10" fillId="0" borderId="14" xfId="0" applyNumberFormat="1" applyFont="1" applyBorder="1" applyAlignment="1">
      <alignment horizontal="center"/>
    </xf>
    <xf numFmtId="175" fontId="10" fillId="0" borderId="28" xfId="0" applyNumberFormat="1" applyFont="1" applyBorder="1" applyAlignment="1">
      <alignment horizontal="center"/>
    </xf>
    <xf numFmtId="175" fontId="10" fillId="0" borderId="28" xfId="2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5" fontId="10" fillId="0" borderId="29" xfId="0" applyNumberFormat="1" applyFont="1" applyBorder="1" applyAlignment="1">
      <alignment horizontal="center"/>
    </xf>
    <xf numFmtId="175" fontId="10" fillId="0" borderId="5" xfId="0" applyNumberFormat="1" applyFont="1" applyBorder="1" applyAlignment="1">
      <alignment horizontal="center"/>
    </xf>
    <xf numFmtId="175" fontId="10" fillId="0" borderId="0" xfId="0" applyNumberFormat="1" applyFont="1" applyBorder="1" applyAlignment="1">
      <alignment horizontal="center"/>
    </xf>
    <xf numFmtId="175" fontId="10" fillId="0" borderId="0" xfId="21" applyNumberFormat="1" applyFont="1" applyBorder="1" applyAlignment="1">
      <alignment horizontal="center"/>
    </xf>
    <xf numFmtId="175" fontId="10" fillId="0" borderId="4" xfId="21" applyNumberFormat="1" applyFont="1" applyBorder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175" fontId="10" fillId="0" borderId="4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175" fontId="0" fillId="0" borderId="5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7" fontId="0" fillId="0" borderId="7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9" fontId="0" fillId="0" borderId="0" xfId="21" applyNumberFormat="1" applyBorder="1" applyAlignment="1">
      <alignment horizontal="center" vertical="center"/>
    </xf>
    <xf numFmtId="9" fontId="0" fillId="0" borderId="0" xfId="21" applyFill="1" applyBorder="1" applyAlignment="1">
      <alignment horizontal="center" vertical="center"/>
    </xf>
    <xf numFmtId="9" fontId="0" fillId="0" borderId="6" xfId="2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6" fontId="0" fillId="0" borderId="27" xfId="21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1" xfId="21" applyBorder="1" applyAlignment="1">
      <alignment horizontal="center" vertical="center"/>
    </xf>
    <xf numFmtId="9" fontId="0" fillId="0" borderId="11" xfId="21" applyNumberFormat="1" applyBorder="1" applyAlignment="1">
      <alignment horizontal="center" vertical="center"/>
    </xf>
    <xf numFmtId="9" fontId="0" fillId="0" borderId="11" xfId="21" applyBorder="1" applyAlignment="1">
      <alignment horizontal="center"/>
    </xf>
    <xf numFmtId="9" fontId="0" fillId="0" borderId="27" xfId="2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3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5" xfId="0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5" fillId="0" borderId="5" xfId="21" applyNumberFormat="1" applyFont="1" applyBorder="1" applyAlignment="1">
      <alignment horizontal="center"/>
    </xf>
    <xf numFmtId="165" fontId="5" fillId="0" borderId="0" xfId="21" applyNumberFormat="1" applyFont="1" applyBorder="1" applyAlignment="1">
      <alignment horizontal="center"/>
    </xf>
    <xf numFmtId="3" fontId="5" fillId="0" borderId="0" xfId="21" applyNumberFormat="1" applyFont="1" applyBorder="1" applyAlignment="1">
      <alignment horizontal="center"/>
    </xf>
    <xf numFmtId="3" fontId="5" fillId="0" borderId="5" xfId="21" applyNumberFormat="1" applyFont="1" applyBorder="1" applyAlignment="1">
      <alignment horizontal="center"/>
    </xf>
    <xf numFmtId="3" fontId="12" fillId="0" borderId="0" xfId="21" applyNumberFormat="1" applyFont="1" applyBorder="1" applyAlignment="1">
      <alignment horizontal="center"/>
    </xf>
    <xf numFmtId="3" fontId="12" fillId="0" borderId="5" xfId="21" applyNumberFormat="1" applyFont="1" applyFill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82" fontId="12" fillId="0" borderId="0" xfId="0" applyNumberFormat="1" applyFont="1" applyBorder="1" applyAlignment="1">
      <alignment horizontal="center"/>
    </xf>
    <xf numFmtId="182" fontId="12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" fontId="5" fillId="12" borderId="15" xfId="0" applyNumberFormat="1" applyFont="1" applyFill="1" applyBorder="1" applyAlignment="1">
      <alignment horizontal="center"/>
    </xf>
    <xf numFmtId="166" fontId="12" fillId="0" borderId="0" xfId="21" applyNumberFormat="1" applyFont="1" applyAlignment="1">
      <alignment horizontal="center"/>
    </xf>
    <xf numFmtId="166" fontId="12" fillId="0" borderId="0" xfId="21" applyNumberFormat="1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1" fontId="12" fillId="8" borderId="5" xfId="0" applyNumberFormat="1" applyFont="1" applyFill="1" applyBorder="1" applyAlignment="1">
      <alignment horizontal="center"/>
    </xf>
    <xf numFmtId="1" fontId="12" fillId="8" borderId="0" xfId="0" applyNumberFormat="1" applyFont="1" applyFill="1" applyBorder="1" applyAlignment="1">
      <alignment horizontal="center"/>
    </xf>
    <xf numFmtId="3" fontId="5" fillId="8" borderId="0" xfId="21" applyNumberFormat="1" applyFont="1" applyFill="1" applyBorder="1" applyAlignment="1">
      <alignment horizontal="center"/>
    </xf>
    <xf numFmtId="1" fontId="5" fillId="5" borderId="5" xfId="21" applyNumberFormat="1" applyFont="1" applyFill="1" applyBorder="1" applyAlignment="1">
      <alignment horizontal="center"/>
    </xf>
    <xf numFmtId="1" fontId="12" fillId="11" borderId="0" xfId="21" applyNumberFormat="1" applyFont="1" applyFill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3" fontId="5" fillId="10" borderId="5" xfId="0" applyNumberFormat="1" applyFont="1" applyFill="1" applyBorder="1" applyAlignment="1">
      <alignment horizontal="center"/>
    </xf>
    <xf numFmtId="3" fontId="12" fillId="7" borderId="0" xfId="0" applyNumberFormat="1" applyFont="1" applyFill="1" applyBorder="1" applyAlignment="1">
      <alignment horizontal="center"/>
    </xf>
    <xf numFmtId="3" fontId="5" fillId="7" borderId="0" xfId="0" applyNumberFormat="1" applyFont="1" applyFill="1" applyBorder="1" applyAlignment="1">
      <alignment horizontal="center"/>
    </xf>
    <xf numFmtId="164" fontId="5" fillId="12" borderId="15" xfId="0" applyNumberFormat="1" applyFont="1" applyFill="1" applyBorder="1" applyAlignment="1">
      <alignment horizontal="center"/>
    </xf>
    <xf numFmtId="164" fontId="12" fillId="8" borderId="5" xfId="0" applyNumberFormat="1" applyFont="1" applyFill="1" applyBorder="1" applyAlignment="1">
      <alignment horizontal="center"/>
    </xf>
    <xf numFmtId="164" fontId="12" fillId="8" borderId="0" xfId="0" applyNumberFormat="1" applyFont="1" applyFill="1" applyBorder="1" applyAlignment="1">
      <alignment horizontal="center"/>
    </xf>
    <xf numFmtId="164" fontId="5" fillId="8" borderId="0" xfId="21" applyNumberFormat="1" applyFont="1" applyFill="1" applyBorder="1" applyAlignment="1">
      <alignment horizontal="center"/>
    </xf>
    <xf numFmtId="3" fontId="12" fillId="10" borderId="5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center"/>
      <protection locked="0"/>
    </xf>
    <xf numFmtId="1" fontId="5" fillId="11" borderId="0" xfId="21" applyNumberFormat="1" applyFont="1" applyFill="1" applyBorder="1" applyAlignment="1">
      <alignment horizontal="center"/>
    </xf>
    <xf numFmtId="3" fontId="5" fillId="8" borderId="0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167" fontId="5" fillId="0" borderId="25" xfId="0" applyNumberFormat="1" applyFont="1" applyBorder="1" applyAlignment="1">
      <alignment horizontal="center"/>
    </xf>
    <xf numFmtId="167" fontId="5" fillId="0" borderId="23" xfId="0" applyNumberFormat="1" applyFont="1" applyBorder="1" applyAlignment="1">
      <alignment horizontal="center"/>
    </xf>
    <xf numFmtId="167" fontId="5" fillId="0" borderId="36" xfId="0" applyNumberFormat="1" applyFont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0" fontId="12" fillId="0" borderId="24" xfId="0" applyNumberFormat="1" applyFont="1" applyBorder="1" applyAlignment="1">
      <alignment horizontal="center"/>
    </xf>
    <xf numFmtId="182" fontId="12" fillId="0" borderId="24" xfId="0" applyNumberFormat="1" applyFont="1" applyBorder="1" applyAlignment="1">
      <alignment horizontal="center"/>
    </xf>
    <xf numFmtId="182" fontId="12" fillId="0" borderId="23" xfId="0" applyNumberFormat="1" applyFont="1" applyBorder="1" applyAlignment="1">
      <alignment horizontal="center"/>
    </xf>
    <xf numFmtId="182" fontId="12" fillId="0" borderId="25" xfId="0" applyNumberFormat="1" applyFont="1" applyBorder="1" applyAlignment="1">
      <alignment horizontal="center"/>
    </xf>
    <xf numFmtId="170" fontId="5" fillId="0" borderId="24" xfId="0" applyNumberFormat="1" applyFont="1" applyBorder="1" applyAlignment="1">
      <alignment horizontal="center"/>
    </xf>
    <xf numFmtId="170" fontId="5" fillId="0" borderId="25" xfId="0" applyNumberFormat="1" applyFont="1" applyBorder="1" applyAlignment="1">
      <alignment horizontal="center"/>
    </xf>
    <xf numFmtId="170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170" fontId="5" fillId="0" borderId="23" xfId="0" applyNumberFormat="1" applyFont="1" applyBorder="1" applyAlignment="1">
      <alignment horizontal="center"/>
    </xf>
    <xf numFmtId="170" fontId="5" fillId="0" borderId="24" xfId="0" applyNumberFormat="1" applyFont="1" applyFill="1" applyBorder="1" applyAlignment="1">
      <alignment horizontal="center"/>
    </xf>
    <xf numFmtId="170" fontId="5" fillId="0" borderId="25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166" fontId="5" fillId="0" borderId="39" xfId="0" applyNumberFormat="1" applyFont="1" applyBorder="1" applyAlignment="1">
      <alignment horizontal="center"/>
    </xf>
    <xf numFmtId="3" fontId="5" fillId="2" borderId="40" xfId="0" applyNumberFormat="1" applyFont="1" applyFill="1" applyBorder="1" applyAlignment="1">
      <alignment horizontal="center"/>
    </xf>
    <xf numFmtId="3" fontId="5" fillId="2" borderId="39" xfId="0" applyNumberFormat="1" applyFont="1" applyFill="1" applyBorder="1" applyAlignment="1">
      <alignment horizontal="center"/>
    </xf>
    <xf numFmtId="3" fontId="5" fillId="2" borderId="41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170" fontId="5" fillId="0" borderId="5" xfId="0" applyNumberFormat="1" applyFont="1" applyFill="1" applyBorder="1" applyAlignment="1">
      <alignment horizontal="center"/>
    </xf>
    <xf numFmtId="9" fontId="5" fillId="0" borderId="1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70" fontId="5" fillId="2" borderId="5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9" fontId="5" fillId="0" borderId="7" xfId="0" applyNumberFormat="1" applyFont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70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70" fontId="5" fillId="2" borderId="8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3" fontId="12" fillId="0" borderId="15" xfId="21" applyNumberFormat="1" applyFont="1" applyFill="1" applyBorder="1" applyAlignment="1">
      <alignment horizontal="center"/>
    </xf>
    <xf numFmtId="3" fontId="0" fillId="0" borderId="0" xfId="21" applyNumberFormat="1" applyFill="1" applyBorder="1" applyAlignment="1">
      <alignment horizontal="center"/>
    </xf>
    <xf numFmtId="3" fontId="0" fillId="0" borderId="29" xfId="21" applyNumberFormat="1" applyFill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3" fontId="12" fillId="0" borderId="16" xfId="21" applyNumberFormat="1" applyFont="1" applyFill="1" applyBorder="1" applyAlignment="1">
      <alignment horizontal="center"/>
    </xf>
    <xf numFmtId="3" fontId="0" fillId="0" borderId="4" xfId="21" applyNumberForma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7" fontId="0" fillId="0" borderId="0" xfId="0" applyNumberFormat="1" applyFont="1" applyAlignment="1">
      <alignment horizontal="center"/>
    </xf>
    <xf numFmtId="167" fontId="0" fillId="0" borderId="0" xfId="21" applyNumberFormat="1" applyFill="1" applyAlignment="1">
      <alignment horizontal="center"/>
    </xf>
    <xf numFmtId="0" fontId="0" fillId="0" borderId="18" xfId="0" applyBorder="1" applyAlignment="1">
      <alignment/>
    </xf>
    <xf numFmtId="2" fontId="5" fillId="0" borderId="22" xfId="0" applyNumberFormat="1" applyFont="1" applyBorder="1" applyAlignment="1">
      <alignment horizontal="center"/>
    </xf>
    <xf numFmtId="9" fontId="0" fillId="0" borderId="6" xfId="21" applyFont="1" applyBorder="1" applyAlignment="1">
      <alignment horizontal="center" vertical="center"/>
    </xf>
    <xf numFmtId="9" fontId="0" fillId="0" borderId="6" xfId="2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5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0" fillId="0" borderId="8" xfId="0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3" fontId="0" fillId="0" borderId="1" xfId="0" applyNumberFormat="1" applyBorder="1" applyAlignment="1">
      <alignment/>
    </xf>
    <xf numFmtId="1" fontId="0" fillId="0" borderId="5" xfId="0" applyNumberFormat="1" applyBorder="1" applyAlignment="1" applyProtection="1">
      <alignment horizontal="center" vertical="center"/>
      <protection hidden="1"/>
    </xf>
    <xf numFmtId="0" fontId="9" fillId="0" borderId="5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 quotePrefix="1">
      <alignment/>
    </xf>
    <xf numFmtId="0" fontId="8" fillId="0" borderId="5" xfId="0" applyFont="1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164" fontId="18" fillId="0" borderId="0" xfId="21" applyNumberFormat="1" applyFont="1" applyBorder="1" applyAlignment="1">
      <alignment horizontal="center"/>
    </xf>
    <xf numFmtId="9" fontId="15" fillId="0" borderId="0" xfId="21" applyFont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9" fontId="15" fillId="0" borderId="5" xfId="21" applyFont="1" applyBorder="1" applyAlignment="1">
      <alignment horizontal="center"/>
    </xf>
    <xf numFmtId="164" fontId="14" fillId="0" borderId="0" xfId="0" applyNumberFormat="1" applyFont="1" applyFill="1" applyBorder="1" applyAlignment="1">
      <alignment/>
    </xf>
    <xf numFmtId="9" fontId="16" fillId="0" borderId="5" xfId="21" applyFont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3" fontId="0" fillId="0" borderId="0" xfId="21" applyNumberFormat="1" applyBorder="1" applyAlignment="1">
      <alignment horizontal="center"/>
    </xf>
    <xf numFmtId="166" fontId="0" fillId="0" borderId="0" xfId="2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3" xfId="0" applyNumberFormat="1" applyBorder="1" applyAlignment="1">
      <alignment horizontal="center"/>
    </xf>
    <xf numFmtId="10" fontId="10" fillId="0" borderId="5" xfId="21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 vertical="center"/>
    </xf>
    <xf numFmtId="166" fontId="0" fillId="0" borderId="9" xfId="21" applyNumberFormat="1" applyBorder="1" applyAlignment="1">
      <alignment horizontal="center"/>
    </xf>
    <xf numFmtId="10" fontId="10" fillId="6" borderId="5" xfId="21" applyNumberFormat="1" applyFont="1" applyFill="1" applyBorder="1" applyAlignment="1">
      <alignment horizontal="center"/>
    </xf>
    <xf numFmtId="166" fontId="10" fillId="9" borderId="5" xfId="0" applyNumberFormat="1" applyFont="1" applyFill="1" applyBorder="1" applyAlignment="1">
      <alignment horizontal="center"/>
    </xf>
    <xf numFmtId="166" fontId="10" fillId="6" borderId="5" xfId="0" applyNumberFormat="1" applyFont="1" applyFill="1" applyBorder="1" applyAlignment="1">
      <alignment horizontal="center"/>
    </xf>
    <xf numFmtId="166" fontId="0" fillId="0" borderId="9" xfId="21" applyNumberFormat="1" applyBorder="1" applyAlignment="1">
      <alignment horizontal="center" vertical="center"/>
    </xf>
    <xf numFmtId="166" fontId="10" fillId="6" borderId="5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70" fontId="5" fillId="0" borderId="40" xfId="0" applyNumberFormat="1" applyFont="1" applyFill="1" applyBorder="1" applyAlignment="1">
      <alignment horizontal="center"/>
    </xf>
    <xf numFmtId="170" fontId="5" fillId="0" borderId="44" xfId="0" applyNumberFormat="1" applyFont="1" applyFill="1" applyBorder="1" applyAlignment="1">
      <alignment horizontal="center"/>
    </xf>
    <xf numFmtId="170" fontId="5" fillId="0" borderId="15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9" fontId="0" fillId="0" borderId="0" xfId="2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  <protection locked="0"/>
    </xf>
    <xf numFmtId="9" fontId="0" fillId="0" borderId="4" xfId="2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6" fontId="0" fillId="0" borderId="0" xfId="21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170" fontId="5" fillId="0" borderId="8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181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/>
    </xf>
    <xf numFmtId="170" fontId="5" fillId="2" borderId="0" xfId="0" applyNumberFormat="1" applyFont="1" applyFill="1" applyBorder="1" applyAlignment="1">
      <alignment horizontal="center"/>
    </xf>
    <xf numFmtId="1" fontId="0" fillId="0" borderId="0" xfId="21" applyNumberFormat="1" applyAlignment="1">
      <alignment horizontal="center"/>
    </xf>
    <xf numFmtId="170" fontId="0" fillId="0" borderId="7" xfId="0" applyNumberFormat="1" applyBorder="1" applyAlignment="1">
      <alignment horizontal="center"/>
    </xf>
    <xf numFmtId="9" fontId="0" fillId="0" borderId="0" xfId="21" applyFont="1" applyAlignment="1">
      <alignment horizontal="center"/>
    </xf>
    <xf numFmtId="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9" fontId="0" fillId="0" borderId="0" xfId="21" applyNumberFormat="1" applyAlignment="1">
      <alignment/>
    </xf>
    <xf numFmtId="165" fontId="0" fillId="0" borderId="0" xfId="21" applyNumberFormat="1" applyAlignment="1">
      <alignment horizontal="center"/>
    </xf>
    <xf numFmtId="170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67" fontId="19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169" fontId="0" fillId="0" borderId="5" xfId="0" applyNumberFormat="1" applyBorder="1" applyAlignment="1" quotePrefix="1">
      <alignment horizontal="center"/>
    </xf>
    <xf numFmtId="171" fontId="0" fillId="0" borderId="0" xfId="0" applyNumberFormat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9" fontId="0" fillId="0" borderId="0" xfId="2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9" fontId="0" fillId="0" borderId="0" xfId="21" applyBorder="1" applyAlignment="1">
      <alignment horizontal="center"/>
    </xf>
    <xf numFmtId="9" fontId="0" fillId="0" borderId="0" xfId="21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9" fontId="0" fillId="0" borderId="24" xfId="21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0" borderId="30" xfId="0" applyFont="1" applyBorder="1" applyAlignment="1">
      <alignment horizontal="left" vertical="center"/>
    </xf>
    <xf numFmtId="0" fontId="1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1"/>
  <sheetViews>
    <sheetView tabSelected="1" workbookViewId="0" topLeftCell="A1">
      <selection activeCell="A1" sqref="A1:R1"/>
    </sheetView>
  </sheetViews>
  <sheetFormatPr defaultColWidth="9.140625" defaultRowHeight="12.75"/>
  <cols>
    <col min="2" max="2" width="17.00390625" style="0" bestFit="1" customWidth="1"/>
    <col min="3" max="5" width="11.7109375" style="0" customWidth="1"/>
    <col min="6" max="6" width="10.8515625" style="0" bestFit="1" customWidth="1"/>
    <col min="8" max="8" width="12.7109375" style="0" customWidth="1"/>
    <col min="10" max="10" width="9.57421875" style="0" bestFit="1" customWidth="1"/>
    <col min="11" max="11" width="10.7109375" style="0" customWidth="1"/>
    <col min="12" max="12" width="11.57421875" style="0" bestFit="1" customWidth="1"/>
    <col min="13" max="13" width="12.7109375" style="0" customWidth="1"/>
    <col min="14" max="14" width="15.57421875" style="0" customWidth="1"/>
    <col min="15" max="15" width="11.57421875" style="0" bestFit="1" customWidth="1"/>
    <col min="16" max="16" width="12.7109375" style="0" customWidth="1"/>
    <col min="17" max="17" width="13.140625" style="0" customWidth="1"/>
    <col min="18" max="18" width="11.57421875" style="0" customWidth="1"/>
    <col min="19" max="19" width="13.00390625" style="0" customWidth="1"/>
    <col min="20" max="20" width="11.57421875" style="0" customWidth="1"/>
    <col min="21" max="21" width="13.00390625" style="0" customWidth="1"/>
    <col min="22" max="23" width="12.421875" style="0" customWidth="1"/>
    <col min="24" max="24" width="11.00390625" style="0" customWidth="1"/>
    <col min="25" max="25" width="10.28125" style="0" customWidth="1"/>
    <col min="29" max="29" width="9.57421875" style="0" bestFit="1" customWidth="1"/>
    <col min="30" max="30" width="12.7109375" style="0" customWidth="1"/>
    <col min="31" max="31" width="11.7109375" style="0" customWidth="1"/>
  </cols>
  <sheetData>
    <row r="1" spans="1:19" ht="20.25">
      <c r="A1" s="650" t="s">
        <v>273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2"/>
    </row>
    <row r="2" spans="1:19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8" ht="15.75" customHeight="1" thickBot="1">
      <c r="A3" s="694" t="s">
        <v>0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207"/>
      <c r="M3" s="207"/>
      <c r="N3" s="207"/>
      <c r="O3" s="207"/>
      <c r="P3" s="207"/>
      <c r="Q3" s="207"/>
      <c r="R3" s="207"/>
      <c r="S3" s="207"/>
      <c r="T3" s="207"/>
      <c r="U3" s="669"/>
      <c r="V3" s="669"/>
      <c r="W3" s="245">
        <f>R8+P8+N8</f>
        <v>81.2852851680521</v>
      </c>
      <c r="X3" s="670" t="s">
        <v>142</v>
      </c>
      <c r="Y3" s="671"/>
      <c r="Z3" s="671"/>
      <c r="AA3" s="671"/>
      <c r="AB3" s="672"/>
    </row>
    <row r="4" spans="1:28" ht="13.5" thickBot="1">
      <c r="A4" s="670" t="s">
        <v>1</v>
      </c>
      <c r="B4" s="671"/>
      <c r="C4" s="671"/>
      <c r="D4" s="671"/>
      <c r="E4" s="672"/>
      <c r="F4" s="670" t="s">
        <v>2</v>
      </c>
      <c r="G4" s="671"/>
      <c r="H4" s="671"/>
      <c r="I4" s="671"/>
      <c r="J4" s="671"/>
      <c r="K4" s="672"/>
      <c r="L4" s="670" t="s">
        <v>3</v>
      </c>
      <c r="M4" s="671"/>
      <c r="N4" s="671"/>
      <c r="O4" s="671"/>
      <c r="P4" s="671"/>
      <c r="Q4" s="671"/>
      <c r="R4" s="671"/>
      <c r="S4" s="671"/>
      <c r="T4" s="671"/>
      <c r="U4" s="671"/>
      <c r="V4" s="672"/>
      <c r="W4" s="174"/>
      <c r="X4" s="10"/>
      <c r="Y4" s="34"/>
      <c r="Z4" s="674" t="s">
        <v>143</v>
      </c>
      <c r="AA4" s="674"/>
      <c r="AB4" s="9"/>
    </row>
    <row r="5" spans="1:28" ht="12.75" customHeight="1">
      <c r="A5" s="7" t="s">
        <v>4</v>
      </c>
      <c r="B5" s="8"/>
      <c r="C5" s="8"/>
      <c r="D5" s="8"/>
      <c r="E5" s="9"/>
      <c r="F5" s="10" t="s">
        <v>5</v>
      </c>
      <c r="G5" s="8"/>
      <c r="H5" s="173">
        <v>15</v>
      </c>
      <c r="I5" s="8" t="s">
        <v>80</v>
      </c>
      <c r="J5" s="8"/>
      <c r="K5" s="29"/>
      <c r="L5" s="7" t="s">
        <v>7</v>
      </c>
      <c r="M5" s="8"/>
      <c r="N5" s="680" t="s">
        <v>8</v>
      </c>
      <c r="O5" s="681"/>
      <c r="P5" s="654" t="s">
        <v>180</v>
      </c>
      <c r="Q5" s="680"/>
      <c r="R5" s="655" t="s">
        <v>171</v>
      </c>
      <c r="S5" s="678"/>
      <c r="T5" s="678"/>
      <c r="U5" s="678"/>
      <c r="V5" s="651"/>
      <c r="W5" s="46" t="s">
        <v>231</v>
      </c>
      <c r="X5" s="10"/>
      <c r="Y5" s="8" t="s">
        <v>144</v>
      </c>
      <c r="Z5" s="12" t="s">
        <v>145</v>
      </c>
      <c r="AA5" s="12" t="s">
        <v>146</v>
      </c>
      <c r="AB5" s="9"/>
    </row>
    <row r="6" spans="1:39" ht="12.75" customHeight="1">
      <c r="A6" s="7" t="s">
        <v>9</v>
      </c>
      <c r="B6" s="8"/>
      <c r="C6" s="8"/>
      <c r="D6" s="12">
        <v>-0.72</v>
      </c>
      <c r="E6" s="9"/>
      <c r="F6" s="10" t="s">
        <v>10</v>
      </c>
      <c r="G6" s="8"/>
      <c r="H6" s="173">
        <v>25</v>
      </c>
      <c r="I6" s="8" t="s">
        <v>80</v>
      </c>
      <c r="J6" s="665" t="s">
        <v>15</v>
      </c>
      <c r="K6" s="175">
        <v>5</v>
      </c>
      <c r="L6" s="7" t="s">
        <v>11</v>
      </c>
      <c r="M6" s="8"/>
      <c r="N6" s="256" t="s">
        <v>12</v>
      </c>
      <c r="O6" s="256" t="s">
        <v>13</v>
      </c>
      <c r="P6" s="255" t="s">
        <v>12</v>
      </c>
      <c r="Q6" s="256" t="s">
        <v>13</v>
      </c>
      <c r="R6" s="50" t="s">
        <v>12</v>
      </c>
      <c r="S6" s="273" t="s">
        <v>183</v>
      </c>
      <c r="T6" s="673" t="s">
        <v>181</v>
      </c>
      <c r="U6" s="674"/>
      <c r="V6" s="659"/>
      <c r="W6" s="245">
        <f>R8</f>
        <v>13.723898177828794</v>
      </c>
      <c r="X6" s="10" t="s">
        <v>147</v>
      </c>
      <c r="Y6" s="123">
        <v>2.96</v>
      </c>
      <c r="Z6" s="196">
        <f>(1-C11)*Y6</f>
        <v>2.466666666666667</v>
      </c>
      <c r="AA6" s="8"/>
      <c r="AB6" s="9"/>
      <c r="AM6" s="147"/>
    </row>
    <row r="7" spans="1:39" ht="12.75" customHeight="1">
      <c r="A7" s="7" t="s">
        <v>14</v>
      </c>
      <c r="B7" s="8"/>
      <c r="C7" s="8"/>
      <c r="D7" s="15">
        <v>1.093769198837692</v>
      </c>
      <c r="E7" s="9"/>
      <c r="F7" t="s">
        <v>190</v>
      </c>
      <c r="H7" s="116">
        <v>35</v>
      </c>
      <c r="I7" s="8" t="s">
        <v>80</v>
      </c>
      <c r="J7" s="665"/>
      <c r="K7" s="176" t="s">
        <v>194</v>
      </c>
      <c r="L7" s="99" t="s">
        <v>16</v>
      </c>
      <c r="M7" s="8"/>
      <c r="N7" s="258" t="s">
        <v>17</v>
      </c>
      <c r="O7" s="258" t="s">
        <v>17</v>
      </c>
      <c r="P7" s="259" t="s">
        <v>17</v>
      </c>
      <c r="Q7" s="258" t="s">
        <v>17</v>
      </c>
      <c r="R7" s="274" t="s">
        <v>17</v>
      </c>
      <c r="S7" s="275" t="s">
        <v>17</v>
      </c>
      <c r="T7" s="8"/>
      <c r="U7" s="678" t="s">
        <v>176</v>
      </c>
      <c r="V7" s="651"/>
      <c r="W7" s="349">
        <f>R8*V17+(R8*(1-V17)*W18)</f>
        <v>3.9084189315200497</v>
      </c>
      <c r="X7" s="10" t="s">
        <v>148</v>
      </c>
      <c r="Y7" s="123">
        <v>5.32</v>
      </c>
      <c r="Z7" s="196">
        <f>(1-C11)*Y7</f>
        <v>4.433333333333334</v>
      </c>
      <c r="AA7" s="196">
        <f>Y7</f>
        <v>5.32</v>
      </c>
      <c r="AB7" s="9"/>
      <c r="AM7" s="8"/>
    </row>
    <row r="8" spans="1:39" ht="12.75" customHeight="1">
      <c r="A8" s="19" t="s">
        <v>18</v>
      </c>
      <c r="B8" s="8"/>
      <c r="C8" s="8"/>
      <c r="D8" s="8"/>
      <c r="E8" s="150">
        <v>0.392</v>
      </c>
      <c r="F8" s="666" t="s">
        <v>191</v>
      </c>
      <c r="G8" s="667"/>
      <c r="H8" s="667"/>
      <c r="I8" s="244">
        <f>J8</f>
        <v>0.1176716917922948</v>
      </c>
      <c r="J8" s="127">
        <f>(0.69+0.46+1.66)/(5.68+3.92+14.28)</f>
        <v>0.1176716917922948</v>
      </c>
      <c r="K8" s="652" t="s">
        <v>205</v>
      </c>
      <c r="L8" s="99" t="s">
        <v>21</v>
      </c>
      <c r="M8" s="12"/>
      <c r="N8" s="260">
        <f>(AA15)*(1+I8)</f>
        <v>63.79032839430799</v>
      </c>
      <c r="O8" s="564">
        <f>N8*AA17</f>
        <v>7.293591203681963</v>
      </c>
      <c r="P8" s="261">
        <f>AB15*(1+I8)*(1-I9)</f>
        <v>3.7710585959153162</v>
      </c>
      <c r="Q8" s="265"/>
      <c r="R8" s="276">
        <f>AB15*(1+I8)*I9</f>
        <v>13.723898177828794</v>
      </c>
      <c r="S8" s="277"/>
      <c r="T8" s="15" t="s">
        <v>220</v>
      </c>
      <c r="U8" s="298" t="s">
        <v>227</v>
      </c>
      <c r="V8" s="14" t="s">
        <v>174</v>
      </c>
      <c r="W8" s="134" t="s">
        <v>232</v>
      </c>
      <c r="X8" s="10" t="s">
        <v>149</v>
      </c>
      <c r="Y8" s="8"/>
      <c r="Z8" s="8"/>
      <c r="AA8" s="196">
        <f>AA7-Z6</f>
        <v>2.8533333333333335</v>
      </c>
      <c r="AB8" s="9"/>
      <c r="AM8" s="134"/>
    </row>
    <row r="9" spans="1:39" ht="12.75" customHeight="1">
      <c r="A9" s="7" t="s">
        <v>22</v>
      </c>
      <c r="B9" s="8"/>
      <c r="C9" s="8"/>
      <c r="D9" s="609"/>
      <c r="E9" s="9" t="s">
        <v>23</v>
      </c>
      <c r="F9" s="682" t="s">
        <v>204</v>
      </c>
      <c r="G9" s="668"/>
      <c r="H9" s="668"/>
      <c r="I9" s="71">
        <f>J9</f>
        <v>0.7844488188976377</v>
      </c>
      <c r="J9" s="127">
        <f>(14.28+1.66)/(3.92+0.46+14.28+1.66)</f>
        <v>0.7844488188976377</v>
      </c>
      <c r="K9" s="653"/>
      <c r="L9" s="99" t="s">
        <v>26</v>
      </c>
      <c r="M9" s="160">
        <f>1/3</f>
        <v>0.3333333333333333</v>
      </c>
      <c r="N9" s="565"/>
      <c r="O9" s="566">
        <f>N8+O8</f>
        <v>71.08391959798996</v>
      </c>
      <c r="P9" s="567"/>
      <c r="Q9" s="564">
        <f>P8*AB17</f>
        <v>0.3967787453184128</v>
      </c>
      <c r="R9" s="278"/>
      <c r="S9" s="250">
        <f>R8*AB17</f>
        <v>1.4439847489441773</v>
      </c>
      <c r="T9" s="251">
        <f>X40*(1-U17)</f>
        <v>0.3246746580515893</v>
      </c>
      <c r="U9" s="251">
        <f>Z38</f>
        <v>1.9500110219120819</v>
      </c>
      <c r="V9" s="227">
        <f>AB38</f>
        <v>1.3145475078593498</v>
      </c>
      <c r="W9" s="138">
        <f>U9*V17+T9</f>
        <v>0.5299774295605046</v>
      </c>
      <c r="X9" s="10" t="s">
        <v>150</v>
      </c>
      <c r="Y9" s="8"/>
      <c r="Z9" s="8"/>
      <c r="AA9" s="196">
        <f>Z7-Z6</f>
        <v>1.9666666666666668</v>
      </c>
      <c r="AB9" s="9"/>
      <c r="AM9" s="134"/>
    </row>
    <row r="10" spans="1:28" ht="12.75" customHeight="1">
      <c r="A10" s="7" t="s">
        <v>27</v>
      </c>
      <c r="B10" s="8"/>
      <c r="C10" s="8"/>
      <c r="D10" s="609">
        <v>0</v>
      </c>
      <c r="E10" s="9" t="s">
        <v>23</v>
      </c>
      <c r="F10" s="104" t="s">
        <v>193</v>
      </c>
      <c r="G10" s="147"/>
      <c r="I10" s="71">
        <v>0.5</v>
      </c>
      <c r="K10" s="346">
        <v>0.4</v>
      </c>
      <c r="L10" s="99" t="s">
        <v>29</v>
      </c>
      <c r="M10" s="30">
        <f>1/5</f>
        <v>0.2</v>
      </c>
      <c r="N10" s="262"/>
      <c r="O10" s="568"/>
      <c r="P10" s="569"/>
      <c r="Q10" s="566">
        <f>P8+Q9</f>
        <v>4.167837341233729</v>
      </c>
      <c r="R10" s="278"/>
      <c r="S10" s="299">
        <f>R8+S9</f>
        <v>15.167882926772972</v>
      </c>
      <c r="T10" s="146">
        <f>R8+S9+T9</f>
        <v>15.492557584824562</v>
      </c>
      <c r="U10" s="303">
        <f>R8+U9</f>
        <v>15.673909199740876</v>
      </c>
      <c r="V10" s="228">
        <f>R8+V9</f>
        <v>15.038445685688144</v>
      </c>
      <c r="W10" s="348">
        <f>U9*V17+(1-V17)*V9</f>
        <v>1.3814509351537738</v>
      </c>
      <c r="X10" s="10" t="s">
        <v>151</v>
      </c>
      <c r="Y10" s="8"/>
      <c r="Z10" s="8"/>
      <c r="AA10" s="115">
        <f>AA9/AA8</f>
        <v>0.6892523364485982</v>
      </c>
      <c r="AB10" s="9"/>
    </row>
    <row r="11" spans="1:28" ht="12.75" customHeight="1">
      <c r="A11" s="7" t="s">
        <v>30</v>
      </c>
      <c r="B11" s="8"/>
      <c r="C11" s="27">
        <f>1/6</f>
        <v>0.16666666666666666</v>
      </c>
      <c r="D11" s="16" t="s">
        <v>31</v>
      </c>
      <c r="E11" s="28">
        <v>0</v>
      </c>
      <c r="F11" s="10" t="s">
        <v>195</v>
      </c>
      <c r="G11" s="8"/>
      <c r="H11" s="8"/>
      <c r="I11" s="12">
        <v>8</v>
      </c>
      <c r="J11" s="21" t="s">
        <v>20</v>
      </c>
      <c r="K11" s="8"/>
      <c r="L11" s="99" t="s">
        <v>33</v>
      </c>
      <c r="M11" s="12"/>
      <c r="N11" s="260">
        <f>N8*M9</f>
        <v>21.263442798102663</v>
      </c>
      <c r="O11" s="566">
        <f>O9*M9</f>
        <v>23.694639865996653</v>
      </c>
      <c r="P11" s="261">
        <f>P8*M10</f>
        <v>0.7542117191830633</v>
      </c>
      <c r="Q11" s="566">
        <f>Q10*M10</f>
        <v>0.8335674682467458</v>
      </c>
      <c r="R11" s="276">
        <f>R8*M10</f>
        <v>2.744779635565759</v>
      </c>
      <c r="S11" s="299">
        <f>S10*M10</f>
        <v>3.0335765853545946</v>
      </c>
      <c r="T11" s="146">
        <f>T10*M10</f>
        <v>3.0985115169649124</v>
      </c>
      <c r="U11" s="303">
        <f>U10*M10</f>
        <v>3.1347818399481753</v>
      </c>
      <c r="V11" s="228">
        <f>V10*M10</f>
        <v>3.007689137137629</v>
      </c>
      <c r="W11" s="138">
        <f>V9</f>
        <v>1.3145475078593498</v>
      </c>
      <c r="X11" s="10" t="s">
        <v>152</v>
      </c>
      <c r="Y11" s="8"/>
      <c r="Z11" s="8"/>
      <c r="AA11" s="115">
        <f>(AA8-AA9)/AA8</f>
        <v>0.3107476635514019</v>
      </c>
      <c r="AB11" s="9"/>
    </row>
    <row r="12" spans="1:28" ht="12.75" customHeight="1">
      <c r="A12" s="7" t="s">
        <v>34</v>
      </c>
      <c r="B12" s="8"/>
      <c r="C12" s="30">
        <v>0.07</v>
      </c>
      <c r="D12" s="16" t="s">
        <v>35</v>
      </c>
      <c r="E12" s="31">
        <v>6</v>
      </c>
      <c r="F12" s="10" t="s">
        <v>24</v>
      </c>
      <c r="G12" s="8"/>
      <c r="H12" s="8"/>
      <c r="I12" s="24">
        <f>I11/(C14+I11)</f>
        <v>0.23529411764705882</v>
      </c>
      <c r="J12" s="8"/>
      <c r="K12" s="145" t="s">
        <v>25</v>
      </c>
      <c r="L12" s="99" t="s">
        <v>36</v>
      </c>
      <c r="M12" s="12"/>
      <c r="N12" s="263">
        <f>AB21</f>
        <v>27.5</v>
      </c>
      <c r="O12" s="263">
        <f>AB21</f>
        <v>27.5</v>
      </c>
      <c r="P12" s="570">
        <f>AB22</f>
        <v>31.7</v>
      </c>
      <c r="Q12" s="263">
        <f>AB22</f>
        <v>31.7</v>
      </c>
      <c r="R12" s="300">
        <f>AB23</f>
        <v>90.3</v>
      </c>
      <c r="S12" s="301">
        <f>AB23</f>
        <v>90.3</v>
      </c>
      <c r="T12" s="29">
        <f>AB23</f>
        <v>90.3</v>
      </c>
      <c r="U12" s="304">
        <f>T12</f>
        <v>90.3</v>
      </c>
      <c r="V12" s="33">
        <f>T12</f>
        <v>90.3</v>
      </c>
      <c r="W12" s="248"/>
      <c r="X12" s="10"/>
      <c r="Y12" s="8"/>
      <c r="Z12" s="8"/>
      <c r="AA12" s="12" t="s">
        <v>137</v>
      </c>
      <c r="AB12" s="197" t="s">
        <v>153</v>
      </c>
    </row>
    <row r="13" spans="1:28" ht="12.75" customHeight="1">
      <c r="A13" s="19" t="s">
        <v>37</v>
      </c>
      <c r="B13" s="8"/>
      <c r="C13" s="15">
        <f>(1/(1+C12)^E12)</f>
        <v>0.6663422238165125</v>
      </c>
      <c r="D13" s="8"/>
      <c r="E13" s="9"/>
      <c r="F13" s="10" t="s">
        <v>28</v>
      </c>
      <c r="G13" s="8"/>
      <c r="H13" s="8"/>
      <c r="I13" s="8"/>
      <c r="J13" s="29">
        <f>AA24</f>
        <v>13.910055604292817</v>
      </c>
      <c r="K13" s="181">
        <f>ROUND(J13,0)</f>
        <v>14</v>
      </c>
      <c r="L13" s="19" t="s">
        <v>38</v>
      </c>
      <c r="M13" s="8"/>
      <c r="N13" s="264">
        <f>$Y$21*365/1000</f>
        <v>2.0075</v>
      </c>
      <c r="O13" s="264">
        <f>$Y$21*365/1000</f>
        <v>2.0075</v>
      </c>
      <c r="P13" s="264">
        <f>$Y$22*365/1000</f>
        <v>2.3086249999999997</v>
      </c>
      <c r="Q13" s="264">
        <f>$Y$22*365/1000</f>
        <v>2.3086249999999997</v>
      </c>
      <c r="R13" s="300">
        <f>$Y$23*365/1000</f>
        <v>6.3145</v>
      </c>
      <c r="S13" s="301">
        <f>$Y$23*365/1000</f>
        <v>6.3145</v>
      </c>
      <c r="T13" s="8"/>
      <c r="U13" s="8"/>
      <c r="V13" s="161"/>
      <c r="W13" s="350"/>
      <c r="X13" s="198" t="s">
        <v>154</v>
      </c>
      <c r="Y13" s="8"/>
      <c r="Z13" s="8"/>
      <c r="AA13" s="8">
        <v>42.6</v>
      </c>
      <c r="AB13" s="9">
        <v>12</v>
      </c>
    </row>
    <row r="14" spans="1:28" ht="12.75" customHeight="1">
      <c r="A14" s="7" t="s">
        <v>39</v>
      </c>
      <c r="B14" s="8"/>
      <c r="C14" s="8">
        <v>26</v>
      </c>
      <c r="D14" s="8" t="s">
        <v>40</v>
      </c>
      <c r="E14" s="9"/>
      <c r="F14" s="10" t="s">
        <v>32</v>
      </c>
      <c r="G14" s="8"/>
      <c r="H14" s="8"/>
      <c r="I14" s="127">
        <f>(0.69+0.46+1.66)/(5.68+3.92+14.28)</f>
        <v>0.1176716917922948</v>
      </c>
      <c r="J14" s="29">
        <f>Y30</f>
        <v>4.636685201430939</v>
      </c>
      <c r="K14" s="181">
        <f>ROUND(J14,0)</f>
        <v>5</v>
      </c>
      <c r="L14" s="7" t="s">
        <v>203</v>
      </c>
      <c r="M14" s="8"/>
      <c r="N14" s="352"/>
      <c r="O14" s="353"/>
      <c r="P14" s="352"/>
      <c r="Q14" s="354"/>
      <c r="R14" s="291"/>
      <c r="S14" s="302"/>
      <c r="T14" s="36">
        <f>(T10-T11)*$O$15</f>
        <v>8.2626973785731</v>
      </c>
      <c r="U14" s="8"/>
      <c r="V14" s="330">
        <f>(V10-V11)*$O$15</f>
        <v>8.020504365700344</v>
      </c>
      <c r="W14" s="245"/>
      <c r="X14" s="10" t="s">
        <v>155</v>
      </c>
      <c r="Y14" s="8"/>
      <c r="Z14" s="8"/>
      <c r="AA14" s="8">
        <f>63.6</f>
        <v>63.6</v>
      </c>
      <c r="AB14" s="9">
        <v>17.3</v>
      </c>
    </row>
    <row r="15" spans="1:28" ht="12.75" customHeight="1">
      <c r="A15" s="7" t="s">
        <v>43</v>
      </c>
      <c r="B15" s="8"/>
      <c r="C15" s="8">
        <v>5.62</v>
      </c>
      <c r="D15" s="8" t="s">
        <v>40</v>
      </c>
      <c r="E15" s="9"/>
      <c r="F15" s="10" t="s">
        <v>41</v>
      </c>
      <c r="G15" s="8"/>
      <c r="H15" s="8"/>
      <c r="I15" s="127">
        <f>(14.28+1.66)/(3.92+0.46+14.28+1.66)</f>
        <v>0.7844488188976377</v>
      </c>
      <c r="J15" s="26">
        <f>AA30</f>
        <v>9.273370402861877</v>
      </c>
      <c r="K15" s="181">
        <f>ROUND(J15,0)</f>
        <v>9</v>
      </c>
      <c r="L15" s="182" t="s">
        <v>44</v>
      </c>
      <c r="M15" s="8"/>
      <c r="N15" s="352"/>
      <c r="O15" s="355">
        <f>2/3</f>
        <v>0.6666666666666666</v>
      </c>
      <c r="P15" s="356">
        <f>(Q10-Q11)*$O$15</f>
        <v>2.222846581991322</v>
      </c>
      <c r="Q15" s="357">
        <f>ROUND(P15,0)</f>
        <v>2</v>
      </c>
      <c r="R15" s="297">
        <f>(S10-S11)*$O$15</f>
        <v>8.089537560945583</v>
      </c>
      <c r="S15" s="273">
        <f>ROUND(R15,0)</f>
        <v>8</v>
      </c>
      <c r="T15" s="152">
        <f>ROUND(T14,0)</f>
        <v>8</v>
      </c>
      <c r="U15" s="8"/>
      <c r="V15" s="347">
        <f>ROUND(V14,0)</f>
        <v>8</v>
      </c>
      <c r="W15" s="206"/>
      <c r="X15" s="10" t="s">
        <v>156</v>
      </c>
      <c r="Y15" s="8"/>
      <c r="Z15" s="8"/>
      <c r="AA15" s="199">
        <f>AA13+((AA14-AA13)*$AA$10)</f>
        <v>57.07429906542056</v>
      </c>
      <c r="AB15" s="213">
        <f>AB13+((AB14-AB13)*$AA$10)</f>
        <v>15.65303738317757</v>
      </c>
    </row>
    <row r="16" spans="1:28" ht="12.75" customHeight="1" thickBot="1">
      <c r="A16" s="37" t="s">
        <v>45</v>
      </c>
      <c r="B16" s="38"/>
      <c r="C16" s="39">
        <f>(1-(C15/(C14+C15)))</f>
        <v>0.8222643896268185</v>
      </c>
      <c r="D16" s="38"/>
      <c r="E16" s="40"/>
      <c r="F16" s="41" t="s">
        <v>46</v>
      </c>
      <c r="G16" s="38"/>
      <c r="H16" s="38"/>
      <c r="I16" s="38"/>
      <c r="J16" s="42">
        <v>2</v>
      </c>
      <c r="K16" s="38" t="s">
        <v>47</v>
      </c>
      <c r="L16" s="37" t="s">
        <v>48</v>
      </c>
      <c r="M16" s="38"/>
      <c r="N16" s="358"/>
      <c r="O16" s="358"/>
      <c r="P16" s="358"/>
      <c r="Q16" s="359">
        <v>1</v>
      </c>
      <c r="R16" s="41"/>
      <c r="S16" s="40"/>
      <c r="T16" s="38"/>
      <c r="U16" s="38"/>
      <c r="V16" s="102"/>
      <c r="W16" s="134"/>
      <c r="X16" s="10" t="s">
        <v>157</v>
      </c>
      <c r="Y16" s="8"/>
      <c r="Z16" s="8"/>
      <c r="AA16" s="214">
        <f>AA14-AA15</f>
        <v>6.52570093457944</v>
      </c>
      <c r="AB16" s="213">
        <f>AB14-AB15</f>
        <v>1.6469626168224298</v>
      </c>
    </row>
    <row r="17" spans="1:28" ht="12.75" customHeight="1">
      <c r="A17" s="43"/>
      <c r="B17" s="43"/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205">
        <f>N8+P8+R8</f>
        <v>81.2852851680521</v>
      </c>
      <c r="S17" s="205">
        <f>O9+Q10+S10-R17</f>
        <v>9.134354697944573</v>
      </c>
      <c r="T17" s="246" t="s">
        <v>213</v>
      </c>
      <c r="U17" s="224">
        <f>1.66/(14.28+1.66)</f>
        <v>0.1041405269761606</v>
      </c>
      <c r="V17" s="224">
        <f>I8/(1+I8)</f>
        <v>0.10528287748220305</v>
      </c>
      <c r="X17" s="86"/>
      <c r="Y17" s="87"/>
      <c r="Z17" s="87"/>
      <c r="AA17" s="211">
        <f>AA16/AA15</f>
        <v>0.11433694397366936</v>
      </c>
      <c r="AB17" s="212">
        <f>AB16/AB15</f>
        <v>0.10521680722441973</v>
      </c>
    </row>
    <row r="18" spans="1:23" ht="15" customHeight="1" thickBot="1">
      <c r="A18" s="8"/>
      <c r="B18" s="656" t="s">
        <v>49</v>
      </c>
      <c r="C18" s="657"/>
      <c r="D18" s="657"/>
      <c r="E18" s="657"/>
      <c r="F18" s="658"/>
      <c r="G18" s="208" t="s">
        <v>50</v>
      </c>
      <c r="H18" s="209"/>
      <c r="I18" s="209"/>
      <c r="J18" s="209"/>
      <c r="K18" s="209"/>
      <c r="L18" s="209"/>
      <c r="M18" s="209"/>
      <c r="N18" s="209"/>
      <c r="O18" s="209"/>
      <c r="P18" s="550">
        <v>0.32</v>
      </c>
      <c r="U18" s="691" t="s">
        <v>230</v>
      </c>
      <c r="V18" s="691"/>
      <c r="W18" s="103">
        <f>X40/(X38+X40)</f>
        <v>0.20062921242762735</v>
      </c>
    </row>
    <row r="19" spans="1:28" ht="12.75" customHeight="1" thickBot="1">
      <c r="A19" s="46" t="s">
        <v>51</v>
      </c>
      <c r="B19" s="13" t="s">
        <v>52</v>
      </c>
      <c r="C19" s="12" t="s">
        <v>53</v>
      </c>
      <c r="D19" s="12" t="s">
        <v>54</v>
      </c>
      <c r="E19" s="12" t="s">
        <v>55</v>
      </c>
      <c r="F19" s="31" t="s">
        <v>56</v>
      </c>
      <c r="G19" s="13" t="s">
        <v>57</v>
      </c>
      <c r="H19" s="12" t="s">
        <v>58</v>
      </c>
      <c r="I19" s="12" t="s">
        <v>59</v>
      </c>
      <c r="J19" s="12" t="s">
        <v>60</v>
      </c>
      <c r="K19" s="12" t="s">
        <v>61</v>
      </c>
      <c r="L19" s="12" t="s">
        <v>62</v>
      </c>
      <c r="M19" s="12" t="s">
        <v>63</v>
      </c>
      <c r="N19" s="12" t="s">
        <v>64</v>
      </c>
      <c r="O19" s="12" t="s">
        <v>65</v>
      </c>
      <c r="P19" s="551" t="s">
        <v>233</v>
      </c>
      <c r="Q19" s="631" t="s">
        <v>308</v>
      </c>
      <c r="R19" s="611">
        <v>0.32</v>
      </c>
      <c r="S19" s="34" t="s">
        <v>306</v>
      </c>
      <c r="T19" s="34" t="s">
        <v>307</v>
      </c>
      <c r="X19" s="670" t="s">
        <v>165</v>
      </c>
      <c r="Y19" s="671"/>
      <c r="Z19" s="671"/>
      <c r="AA19" s="671"/>
      <c r="AB19" s="672"/>
    </row>
    <row r="20" spans="1:28" ht="12.75" customHeight="1">
      <c r="A20" s="47"/>
      <c r="B20" s="48" t="s">
        <v>122</v>
      </c>
      <c r="C20" s="660" t="s">
        <v>124</v>
      </c>
      <c r="D20" s="661"/>
      <c r="E20" s="661"/>
      <c r="F20" s="644"/>
      <c r="G20" s="660" t="s">
        <v>67</v>
      </c>
      <c r="H20" s="661"/>
      <c r="I20" s="31"/>
      <c r="J20" s="13" t="s">
        <v>103</v>
      </c>
      <c r="K20" s="49" t="s">
        <v>68</v>
      </c>
      <c r="L20" s="13" t="s">
        <v>69</v>
      </c>
      <c r="M20" s="660" t="s">
        <v>104</v>
      </c>
      <c r="N20" s="644"/>
      <c r="O20" s="50" t="s">
        <v>105</v>
      </c>
      <c r="P20" s="51" t="s">
        <v>116</v>
      </c>
      <c r="Q20" s="51" t="s">
        <v>116</v>
      </c>
      <c r="S20" s="34"/>
      <c r="W20" s="154"/>
      <c r="X20" s="10"/>
      <c r="Y20" s="145" t="s">
        <v>166</v>
      </c>
      <c r="Z20" s="8"/>
      <c r="AA20" s="145" t="s">
        <v>167</v>
      </c>
      <c r="AB20" s="25" t="s">
        <v>169</v>
      </c>
    </row>
    <row r="21" spans="1:28" ht="12.75" customHeight="1">
      <c r="A21" s="47"/>
      <c r="B21" s="51" t="s">
        <v>123</v>
      </c>
      <c r="C21" s="13" t="s">
        <v>70</v>
      </c>
      <c r="D21" s="661" t="s">
        <v>71</v>
      </c>
      <c r="E21" s="661"/>
      <c r="F21" s="31" t="s">
        <v>72</v>
      </c>
      <c r="G21" s="6" t="s">
        <v>73</v>
      </c>
      <c r="H21" s="5"/>
      <c r="I21" s="18" t="s">
        <v>74</v>
      </c>
      <c r="J21" s="18" t="s">
        <v>75</v>
      </c>
      <c r="K21" s="52" t="s">
        <v>66</v>
      </c>
      <c r="L21" s="18" t="s">
        <v>76</v>
      </c>
      <c r="M21" s="6" t="s">
        <v>77</v>
      </c>
      <c r="N21" s="53" t="s">
        <v>72</v>
      </c>
      <c r="O21" s="13" t="s">
        <v>78</v>
      </c>
      <c r="P21" s="48" t="s">
        <v>117</v>
      </c>
      <c r="Q21" s="51" t="s">
        <v>309</v>
      </c>
      <c r="S21" s="34"/>
      <c r="W21" s="107"/>
      <c r="X21" s="163" t="s">
        <v>177</v>
      </c>
      <c r="Y21" s="34">
        <v>5.5</v>
      </c>
      <c r="Z21" s="32" t="s">
        <v>170</v>
      </c>
      <c r="AA21" s="107">
        <f>(AB21*1000)/(Y21*365)</f>
        <v>13.698630136986301</v>
      </c>
      <c r="AB21" s="164">
        <v>27.5</v>
      </c>
    </row>
    <row r="22" spans="1:28" ht="12.75" customHeight="1" thickBot="1">
      <c r="A22" s="54" t="s">
        <v>79</v>
      </c>
      <c r="B22" s="55" t="s">
        <v>80</v>
      </c>
      <c r="C22" s="56" t="s">
        <v>81</v>
      </c>
      <c r="D22" s="57" t="s">
        <v>81</v>
      </c>
      <c r="E22" s="58" t="s">
        <v>6</v>
      </c>
      <c r="F22" s="59" t="s">
        <v>82</v>
      </c>
      <c r="G22" s="55" t="s">
        <v>83</v>
      </c>
      <c r="H22" s="60" t="s">
        <v>84</v>
      </c>
      <c r="I22" s="61" t="s">
        <v>6</v>
      </c>
      <c r="J22" s="61" t="s">
        <v>81</v>
      </c>
      <c r="K22" s="61" t="s">
        <v>6</v>
      </c>
      <c r="L22" s="59" t="s">
        <v>6</v>
      </c>
      <c r="M22" s="55" t="s">
        <v>6</v>
      </c>
      <c r="N22" s="59" t="s">
        <v>82</v>
      </c>
      <c r="O22" s="54" t="s">
        <v>81</v>
      </c>
      <c r="P22" s="55" t="s">
        <v>114</v>
      </c>
      <c r="S22" s="12"/>
      <c r="W22" s="206"/>
      <c r="X22" s="10" t="s">
        <v>172</v>
      </c>
      <c r="Y22" s="29">
        <f>Y21*1.15</f>
        <v>6.324999999999999</v>
      </c>
      <c r="Z22" s="8"/>
      <c r="AA22" s="107">
        <f>(AB22*1000)/(Y22*365)</f>
        <v>13.73111700687639</v>
      </c>
      <c r="AB22" s="164">
        <v>31.7</v>
      </c>
    </row>
    <row r="23" spans="1:28" ht="12.75" customHeight="1">
      <c r="A23" s="46">
        <v>2003</v>
      </c>
      <c r="B23" s="62">
        <v>378.4249</v>
      </c>
      <c r="C23" s="63">
        <f>(N11*N12)+(P11*P12)</f>
        <v>608.6531884459263</v>
      </c>
      <c r="D23" s="8"/>
      <c r="E23" s="64">
        <f aca="true" t="shared" si="0" ref="E23:E65">D23*$C$16</f>
        <v>0</v>
      </c>
      <c r="F23" s="31">
        <f aca="true" t="shared" si="1" ref="F23:F65">E23/$C$14</f>
        <v>0</v>
      </c>
      <c r="G23" s="23"/>
      <c r="H23" s="67"/>
      <c r="I23" s="34"/>
      <c r="J23" s="65"/>
      <c r="K23" s="66"/>
      <c r="L23" s="67"/>
      <c r="M23" s="67">
        <v>0</v>
      </c>
      <c r="N23" s="68">
        <f>IF(K23&gt;J23,(SUM($J$23:J23)-SUM($K$23:K23))/$K$14,0)</f>
        <v>0</v>
      </c>
      <c r="O23" s="69">
        <f aca="true" t="shared" si="2" ref="O23:O64">L23+M23+$C$15*N23</f>
        <v>0</v>
      </c>
      <c r="P23" s="547">
        <f>5.07714653015137+P18</f>
        <v>5.39714653015137</v>
      </c>
      <c r="S23" s="128"/>
      <c r="X23" s="10" t="s">
        <v>168</v>
      </c>
      <c r="Y23" s="34">
        <v>17.3</v>
      </c>
      <c r="Z23" s="32" t="s">
        <v>170</v>
      </c>
      <c r="AA23" s="107">
        <f>(AB23*1000)/(Y23*365)</f>
        <v>14.300419669015758</v>
      </c>
      <c r="AB23" s="164">
        <v>90.3</v>
      </c>
    </row>
    <row r="24" spans="1:28" ht="12.75" customHeight="1">
      <c r="A24" s="46">
        <v>2004</v>
      </c>
      <c r="B24" s="62">
        <v>365.0443</v>
      </c>
      <c r="C24" s="72">
        <f>C23</f>
        <v>608.6531884459263</v>
      </c>
      <c r="D24" s="22">
        <f>(SUM($C$23:C23)/$K$13)</f>
        <v>43.47522774613759</v>
      </c>
      <c r="E24" s="73">
        <f t="shared" si="0"/>
        <v>35.74813160656475</v>
      </c>
      <c r="F24" s="67">
        <f t="shared" si="1"/>
        <v>1.3749281387140289</v>
      </c>
      <c r="G24" s="23"/>
      <c r="H24" s="67"/>
      <c r="I24" s="23"/>
      <c r="J24" s="65"/>
      <c r="K24" s="67"/>
      <c r="L24" s="67"/>
      <c r="M24" s="67">
        <v>0</v>
      </c>
      <c r="N24" s="67">
        <f aca="true" t="shared" si="3" ref="N24:N65">(L24+M24)/$C$14</f>
        <v>0</v>
      </c>
      <c r="O24" s="69">
        <f t="shared" si="2"/>
        <v>0</v>
      </c>
      <c r="P24" s="137">
        <f>5.48999929428101+P18</f>
        <v>5.809999294281011</v>
      </c>
      <c r="S24" s="128"/>
      <c r="X24" s="10"/>
      <c r="Y24" s="8"/>
      <c r="Z24" s="8"/>
      <c r="AA24" s="29">
        <f>AVERAGE(AA21:AA23)</f>
        <v>13.910055604292817</v>
      </c>
      <c r="AB24" s="9"/>
    </row>
    <row r="25" spans="1:28" ht="12.75">
      <c r="A25" s="46">
        <v>2005</v>
      </c>
      <c r="B25" s="62">
        <v>331.7466</v>
      </c>
      <c r="C25" s="72">
        <f aca="true" t="shared" si="4" ref="C25:C39">C24</f>
        <v>608.6531884459263</v>
      </c>
      <c r="D25" s="22">
        <f>(SUM($C$23:C24)/$K$13)</f>
        <v>86.95045549227518</v>
      </c>
      <c r="E25" s="73">
        <f t="shared" si="0"/>
        <v>71.4962632131295</v>
      </c>
      <c r="F25" s="67">
        <f t="shared" si="1"/>
        <v>2.7498562774280577</v>
      </c>
      <c r="G25" s="23"/>
      <c r="H25" s="67"/>
      <c r="I25" s="23"/>
      <c r="J25" s="65"/>
      <c r="K25" s="67"/>
      <c r="L25" s="67"/>
      <c r="M25" s="67">
        <v>0</v>
      </c>
      <c r="N25" s="67">
        <f t="shared" si="3"/>
        <v>0</v>
      </c>
      <c r="O25" s="69">
        <f t="shared" si="2"/>
        <v>0</v>
      </c>
      <c r="P25" s="137">
        <f>7.61536979675292+P18</f>
        <v>7.93536979675292</v>
      </c>
      <c r="S25" s="630"/>
      <c r="X25" s="675" t="s">
        <v>202</v>
      </c>
      <c r="Y25" s="676"/>
      <c r="Z25" s="676"/>
      <c r="AA25" s="676"/>
      <c r="AB25" s="677"/>
    </row>
    <row r="26" spans="1:28" ht="12.75">
      <c r="A26" s="46">
        <v>2006</v>
      </c>
      <c r="B26" s="62">
        <v>297.8337</v>
      </c>
      <c r="C26" s="72">
        <f t="shared" si="4"/>
        <v>608.6531884459263</v>
      </c>
      <c r="D26" s="22">
        <f>(SUM($C$23:C25)/$K$13)</f>
        <v>130.42568323841277</v>
      </c>
      <c r="E26" s="73">
        <f t="shared" si="0"/>
        <v>107.24439481969425</v>
      </c>
      <c r="F26" s="67">
        <f t="shared" si="1"/>
        <v>4.124784416142086</v>
      </c>
      <c r="G26" s="23">
        <f>($S$86-$R$86)*$S$96+$T$86*$T$96</f>
        <v>43.20129104806191</v>
      </c>
      <c r="H26" s="67">
        <f>($S$87-$R$87)*$S$96+$T$87*$T$96</f>
        <v>3.562625072589438</v>
      </c>
      <c r="I26" s="235">
        <f>(SUM($G$25:G25)/$K$14)+(SUM(H25:H25)/$J$16)</f>
        <v>0</v>
      </c>
      <c r="J26" s="136">
        <f>($S$94-$R$94)*$S$96+$T$94*$T$96</f>
        <v>8.954053136513988</v>
      </c>
      <c r="K26" s="360">
        <f>($S$89-$R$89)*$S$96+$T$89*$T$96</f>
        <v>3.47056323120698</v>
      </c>
      <c r="L26" s="67">
        <v>0</v>
      </c>
      <c r="M26" s="337">
        <v>0</v>
      </c>
      <c r="N26" s="67">
        <f t="shared" si="3"/>
        <v>0</v>
      </c>
      <c r="O26" s="344">
        <f t="shared" si="2"/>
        <v>0</v>
      </c>
      <c r="P26" s="595">
        <f>6.84958362579346+P18</f>
        <v>7.16958362579346</v>
      </c>
      <c r="Q26" s="611">
        <v>6.47161912918091</v>
      </c>
      <c r="R26" s="611">
        <f>Q26+$R$19</f>
        <v>6.79161912918091</v>
      </c>
      <c r="S26" s="630">
        <v>6.47161912918091</v>
      </c>
      <c r="T26" s="71">
        <f>S26/Q26</f>
        <v>1</v>
      </c>
      <c r="X26" s="673" t="s">
        <v>188</v>
      </c>
      <c r="Y26" s="674"/>
      <c r="Z26" s="674"/>
      <c r="AA26" s="34" t="s">
        <v>189</v>
      </c>
      <c r="AB26" s="9"/>
    </row>
    <row r="27" spans="1:36" ht="12.75">
      <c r="A27" s="46">
        <v>2007</v>
      </c>
      <c r="B27" s="62">
        <v>261.3062</v>
      </c>
      <c r="C27" s="72">
        <f t="shared" si="4"/>
        <v>608.6531884459263</v>
      </c>
      <c r="D27" s="22">
        <f>(SUM($C$23:C26)/$K$13)</f>
        <v>173.90091098455036</v>
      </c>
      <c r="E27" s="73">
        <f t="shared" si="0"/>
        <v>142.992526426259</v>
      </c>
      <c r="F27" s="67">
        <f t="shared" si="1"/>
        <v>5.499712554856115</v>
      </c>
      <c r="G27" s="23">
        <f>($S$86-$R$86)*$S$96+$T$86*$T$96</f>
        <v>43.20129104806191</v>
      </c>
      <c r="H27" s="67">
        <f>($S$87-$R$87)*$S$96+$T$87*$T$96</f>
        <v>3.562625072589438</v>
      </c>
      <c r="I27" s="235">
        <f>(SUM($G$26:G26)/$K$14)+(SUM(H26:H26)/$J$16)</f>
        <v>10.4215707459071</v>
      </c>
      <c r="J27" s="23">
        <f>($S$94-$R$94)*$S$96+$T$94*$T$96</f>
        <v>8.954053136513988</v>
      </c>
      <c r="K27" s="65">
        <f>($S$89-$R$89)*$S$96+$T$89*$T$96</f>
        <v>3.47056323120698</v>
      </c>
      <c r="L27" s="67">
        <f>SUM($K$26:K26)/$K$14</f>
        <v>0.694112646241396</v>
      </c>
      <c r="M27" s="337">
        <f>IF($K$14&gt;(A27-$A$27),0,(((((1-($C$15/($C$14+$C$15)))*SUM($J$26:J26)))-SUM($K$26:K26))/$K$15))</f>
        <v>0</v>
      </c>
      <c r="N27" s="11">
        <f t="shared" si="3"/>
        <v>0.026696640240053693</v>
      </c>
      <c r="O27" s="344">
        <f t="shared" si="2"/>
        <v>0.8441477643904978</v>
      </c>
      <c r="P27" s="155">
        <f>6.13482761383057+P18</f>
        <v>6.45482761383057</v>
      </c>
      <c r="Q27" s="611">
        <v>6.45450639724731</v>
      </c>
      <c r="R27" s="611">
        <f aca="true" t="shared" si="5" ref="R27:R50">Q27+$R$19</f>
        <v>6.77450639724731</v>
      </c>
      <c r="S27" s="630">
        <v>6.59801768606827</v>
      </c>
      <c r="T27" s="71">
        <f aca="true" t="shared" si="6" ref="T27:T50">S27/Q27</f>
        <v>1.02223427788098</v>
      </c>
      <c r="X27" s="10"/>
      <c r="Y27" s="29">
        <f>AA21/3</f>
        <v>4.566210045662101</v>
      </c>
      <c r="Z27" s="8"/>
      <c r="AA27" s="29">
        <f>AA21-Y27</f>
        <v>9.1324200913242</v>
      </c>
      <c r="AB27" s="9"/>
      <c r="AC27" s="103"/>
      <c r="AE27" s="8"/>
      <c r="AJ27" s="127"/>
    </row>
    <row r="28" spans="1:29" ht="12.75">
      <c r="A28" s="46">
        <v>2008</v>
      </c>
      <c r="B28" s="62">
        <v>226.5474</v>
      </c>
      <c r="C28" s="72">
        <f t="shared" si="4"/>
        <v>608.6531884459263</v>
      </c>
      <c r="D28" s="22">
        <f>(SUM($C$23:C27)/$K$13)</f>
        <v>217.37613873068796</v>
      </c>
      <c r="E28" s="73">
        <f t="shared" si="0"/>
        <v>178.74065803282375</v>
      </c>
      <c r="F28" s="67">
        <f t="shared" si="1"/>
        <v>6.874640693570144</v>
      </c>
      <c r="G28" s="23">
        <f>($S$86-$R$86)*$S$96+$T$86*$T$96</f>
        <v>43.20129104806191</v>
      </c>
      <c r="H28" s="67">
        <f>($S$87-$R$87)*$S$96+$T$87*$T$96</f>
        <v>3.562625072589438</v>
      </c>
      <c r="I28" s="235">
        <f>(SUM($G$26:G27)/$K$14)+(SUM(H26:H27)/$J$16)</f>
        <v>20.8431414918142</v>
      </c>
      <c r="J28" s="23">
        <f>($S$94-$R$94)*$S$96+$T$94*$T$96</f>
        <v>8.954053136513988</v>
      </c>
      <c r="K28" s="65">
        <f>($S$89-$R$89)*$S$96+$T$89*$T$96</f>
        <v>3.47056323120698</v>
      </c>
      <c r="L28" s="67">
        <f>SUM($K$26:K27)/$K$14</f>
        <v>1.388225292482792</v>
      </c>
      <c r="M28" s="337">
        <f>IF($K$14&gt;(A28-$A$27),0,(((((1-($C$15/($C$14+$C$15)))*SUM($J$26:J27)))-SUM($K$26:K27))/$K$15))</f>
        <v>0</v>
      </c>
      <c r="N28" s="11">
        <f t="shared" si="3"/>
        <v>0.053393280480107386</v>
      </c>
      <c r="O28" s="344">
        <f t="shared" si="2"/>
        <v>1.6882955287809955</v>
      </c>
      <c r="P28" s="155">
        <f>5.77526426315308+P18</f>
        <v>6.09526426315308</v>
      </c>
      <c r="Q28" s="611">
        <v>6.39996814727783</v>
      </c>
      <c r="R28" s="611">
        <f t="shared" si="5"/>
        <v>6.7199681472778305</v>
      </c>
      <c r="S28" s="630">
        <v>6.662151703922091</v>
      </c>
      <c r="T28" s="71">
        <f t="shared" si="6"/>
        <v>1.0409663846148638</v>
      </c>
      <c r="X28" s="10"/>
      <c r="Y28" s="29">
        <f>AA22/3</f>
        <v>4.57703900229213</v>
      </c>
      <c r="Z28" s="8"/>
      <c r="AA28" s="29">
        <f>AA22-Y28</f>
        <v>9.15407800458426</v>
      </c>
      <c r="AB28" s="9"/>
      <c r="AC28" s="103"/>
    </row>
    <row r="29" spans="1:29" ht="13.5" thickBot="1">
      <c r="A29" s="46">
        <v>2009</v>
      </c>
      <c r="B29" s="62">
        <v>197.3254</v>
      </c>
      <c r="C29" s="72">
        <f t="shared" si="4"/>
        <v>608.6531884459263</v>
      </c>
      <c r="D29" s="22">
        <f aca="true" t="shared" si="7" ref="D29:D39">(SUM(C23:C28)/$K$13)</f>
        <v>260.85136647682555</v>
      </c>
      <c r="E29" s="73">
        <f t="shared" si="0"/>
        <v>214.4887896393885</v>
      </c>
      <c r="F29" s="67">
        <f t="shared" si="1"/>
        <v>8.249568832284172</v>
      </c>
      <c r="G29" s="23">
        <f>$U$86*$S$96+$T$86*$T$96</f>
        <v>96.06728724480156</v>
      </c>
      <c r="H29" s="67">
        <f>$U$87*$S$96+$T$87*$T$96</f>
        <v>3.562625072589438</v>
      </c>
      <c r="I29" s="340">
        <f>(SUM($G$26:G28)/$K$14)+(SUM(H27:H28)/$J$16)</f>
        <v>29.483399701426585</v>
      </c>
      <c r="J29" s="23">
        <f>$U$94*$S$96+$T$94*$T$96</f>
        <v>24.94900388887715</v>
      </c>
      <c r="K29" s="65">
        <f>$U$89*$S$96+$T$89*$T$96</f>
        <v>9.670156546076415</v>
      </c>
      <c r="L29" s="67">
        <f>SUM($K$26:K28)/$K$14</f>
        <v>2.082337938724188</v>
      </c>
      <c r="M29" s="337">
        <f>IF($K$14&gt;(A29-$A$27),0,(((((1-($C$15/($C$14+$C$15)))*SUM($J$26:J28)))-SUM($K$26:K28))/$K$15))</f>
        <v>0</v>
      </c>
      <c r="N29" s="11">
        <f t="shared" si="3"/>
        <v>0.08008992072016108</v>
      </c>
      <c r="O29" s="344">
        <f t="shared" si="2"/>
        <v>2.532443293171493</v>
      </c>
      <c r="P29" s="155">
        <f>5.34388208389282+P18</f>
        <v>5.66388208389282</v>
      </c>
      <c r="Q29" s="611">
        <v>5.87764692306519</v>
      </c>
      <c r="R29" s="611">
        <f t="shared" si="5"/>
        <v>6.19764692306519</v>
      </c>
      <c r="S29" s="630">
        <v>6.2281337897140565</v>
      </c>
      <c r="T29" s="71">
        <f t="shared" si="6"/>
        <v>1.0596304730849821</v>
      </c>
      <c r="X29" s="10"/>
      <c r="Y29" s="101">
        <f>AA23/3</f>
        <v>4.766806556338586</v>
      </c>
      <c r="Z29" s="8"/>
      <c r="AA29" s="101">
        <f>AA23-Y29</f>
        <v>9.533613112677173</v>
      </c>
      <c r="AB29" s="9"/>
      <c r="AC29" s="103"/>
    </row>
    <row r="30" spans="1:29" ht="13.5" thickTop="1">
      <c r="A30" s="46">
        <v>2010</v>
      </c>
      <c r="B30" s="62">
        <v>171.4101</v>
      </c>
      <c r="C30" s="72">
        <f t="shared" si="4"/>
        <v>608.6531884459263</v>
      </c>
      <c r="D30" s="22">
        <f t="shared" si="7"/>
        <v>260.85136647682555</v>
      </c>
      <c r="E30" s="73">
        <f t="shared" si="0"/>
        <v>214.4887896393885</v>
      </c>
      <c r="F30" s="67">
        <f t="shared" si="1"/>
        <v>8.249568832284172</v>
      </c>
      <c r="G30" s="23">
        <f>$U$86*$S$96+$T$86*$T$96</f>
        <v>96.06728724480156</v>
      </c>
      <c r="H30" s="67">
        <f>$U$87*$S$96+$T$87*$T$96</f>
        <v>3.562625072589438</v>
      </c>
      <c r="I30" s="340">
        <f>(SUM($G$26:G29)/$K$14)+(SUM(H28:H29)/$J$16)</f>
        <v>48.6968571503869</v>
      </c>
      <c r="J30" s="23">
        <f>$U$94*$S$96+$T$94*$T$96</f>
        <v>24.94900388887715</v>
      </c>
      <c r="K30" s="65">
        <f>$U$89*$S$96+$T$89*$T$96</f>
        <v>9.670156546076415</v>
      </c>
      <c r="L30" s="67">
        <f>SUM($K$26:K29)/$K$14</f>
        <v>4.016369247939471</v>
      </c>
      <c r="M30" s="337">
        <f>IF($K$14&gt;(A30-$A$27),0,(((((1-($C$15/($C$14+$C$15)))*SUM($J$26:J29)))-SUM($K$26:K29))/$K$15))</f>
        <v>0</v>
      </c>
      <c r="N30" s="11">
        <f t="shared" si="3"/>
        <v>0.15447574030536426</v>
      </c>
      <c r="O30" s="344">
        <f t="shared" si="2"/>
        <v>4.884522908455618</v>
      </c>
      <c r="P30" s="155">
        <f>5.02626657485962+P18</f>
        <v>5.34626657485962</v>
      </c>
      <c r="Q30" s="611">
        <v>5.58886766433716</v>
      </c>
      <c r="R30" s="611">
        <f t="shared" si="5"/>
        <v>5.90886766433716</v>
      </c>
      <c r="S30" s="630">
        <v>6.025995511350133</v>
      </c>
      <c r="T30" s="71">
        <f t="shared" si="6"/>
        <v>1.0782140271100544</v>
      </c>
      <c r="X30" s="86"/>
      <c r="Y30" s="195">
        <f>AVERAGE(Y27:Y29)</f>
        <v>4.636685201430939</v>
      </c>
      <c r="Z30" s="87"/>
      <c r="AA30" s="195">
        <f>AVERAGE(AA27:AA29)</f>
        <v>9.273370402861877</v>
      </c>
      <c r="AB30" s="93"/>
      <c r="AC30" s="103"/>
    </row>
    <row r="31" spans="1:29" ht="13.5" thickBot="1">
      <c r="A31" s="46">
        <v>2011</v>
      </c>
      <c r="B31" s="62">
        <v>149.3398</v>
      </c>
      <c r="C31" s="72">
        <f t="shared" si="4"/>
        <v>608.6531884459263</v>
      </c>
      <c r="D31" s="22">
        <f t="shared" si="7"/>
        <v>260.85136647682555</v>
      </c>
      <c r="E31" s="73">
        <f t="shared" si="0"/>
        <v>214.4887896393885</v>
      </c>
      <c r="F31" s="67">
        <f t="shared" si="1"/>
        <v>8.249568832284172</v>
      </c>
      <c r="G31" s="23">
        <f>$U$86*$S$96+$T$86*$T$96</f>
        <v>96.06728724480156</v>
      </c>
      <c r="H31" s="67">
        <f>$U$87*$S$96+$T$87*$T$96</f>
        <v>3.562625072589438</v>
      </c>
      <c r="I31" s="340">
        <f>(SUM(G26:G30)/$K$14)+(SUM(H29:H30)/$J$16)</f>
        <v>67.9103145993472</v>
      </c>
      <c r="J31" s="23">
        <f>$U$94*$S$96+$T$94*$T$96</f>
        <v>24.94900388887715</v>
      </c>
      <c r="K31" s="65">
        <f>$U$89*$S$96+$T$89*$T$96</f>
        <v>9.670156546076415</v>
      </c>
      <c r="L31" s="67">
        <f>SUM(K26:K30)/$K$14</f>
        <v>5.950400557154754</v>
      </c>
      <c r="M31" s="337">
        <f>IF($K$14&gt;(A31-$A$27),0,(((((1-($C$15/($C$14+$C$15)))*SUM($J$26:J30)))-SUM($K$26:K30))/$K$15))</f>
        <v>0</v>
      </c>
      <c r="N31" s="11">
        <f t="shared" si="3"/>
        <v>0.22886155989056745</v>
      </c>
      <c r="O31" s="344">
        <f t="shared" si="2"/>
        <v>7.236602523739743</v>
      </c>
      <c r="P31" s="155">
        <f>4.78160524368286+P18</f>
        <v>5.101605243682861</v>
      </c>
      <c r="Q31" s="611">
        <v>5.17453289031982</v>
      </c>
      <c r="R31" s="611">
        <f t="shared" si="5"/>
        <v>5.49453289031982</v>
      </c>
      <c r="S31" s="630">
        <v>5.680100562086797</v>
      </c>
      <c r="T31" s="71">
        <f t="shared" si="6"/>
        <v>1.0977030550357039</v>
      </c>
      <c r="AC31" s="103"/>
    </row>
    <row r="32" spans="1:30" ht="13.5" thickBot="1">
      <c r="A32" s="46">
        <v>2012</v>
      </c>
      <c r="B32" s="62">
        <v>124.1935</v>
      </c>
      <c r="C32" s="72">
        <f t="shared" si="4"/>
        <v>608.6531884459263</v>
      </c>
      <c r="D32" s="22">
        <f t="shared" si="7"/>
        <v>260.85136647682555</v>
      </c>
      <c r="E32" s="73">
        <f t="shared" si="0"/>
        <v>214.4887896393885</v>
      </c>
      <c r="F32" s="67">
        <f t="shared" si="1"/>
        <v>8.249568832284172</v>
      </c>
      <c r="G32" s="23">
        <f>$U$86</f>
        <v>96.06728724480156</v>
      </c>
      <c r="H32" s="67">
        <f>$U$87</f>
        <v>0</v>
      </c>
      <c r="I32" s="340">
        <f>(SUM(G27:G31)/$K$14)+(SUM(H30:H31)/$J$16)</f>
        <v>78.48351383869515</v>
      </c>
      <c r="J32" s="23">
        <f>$U$94</f>
        <v>23.740727991939853</v>
      </c>
      <c r="K32" s="65">
        <f>$U$89</f>
        <v>9.201832555015447</v>
      </c>
      <c r="L32" s="67">
        <f aca="true" t="shared" si="8" ref="L32:L61">SUM(K27:K31)/$K$14</f>
        <v>7.19031922012864</v>
      </c>
      <c r="M32" s="337">
        <f>IF($K$14&gt;(A32-$A$27),0,(((((1-($C$15/($C$14+$C$15)))*SUM($J$26:J26)))-SUM($K$26:K26))/$K$15))</f>
        <v>0.4324484228638659</v>
      </c>
      <c r="N32" s="11">
        <f t="shared" si="3"/>
        <v>0.29318337088432717</v>
      </c>
      <c r="O32" s="344">
        <f t="shared" si="2"/>
        <v>9.270458187362426</v>
      </c>
      <c r="P32" s="155">
        <f>4.72159004211426+P18</f>
        <v>5.04159004211426</v>
      </c>
      <c r="Q32" s="611">
        <v>5.0206470489502</v>
      </c>
      <c r="R32" s="611">
        <f t="shared" si="5"/>
        <v>5.3406470489502</v>
      </c>
      <c r="S32" s="630">
        <v>5.610961246550921</v>
      </c>
      <c r="T32" s="71">
        <f t="shared" si="6"/>
        <v>1.117577314606123</v>
      </c>
      <c r="V32" s="670" t="s">
        <v>208</v>
      </c>
      <c r="W32" s="671"/>
      <c r="X32" s="671"/>
      <c r="Y32" s="671"/>
      <c r="Z32" s="671"/>
      <c r="AA32" s="671"/>
      <c r="AB32" s="671"/>
      <c r="AC32" s="672"/>
      <c r="AD32" s="129"/>
    </row>
    <row r="33" spans="1:29" ht="12.75">
      <c r="A33" s="46">
        <v>2013</v>
      </c>
      <c r="B33" s="62">
        <v>102.5846</v>
      </c>
      <c r="C33" s="72">
        <f t="shared" si="4"/>
        <v>608.6531884459263</v>
      </c>
      <c r="D33" s="22">
        <f t="shared" si="7"/>
        <v>260.85136647682555</v>
      </c>
      <c r="E33" s="73">
        <f t="shared" si="0"/>
        <v>214.4887896393885</v>
      </c>
      <c r="F33" s="67">
        <f t="shared" si="1"/>
        <v>8.249568832284172</v>
      </c>
      <c r="G33" s="23">
        <f aca="true" t="shared" si="9" ref="G33:G50">$U$86</f>
        <v>96.06728724480156</v>
      </c>
      <c r="H33" s="67">
        <f aca="true" t="shared" si="10" ref="H33:H50">$U$87</f>
        <v>0</v>
      </c>
      <c r="I33" s="340">
        <f aca="true" t="shared" si="11" ref="I33:I61">(SUM(G28:G32)/$K$14)+(SUM(H31:H32)/$J$16)</f>
        <v>87.27540054174834</v>
      </c>
      <c r="J33" s="23">
        <f aca="true" t="shared" si="12" ref="J33:J50">$U$94</f>
        <v>23.740727991939853</v>
      </c>
      <c r="K33" s="65">
        <f aca="true" t="shared" si="13" ref="K33:K50">$U$89</f>
        <v>9.201832555015447</v>
      </c>
      <c r="L33" s="67">
        <f t="shared" si="8"/>
        <v>8.336573084890333</v>
      </c>
      <c r="M33" s="337">
        <f>IF($K$14&gt;(A33-$A$27),0,(((((1-($C$15/($C$14+$C$15)))*SUM($J$26:J27)))-SUM($K$26:K27))/$K$15))</f>
        <v>0.8648968457277318</v>
      </c>
      <c r="N33" s="11">
        <f t="shared" si="3"/>
        <v>0.3539026896391563</v>
      </c>
      <c r="O33" s="344">
        <f t="shared" si="2"/>
        <v>11.190403046390122</v>
      </c>
      <c r="P33" s="155">
        <f>4.79849672317505+P18</f>
        <v>5.11849672317505</v>
      </c>
      <c r="Q33" s="611">
        <v>4.86706686019897</v>
      </c>
      <c r="R33" s="611">
        <f t="shared" si="5"/>
        <v>5.1870668601989705</v>
      </c>
      <c r="S33" s="630">
        <v>5.533808416474288</v>
      </c>
      <c r="T33" s="71">
        <f t="shared" si="6"/>
        <v>1.1369904247109646</v>
      </c>
      <c r="V33" s="10" t="s">
        <v>159</v>
      </c>
      <c r="W33" s="8" t="s">
        <v>160</v>
      </c>
      <c r="X33" s="12" t="s">
        <v>173</v>
      </c>
      <c r="Y33" s="12" t="s">
        <v>174</v>
      </c>
      <c r="Z33" s="8"/>
      <c r="AA33" s="8"/>
      <c r="AB33" s="8"/>
      <c r="AC33" s="166"/>
    </row>
    <row r="34" spans="1:29" ht="12.75">
      <c r="A34" s="46">
        <v>2014</v>
      </c>
      <c r="B34" s="75">
        <v>84.7355147987616</v>
      </c>
      <c r="C34" s="72">
        <f t="shared" si="4"/>
        <v>608.6531884459263</v>
      </c>
      <c r="D34" s="22">
        <f t="shared" si="7"/>
        <v>260.85136647682555</v>
      </c>
      <c r="E34" s="73">
        <f t="shared" si="0"/>
        <v>214.4887896393885</v>
      </c>
      <c r="F34" s="67">
        <f t="shared" si="1"/>
        <v>8.249568832284172</v>
      </c>
      <c r="G34" s="23">
        <f t="shared" si="9"/>
        <v>96.06728724480156</v>
      </c>
      <c r="H34" s="67">
        <f t="shared" si="10"/>
        <v>0</v>
      </c>
      <c r="I34" s="340">
        <f t="shared" si="11"/>
        <v>96.06728724480156</v>
      </c>
      <c r="J34" s="23">
        <f t="shared" si="12"/>
        <v>23.740727991939853</v>
      </c>
      <c r="K34" s="65">
        <f t="shared" si="13"/>
        <v>9.201832555015447</v>
      </c>
      <c r="L34" s="67">
        <f t="shared" si="8"/>
        <v>9.482826949652027</v>
      </c>
      <c r="M34" s="337">
        <f>IF($K$14&gt;(A34-$A$27),0,(((((1-($C$15/($C$14+$C$15)))*SUM($J$26:J28)))-SUM($K$26:K28))/$K$15))</f>
        <v>1.2973452685915978</v>
      </c>
      <c r="N34" s="11">
        <f t="shared" si="3"/>
        <v>0.41462200839398555</v>
      </c>
      <c r="O34" s="344">
        <f t="shared" si="2"/>
        <v>13.110347905417823</v>
      </c>
      <c r="P34" s="155">
        <f>4.7062349319458+P18</f>
        <v>5.0262349319458</v>
      </c>
      <c r="Q34" s="611">
        <v>4.89772748947144</v>
      </c>
      <c r="R34" s="611">
        <f t="shared" si="5"/>
        <v>5.21772748947144</v>
      </c>
      <c r="S34" s="630">
        <v>5.661956582904337</v>
      </c>
      <c r="T34" s="71">
        <f t="shared" si="6"/>
        <v>1.1560374878095498</v>
      </c>
      <c r="V34" s="136">
        <f>(H6*W70*M10+K6*W75*(1-M10))</f>
        <v>7.689256707860828</v>
      </c>
      <c r="W34" s="26">
        <f>H7*M10+K6*W75*(1-M10)</f>
        <v>10.383859899907904</v>
      </c>
      <c r="X34" s="26">
        <f>H7*M10+K6*W75*(1-M10)</f>
        <v>10.383859899907904</v>
      </c>
      <c r="Y34" s="29">
        <f>H7*M10</f>
        <v>7</v>
      </c>
      <c r="Z34" s="678" t="s">
        <v>175</v>
      </c>
      <c r="AA34" s="678"/>
      <c r="AB34" s="678"/>
      <c r="AC34" s="679"/>
    </row>
    <row r="35" spans="1:29" ht="12.75">
      <c r="A35" s="46">
        <v>2015</v>
      </c>
      <c r="B35" s="75">
        <v>69.9920599018873</v>
      </c>
      <c r="C35" s="72">
        <f t="shared" si="4"/>
        <v>608.6531884459263</v>
      </c>
      <c r="D35" s="22">
        <f t="shared" si="7"/>
        <v>260.85136647682555</v>
      </c>
      <c r="E35" s="73">
        <f t="shared" si="0"/>
        <v>214.4887896393885</v>
      </c>
      <c r="F35" s="67">
        <f t="shared" si="1"/>
        <v>8.249568832284172</v>
      </c>
      <c r="G35" s="23">
        <f t="shared" si="9"/>
        <v>96.06728724480156</v>
      </c>
      <c r="H35" s="67">
        <f t="shared" si="10"/>
        <v>0</v>
      </c>
      <c r="I35" s="340">
        <f t="shared" si="11"/>
        <v>96.06728724480156</v>
      </c>
      <c r="J35" s="23">
        <f t="shared" si="12"/>
        <v>23.740727991939853</v>
      </c>
      <c r="K35" s="65">
        <f t="shared" si="13"/>
        <v>9.201832555015447</v>
      </c>
      <c r="L35" s="67">
        <f t="shared" si="8"/>
        <v>9.389162151439834</v>
      </c>
      <c r="M35" s="337">
        <f>IF($K$14&gt;(A35-$A$27),0,(((((1-($C$15/($C$14+$C$15)))*SUM($J$26:J29)))-SUM($K$26:K29))/$K$15))</f>
        <v>2.5022920361925176</v>
      </c>
      <c r="N35" s="11">
        <f t="shared" si="3"/>
        <v>0.4573636226012443</v>
      </c>
      <c r="O35" s="344">
        <f t="shared" si="2"/>
        <v>14.461837746651344</v>
      </c>
      <c r="P35" s="155">
        <f>4.52080202102661+P18</f>
        <v>4.840802021026611</v>
      </c>
      <c r="Q35" s="611">
        <v>4.84002780914307</v>
      </c>
      <c r="R35" s="611">
        <f t="shared" si="5"/>
        <v>5.16002780914307</v>
      </c>
      <c r="S35" s="630">
        <v>5.688965308960669</v>
      </c>
      <c r="T35" s="71">
        <f t="shared" si="6"/>
        <v>1.1753993020895275</v>
      </c>
      <c r="V35" s="10"/>
      <c r="W35" s="8"/>
      <c r="X35" s="12" t="s">
        <v>105</v>
      </c>
      <c r="Y35" s="12"/>
      <c r="Z35" s="678" t="s">
        <v>105</v>
      </c>
      <c r="AA35" s="678"/>
      <c r="AB35" s="678" t="s">
        <v>105</v>
      </c>
      <c r="AC35" s="679"/>
    </row>
    <row r="36" spans="1:29" ht="12.75">
      <c r="A36" s="46">
        <v>2016</v>
      </c>
      <c r="B36" s="75">
        <v>57.8138748663267</v>
      </c>
      <c r="C36" s="72">
        <f t="shared" si="4"/>
        <v>608.6531884459263</v>
      </c>
      <c r="D36" s="22">
        <f t="shared" si="7"/>
        <v>260.85136647682555</v>
      </c>
      <c r="E36" s="73">
        <f t="shared" si="0"/>
        <v>214.4887896393885</v>
      </c>
      <c r="F36" s="67">
        <f t="shared" si="1"/>
        <v>8.249568832284172</v>
      </c>
      <c r="G36" s="23">
        <f t="shared" si="9"/>
        <v>96.06728724480156</v>
      </c>
      <c r="H36" s="67">
        <f t="shared" si="10"/>
        <v>0</v>
      </c>
      <c r="I36" s="340">
        <f t="shared" si="11"/>
        <v>96.06728724480156</v>
      </c>
      <c r="J36" s="23">
        <f t="shared" si="12"/>
        <v>23.740727991939853</v>
      </c>
      <c r="K36" s="65">
        <f t="shared" si="13"/>
        <v>9.201832555015447</v>
      </c>
      <c r="L36" s="67">
        <f t="shared" si="8"/>
        <v>9.29549735322764</v>
      </c>
      <c r="M36" s="337">
        <f>IF($K$14&gt;(A36-$A$27),0,(((((1-($C$15/($C$14+$C$15)))*SUM($J$26:J30)))-SUM($K$26:K30))/$K$15))</f>
        <v>3.7072388037934383</v>
      </c>
      <c r="N36" s="11">
        <f t="shared" si="3"/>
        <v>0.500105236808503</v>
      </c>
      <c r="O36" s="344">
        <f t="shared" si="2"/>
        <v>15.813327587884867</v>
      </c>
      <c r="P36" s="155">
        <f>4.4622163772583+P18</f>
        <v>4.7822163772583</v>
      </c>
      <c r="Q36" s="611">
        <v>4.93751382827759</v>
      </c>
      <c r="R36" s="611">
        <f t="shared" si="5"/>
        <v>5.25751382827759</v>
      </c>
      <c r="S36" s="630">
        <v>5.905793413054933</v>
      </c>
      <c r="T36" s="71">
        <f t="shared" si="6"/>
        <v>1.1961067084474617</v>
      </c>
      <c r="V36" s="10" t="s">
        <v>139</v>
      </c>
      <c r="W36" s="8"/>
      <c r="X36" s="87" t="s">
        <v>125</v>
      </c>
      <c r="Y36" s="87" t="s">
        <v>184</v>
      </c>
      <c r="Z36" s="87" t="s">
        <v>125</v>
      </c>
      <c r="AA36" s="87" t="s">
        <v>184</v>
      </c>
      <c r="AB36" s="87" t="s">
        <v>125</v>
      </c>
      <c r="AC36" s="93" t="s">
        <v>184</v>
      </c>
    </row>
    <row r="37" spans="1:29" ht="12.75">
      <c r="A37" s="46">
        <v>2017</v>
      </c>
      <c r="B37" s="75">
        <v>47.7546186202352</v>
      </c>
      <c r="C37" s="72">
        <f t="shared" si="4"/>
        <v>608.6531884459263</v>
      </c>
      <c r="D37" s="22">
        <f t="shared" si="7"/>
        <v>260.85136647682555</v>
      </c>
      <c r="E37" s="73">
        <f t="shared" si="0"/>
        <v>214.4887896393885</v>
      </c>
      <c r="F37" s="67">
        <f t="shared" si="1"/>
        <v>8.249568832284172</v>
      </c>
      <c r="G37" s="23">
        <f t="shared" si="9"/>
        <v>96.06728724480156</v>
      </c>
      <c r="H37" s="67">
        <f t="shared" si="10"/>
        <v>0</v>
      </c>
      <c r="I37" s="340">
        <f t="shared" si="11"/>
        <v>96.06728724480156</v>
      </c>
      <c r="J37" s="23">
        <f t="shared" si="12"/>
        <v>23.740727991939853</v>
      </c>
      <c r="K37" s="65">
        <f t="shared" si="13"/>
        <v>9.201832555015447</v>
      </c>
      <c r="L37" s="67">
        <f t="shared" si="8"/>
        <v>9.201832555015447</v>
      </c>
      <c r="M37" s="337">
        <f>IF($K$14&gt;(A37-$A$27),0,(((((1-($C$15/($C$14+$C$15)))*SUM($J$26:J31)))-SUM($K$26:K31))/$K$15))</f>
        <v>4.912185571394357</v>
      </c>
      <c r="N37" s="11">
        <f t="shared" si="3"/>
        <v>0.5428468510157617</v>
      </c>
      <c r="O37" s="344">
        <f t="shared" si="2"/>
        <v>17.164817429118383</v>
      </c>
      <c r="P37" s="155">
        <f>4.52901649475098+P18</f>
        <v>4.84901649475098</v>
      </c>
      <c r="Q37" s="611">
        <v>5.13065576553345</v>
      </c>
      <c r="R37" s="611">
        <f t="shared" si="5"/>
        <v>5.45065576553345</v>
      </c>
      <c r="S37" s="630">
        <v>6.249024882856846</v>
      </c>
      <c r="T37" s="71">
        <f t="shared" si="6"/>
        <v>1.217977811888363</v>
      </c>
      <c r="V37" s="10" t="s">
        <v>162</v>
      </c>
      <c r="W37" s="8"/>
      <c r="X37" s="26">
        <f>P8*AB17</f>
        <v>0.3967787453184128</v>
      </c>
      <c r="Y37" s="167">
        <f>X37*M10</f>
        <v>0.07935574906368256</v>
      </c>
      <c r="Z37" s="8"/>
      <c r="AA37" s="8"/>
      <c r="AB37" s="8"/>
      <c r="AC37" s="9"/>
    </row>
    <row r="38" spans="1:29" ht="12.75">
      <c r="A38" s="46">
        <v>2018</v>
      </c>
      <c r="B38" s="75">
        <v>39.4456106745472</v>
      </c>
      <c r="C38" s="72">
        <f t="shared" si="4"/>
        <v>608.6531884459263</v>
      </c>
      <c r="D38" s="22">
        <f t="shared" si="7"/>
        <v>260.85136647682555</v>
      </c>
      <c r="E38" s="73">
        <f t="shared" si="0"/>
        <v>214.4887896393885</v>
      </c>
      <c r="F38" s="67">
        <f t="shared" si="1"/>
        <v>8.249568832284172</v>
      </c>
      <c r="G38" s="23">
        <f t="shared" si="9"/>
        <v>96.06728724480156</v>
      </c>
      <c r="H38" s="67">
        <f t="shared" si="10"/>
        <v>0</v>
      </c>
      <c r="I38" s="340">
        <f t="shared" si="11"/>
        <v>96.06728724480156</v>
      </c>
      <c r="J38" s="23">
        <f t="shared" si="12"/>
        <v>23.740727991939853</v>
      </c>
      <c r="K38" s="65">
        <f t="shared" si="13"/>
        <v>9.201832555015447</v>
      </c>
      <c r="L38" s="67">
        <f t="shared" si="8"/>
        <v>9.201832555015447</v>
      </c>
      <c r="M38" s="337">
        <f>IF($K$14&gt;(A38-$A$27),0,(((((1-($C$15/($C$14+$C$15)))*SUM($J$26:J32)))-SUM($K$26:K32))/$K$15))</f>
        <v>6.05877697768028</v>
      </c>
      <c r="N38" s="11">
        <f t="shared" si="3"/>
        <v>0.5869465204882972</v>
      </c>
      <c r="O38" s="344">
        <f t="shared" si="2"/>
        <v>18.559248977839957</v>
      </c>
      <c r="P38" s="155">
        <f>4.70654726028442+P18</f>
        <v>5.026547260284421</v>
      </c>
      <c r="Q38" s="611">
        <v>5.0469856262207</v>
      </c>
      <c r="R38" s="611">
        <f t="shared" si="5"/>
        <v>5.3669856262207</v>
      </c>
      <c r="S38" s="630">
        <v>6.257450983165484</v>
      </c>
      <c r="T38" s="71">
        <f t="shared" si="6"/>
        <v>1.2398392717141953</v>
      </c>
      <c r="V38" s="10" t="s">
        <v>206</v>
      </c>
      <c r="W38" s="8"/>
      <c r="X38" s="26">
        <f>R8*AB17</f>
        <v>1.4439847489441773</v>
      </c>
      <c r="Y38" s="167">
        <f>X38*M10</f>
        <v>0.28879694978883547</v>
      </c>
      <c r="Z38" s="97">
        <f>(W34/V34)*X38</f>
        <v>1.9500110219120819</v>
      </c>
      <c r="AA38" s="8"/>
      <c r="AB38" s="97">
        <f>IF(X34=0,0,Z38*(Y34/X34))</f>
        <v>1.3145475078593498</v>
      </c>
      <c r="AC38" s="9"/>
    </row>
    <row r="39" spans="1:29" ht="12.75">
      <c r="A39" s="46">
        <v>2019</v>
      </c>
      <c r="B39" s="75">
        <f>B38*(B38/B37)</f>
        <v>32.582318662443306</v>
      </c>
      <c r="C39" s="72">
        <f t="shared" si="4"/>
        <v>608.6531884459263</v>
      </c>
      <c r="D39" s="22">
        <f t="shared" si="7"/>
        <v>260.85136647682555</v>
      </c>
      <c r="E39" s="73">
        <f t="shared" si="0"/>
        <v>214.4887896393885</v>
      </c>
      <c r="F39" s="67">
        <f t="shared" si="1"/>
        <v>8.249568832284172</v>
      </c>
      <c r="G39" s="23">
        <f t="shared" si="9"/>
        <v>96.06728724480156</v>
      </c>
      <c r="H39" s="67">
        <f t="shared" si="10"/>
        <v>0</v>
      </c>
      <c r="I39" s="340">
        <f t="shared" si="11"/>
        <v>96.06728724480156</v>
      </c>
      <c r="J39" s="23">
        <f t="shared" si="12"/>
        <v>23.740727991939853</v>
      </c>
      <c r="K39" s="65">
        <f t="shared" si="13"/>
        <v>9.201832555015447</v>
      </c>
      <c r="L39" s="67">
        <f t="shared" si="8"/>
        <v>9.201832555015447</v>
      </c>
      <c r="M39" s="337">
        <f>IF($K$14&gt;(A39-$A$27),0,(((((1-($C$15/($C$14+$C$15)))*SUM($J$26:J33)))-SUM($K$26:K33))/$K$15))</f>
        <v>7.205368383966201</v>
      </c>
      <c r="N39" s="11">
        <f t="shared" si="3"/>
        <v>0.6310461899608325</v>
      </c>
      <c r="O39" s="344">
        <f t="shared" si="2"/>
        <v>19.953680526561524</v>
      </c>
      <c r="P39" s="155">
        <f>4.84989643096924+P18</f>
        <v>5.16989643096924</v>
      </c>
      <c r="Q39" s="611">
        <v>4.99001264572144</v>
      </c>
      <c r="R39" s="611">
        <f t="shared" si="5"/>
        <v>5.31001264572144</v>
      </c>
      <c r="S39" s="630">
        <v>6.3020877876127575</v>
      </c>
      <c r="T39" s="71">
        <f t="shared" si="6"/>
        <v>1.262940243852152</v>
      </c>
      <c r="V39" s="10" t="s">
        <v>158</v>
      </c>
      <c r="W39" s="8"/>
      <c r="X39" s="26">
        <f>Z38-X38</f>
        <v>0.5060262729679046</v>
      </c>
      <c r="Y39" s="168"/>
      <c r="Z39" s="97"/>
      <c r="AA39" s="8"/>
      <c r="AB39" s="97"/>
      <c r="AC39" s="9"/>
    </row>
    <row r="40" spans="1:29" ht="12.75">
      <c r="A40" s="46">
        <v>2020</v>
      </c>
      <c r="B40" s="75">
        <f aca="true" t="shared" si="14" ref="B40:B55">B39*(B39/B38)</f>
        <v>26.913196963281333</v>
      </c>
      <c r="C40" s="72">
        <f aca="true" t="shared" si="15" ref="C40:C55">C39</f>
        <v>608.6531884459263</v>
      </c>
      <c r="D40" s="22">
        <f aca="true" t="shared" si="16" ref="D40:D55">(SUM(C34:C39)/$K$13)</f>
        <v>260.85136647682555</v>
      </c>
      <c r="E40" s="73">
        <f t="shared" si="0"/>
        <v>214.4887896393885</v>
      </c>
      <c r="F40" s="67">
        <f t="shared" si="1"/>
        <v>8.249568832284172</v>
      </c>
      <c r="G40" s="23">
        <f t="shared" si="9"/>
        <v>96.06728724480156</v>
      </c>
      <c r="H40" s="67">
        <f t="shared" si="10"/>
        <v>0</v>
      </c>
      <c r="I40" s="340">
        <f t="shared" si="11"/>
        <v>96.06728724480156</v>
      </c>
      <c r="J40" s="23">
        <f t="shared" si="12"/>
        <v>23.740727991939853</v>
      </c>
      <c r="K40" s="65">
        <f t="shared" si="13"/>
        <v>9.201832555015447</v>
      </c>
      <c r="L40" s="67">
        <f t="shared" si="8"/>
        <v>9.201832555015447</v>
      </c>
      <c r="M40" s="337">
        <f>IF($K$14&gt;(A40-$A$27),0,(((((1-($C$15/($C$14+$C$15)))*SUM(J26:J34)))-SUM(K26:K34))/$K$15))</f>
        <v>8.351959790252122</v>
      </c>
      <c r="N40" s="29">
        <f t="shared" si="3"/>
        <v>0.6751458594333679</v>
      </c>
      <c r="O40" s="344">
        <f t="shared" si="2"/>
        <v>21.348112075283094</v>
      </c>
      <c r="P40" s="155">
        <f>4.89875411987305+P18</f>
        <v>5.218754119873051</v>
      </c>
      <c r="Q40" s="611">
        <v>5.07279109954834</v>
      </c>
      <c r="R40" s="611">
        <f t="shared" si="5"/>
        <v>5.39279109954834</v>
      </c>
      <c r="S40" s="630">
        <v>6.524713046434107</v>
      </c>
      <c r="T40" s="71">
        <f t="shared" si="6"/>
        <v>1.2862175710360004</v>
      </c>
      <c r="V40" s="201" t="s">
        <v>161</v>
      </c>
      <c r="W40" s="8"/>
      <c r="X40" s="97">
        <f>X39*(AA48/AA46)</f>
        <v>0.36241695023405696</v>
      </c>
      <c r="Y40" s="202">
        <f>X40*M10</f>
        <v>0.0724833900468114</v>
      </c>
      <c r="Z40" s="97">
        <f>Z38*AA49</f>
        <v>1.6541074600393617</v>
      </c>
      <c r="AA40" s="97">
        <f>Z40*M10</f>
        <v>0.33082149200787236</v>
      </c>
      <c r="AB40" s="97">
        <f>AB38*AA49</f>
        <v>1.1150720764614923</v>
      </c>
      <c r="AC40" s="203">
        <f>AB40*M10</f>
        <v>0.22301441529229848</v>
      </c>
    </row>
    <row r="41" spans="1:29" ht="13.5" thickBot="1">
      <c r="A41" s="46">
        <v>2021</v>
      </c>
      <c r="B41" s="75">
        <f t="shared" si="14"/>
        <v>22.230467336852808</v>
      </c>
      <c r="C41" s="72">
        <f t="shared" si="15"/>
        <v>608.6531884459263</v>
      </c>
      <c r="D41" s="22">
        <f t="shared" si="16"/>
        <v>260.85136647682555</v>
      </c>
      <c r="E41" s="73">
        <f t="shared" si="0"/>
        <v>214.4887896393885</v>
      </c>
      <c r="F41" s="67">
        <f t="shared" si="1"/>
        <v>8.249568832284172</v>
      </c>
      <c r="G41" s="23">
        <f t="shared" si="9"/>
        <v>96.06728724480156</v>
      </c>
      <c r="H41" s="67">
        <f t="shared" si="10"/>
        <v>0</v>
      </c>
      <c r="I41" s="340">
        <f t="shared" si="11"/>
        <v>96.06728724480156</v>
      </c>
      <c r="J41" s="23">
        <f t="shared" si="12"/>
        <v>23.740727991939853</v>
      </c>
      <c r="K41" s="65">
        <f t="shared" si="13"/>
        <v>9.201832555015447</v>
      </c>
      <c r="L41" s="67">
        <f t="shared" si="8"/>
        <v>9.201832555015447</v>
      </c>
      <c r="M41" s="337">
        <f aca="true" t="shared" si="17" ref="M41:M64">IF($K$14&gt;(A41-$A$27),0,(((((1-($C$15/($C$14+$C$15)))*SUM(J27:J35)))-SUM(K27:K35))/$K$15))</f>
        <v>9.066102773674178</v>
      </c>
      <c r="N41" s="29">
        <f t="shared" si="3"/>
        <v>0.7026128972572933</v>
      </c>
      <c r="O41" s="344">
        <f t="shared" si="2"/>
        <v>22.216619811275613</v>
      </c>
      <c r="P41" s="155">
        <f>5.033616065979+P18</f>
        <v>5.353616065979001</v>
      </c>
      <c r="Q41" s="611">
        <v>5.0708122253418</v>
      </c>
      <c r="R41" s="611">
        <f t="shared" si="5"/>
        <v>5.390812225341801</v>
      </c>
      <c r="S41" s="630">
        <v>6.646665989364887</v>
      </c>
      <c r="T41" s="71">
        <f t="shared" si="6"/>
        <v>1.3107694968761865</v>
      </c>
      <c r="V41" s="10"/>
      <c r="W41" s="139">
        <v>0.07</v>
      </c>
      <c r="X41" s="115">
        <f>X40/X39</f>
        <v>0.7162018448339416</v>
      </c>
      <c r="Y41" s="8"/>
      <c r="Z41" s="8"/>
      <c r="AA41" s="8"/>
      <c r="AB41" s="8"/>
      <c r="AC41" s="9"/>
    </row>
    <row r="42" spans="1:29" ht="13.5" thickBot="1">
      <c r="A42" s="46">
        <v>2022</v>
      </c>
      <c r="B42" s="75">
        <f t="shared" si="14"/>
        <v>18.362503670192964</v>
      </c>
      <c r="C42" s="72">
        <f t="shared" si="15"/>
        <v>608.6531884459263</v>
      </c>
      <c r="D42" s="22">
        <f t="shared" si="16"/>
        <v>260.85136647682555</v>
      </c>
      <c r="E42" s="73">
        <f t="shared" si="0"/>
        <v>214.4887896393885</v>
      </c>
      <c r="F42" s="67">
        <f t="shared" si="1"/>
        <v>8.249568832284172</v>
      </c>
      <c r="G42" s="23">
        <f t="shared" si="9"/>
        <v>96.06728724480156</v>
      </c>
      <c r="H42" s="67">
        <f t="shared" si="10"/>
        <v>0</v>
      </c>
      <c r="I42" s="340">
        <f t="shared" si="11"/>
        <v>96.06728724480156</v>
      </c>
      <c r="J42" s="23">
        <f t="shared" si="12"/>
        <v>23.740727991939853</v>
      </c>
      <c r="K42" s="65">
        <f t="shared" si="13"/>
        <v>9.201832555015447</v>
      </c>
      <c r="L42" s="67">
        <f t="shared" si="8"/>
        <v>9.201832555015447</v>
      </c>
      <c r="M42" s="337">
        <f t="shared" si="17"/>
        <v>9.780245757096235</v>
      </c>
      <c r="N42" s="29">
        <f t="shared" si="3"/>
        <v>0.7300799350812185</v>
      </c>
      <c r="O42" s="344">
        <f>L42+M42+$C$15*N42</f>
        <v>23.08512754726813</v>
      </c>
      <c r="P42" s="155">
        <f>5.11650991439819+P18</f>
        <v>5.43650991439819</v>
      </c>
      <c r="Q42" s="611">
        <v>5.1961669921875</v>
      </c>
      <c r="R42" s="611">
        <f t="shared" si="5"/>
        <v>5.5161669921875</v>
      </c>
      <c r="S42" s="630">
        <v>6.946828153429247</v>
      </c>
      <c r="T42" s="71">
        <f t="shared" si="6"/>
        <v>1.3369139528952567</v>
      </c>
      <c r="V42" s="10"/>
      <c r="W42" s="670" t="s">
        <v>185</v>
      </c>
      <c r="X42" s="671"/>
      <c r="Y42" s="671"/>
      <c r="Z42" s="671"/>
      <c r="AA42" s="672"/>
      <c r="AB42" s="129"/>
      <c r="AC42" s="9"/>
    </row>
    <row r="43" spans="1:29" ht="12.75">
      <c r="A43" s="46">
        <v>2023</v>
      </c>
      <c r="B43" s="75">
        <f t="shared" si="14"/>
        <v>15.167541731292513</v>
      </c>
      <c r="C43" s="72">
        <f t="shared" si="15"/>
        <v>608.6531884459263</v>
      </c>
      <c r="D43" s="22">
        <f t="shared" si="16"/>
        <v>260.85136647682555</v>
      </c>
      <c r="E43" s="73">
        <f t="shared" si="0"/>
        <v>214.4887896393885</v>
      </c>
      <c r="F43" s="67">
        <f t="shared" si="1"/>
        <v>8.249568832284172</v>
      </c>
      <c r="G43" s="23">
        <f t="shared" si="9"/>
        <v>96.06728724480156</v>
      </c>
      <c r="H43" s="67">
        <f t="shared" si="10"/>
        <v>0</v>
      </c>
      <c r="I43" s="340">
        <f t="shared" si="11"/>
        <v>96.06728724480156</v>
      </c>
      <c r="J43" s="23">
        <f t="shared" si="12"/>
        <v>23.740727991939853</v>
      </c>
      <c r="K43" s="65">
        <f t="shared" si="13"/>
        <v>9.201832555015447</v>
      </c>
      <c r="L43" s="67">
        <f t="shared" si="8"/>
        <v>9.201832555015447</v>
      </c>
      <c r="M43" s="337">
        <f t="shared" si="17"/>
        <v>10.494388740518293</v>
      </c>
      <c r="N43" s="29">
        <f t="shared" si="3"/>
        <v>0.7575469729051438</v>
      </c>
      <c r="O43" s="344">
        <f t="shared" si="2"/>
        <v>23.95363528326065</v>
      </c>
      <c r="P43" s="155">
        <f>5.18848466873169+P18</f>
        <v>5.508484668731691</v>
      </c>
      <c r="Q43" s="611">
        <v>5.318922996521</v>
      </c>
      <c r="R43" s="611">
        <f t="shared" si="5"/>
        <v>5.638922996521</v>
      </c>
      <c r="S43" s="630">
        <v>7.25032302922458</v>
      </c>
      <c r="T43" s="71">
        <f t="shared" si="6"/>
        <v>1.3631186302127085</v>
      </c>
      <c r="V43" s="10"/>
      <c r="W43" s="12" t="s">
        <v>182</v>
      </c>
      <c r="X43" s="8"/>
      <c r="Y43" s="8"/>
      <c r="Z43" s="8"/>
      <c r="AA43" s="167"/>
      <c r="AB43" s="167"/>
      <c r="AC43" s="9"/>
    </row>
    <row r="44" spans="1:29" ht="12.75">
      <c r="A44" s="46">
        <v>2024</v>
      </c>
      <c r="B44" s="75">
        <f t="shared" si="14"/>
        <v>12.52848338671468</v>
      </c>
      <c r="C44" s="72">
        <f t="shared" si="15"/>
        <v>608.6531884459263</v>
      </c>
      <c r="D44" s="22">
        <f t="shared" si="16"/>
        <v>260.85136647682555</v>
      </c>
      <c r="E44" s="73">
        <f t="shared" si="0"/>
        <v>214.4887896393885</v>
      </c>
      <c r="F44" s="67">
        <f t="shared" si="1"/>
        <v>8.249568832284172</v>
      </c>
      <c r="G44" s="23">
        <f t="shared" si="9"/>
        <v>96.06728724480156</v>
      </c>
      <c r="H44" s="67">
        <f t="shared" si="10"/>
        <v>0</v>
      </c>
      <c r="I44" s="340">
        <f t="shared" si="11"/>
        <v>96.06728724480156</v>
      </c>
      <c r="J44" s="23">
        <f t="shared" si="12"/>
        <v>23.740727991939853</v>
      </c>
      <c r="K44" s="65">
        <f t="shared" si="13"/>
        <v>9.201832555015447</v>
      </c>
      <c r="L44" s="67">
        <f t="shared" si="8"/>
        <v>9.201832555015447</v>
      </c>
      <c r="M44" s="337">
        <f t="shared" si="17"/>
        <v>10.436033379203295</v>
      </c>
      <c r="N44" s="29">
        <f t="shared" si="3"/>
        <v>0.75530253593149</v>
      </c>
      <c r="O44" s="344">
        <f t="shared" si="2"/>
        <v>23.882666186153713</v>
      </c>
      <c r="P44" s="155">
        <f>5.30436992645264+P18</f>
        <v>5.6243699264526406</v>
      </c>
      <c r="Q44" s="611">
        <v>5.46590375900269</v>
      </c>
      <c r="R44" s="611">
        <f t="shared" si="5"/>
        <v>5.78590375900269</v>
      </c>
      <c r="S44" s="630">
        <v>7.6001515080939</v>
      </c>
      <c r="T44" s="71">
        <f t="shared" si="6"/>
        <v>1.3904656655499958</v>
      </c>
      <c r="V44" s="10"/>
      <c r="W44" s="12">
        <v>1</v>
      </c>
      <c r="X44" s="26">
        <f>35/Y29</f>
        <v>7.342441860465116</v>
      </c>
      <c r="Y44" s="26">
        <f>X44</f>
        <v>7.342441860465116</v>
      </c>
      <c r="Z44" s="26">
        <f>X44/(1+$W$41)^(W44-0.5)</f>
        <v>7.098206465207957</v>
      </c>
      <c r="AA44" s="12">
        <v>35</v>
      </c>
      <c r="AB44" s="69">
        <v>25</v>
      </c>
      <c r="AC44" s="9"/>
    </row>
    <row r="45" spans="1:29" ht="12.75">
      <c r="A45" s="46">
        <v>2025</v>
      </c>
      <c r="B45" s="75">
        <f t="shared" si="14"/>
        <v>10.348604853174848</v>
      </c>
      <c r="C45" s="72">
        <f t="shared" si="15"/>
        <v>608.6531884459263</v>
      </c>
      <c r="D45" s="22">
        <f t="shared" si="16"/>
        <v>260.85136647682555</v>
      </c>
      <c r="E45" s="73">
        <f t="shared" si="0"/>
        <v>214.4887896393885</v>
      </c>
      <c r="F45" s="67">
        <f t="shared" si="1"/>
        <v>8.249568832284172</v>
      </c>
      <c r="G45" s="23">
        <f t="shared" si="9"/>
        <v>96.06728724480156</v>
      </c>
      <c r="H45" s="67">
        <f t="shared" si="10"/>
        <v>0</v>
      </c>
      <c r="I45" s="340">
        <f t="shared" si="11"/>
        <v>96.06728724480156</v>
      </c>
      <c r="J45" s="23">
        <f t="shared" si="12"/>
        <v>23.740727991939853</v>
      </c>
      <c r="K45" s="65">
        <f t="shared" si="13"/>
        <v>9.201832555015447</v>
      </c>
      <c r="L45" s="67">
        <f t="shared" si="8"/>
        <v>9.201832555015447</v>
      </c>
      <c r="M45" s="337">
        <f t="shared" si="17"/>
        <v>10.3776780178883</v>
      </c>
      <c r="N45" s="29">
        <f t="shared" si="3"/>
        <v>0.7530580989578364</v>
      </c>
      <c r="O45" s="344">
        <f t="shared" si="2"/>
        <v>23.81169708904679</v>
      </c>
      <c r="P45" s="596">
        <f>5.43312168121338+P18</f>
        <v>5.75312168121338</v>
      </c>
      <c r="Q45" s="611">
        <v>5.4599871635437</v>
      </c>
      <c r="R45" s="611">
        <f t="shared" si="5"/>
        <v>5.779987163543701</v>
      </c>
      <c r="S45" s="630">
        <v>7.743201349418318</v>
      </c>
      <c r="T45" s="71">
        <f t="shared" si="6"/>
        <v>1.418172079436308</v>
      </c>
      <c r="V45" s="10"/>
      <c r="W45" s="12">
        <v>2</v>
      </c>
      <c r="X45" s="26">
        <f>X44</f>
        <v>7.342441860465116</v>
      </c>
      <c r="Y45" s="26">
        <f>Y44+X45</f>
        <v>14.684883720930232</v>
      </c>
      <c r="Z45" s="26">
        <f>X45/(1+$W$41)^(W45-0.5)</f>
        <v>6.633837817951361</v>
      </c>
      <c r="AA45" s="12">
        <v>10</v>
      </c>
      <c r="AB45" s="29">
        <f>SUM(Z44:Z46)+AB47</f>
        <v>23.380272592257647</v>
      </c>
      <c r="AC45" s="9"/>
    </row>
    <row r="46" spans="1:29" ht="12.75">
      <c r="A46" s="46">
        <v>2026</v>
      </c>
      <c r="B46" s="75">
        <f t="shared" si="14"/>
        <v>8.54801168677105</v>
      </c>
      <c r="C46" s="72">
        <f t="shared" si="15"/>
        <v>608.6531884459263</v>
      </c>
      <c r="D46" s="22">
        <f t="shared" si="16"/>
        <v>260.85136647682555</v>
      </c>
      <c r="E46" s="73">
        <f t="shared" si="0"/>
        <v>214.4887896393885</v>
      </c>
      <c r="F46" s="67">
        <f t="shared" si="1"/>
        <v>8.249568832284172</v>
      </c>
      <c r="G46" s="23">
        <f t="shared" si="9"/>
        <v>96.06728724480156</v>
      </c>
      <c r="H46" s="67">
        <f t="shared" si="10"/>
        <v>0</v>
      </c>
      <c r="I46" s="340">
        <f t="shared" si="11"/>
        <v>96.06728724480156</v>
      </c>
      <c r="J46" s="23">
        <f t="shared" si="12"/>
        <v>23.740727991939853</v>
      </c>
      <c r="K46" s="65">
        <f t="shared" si="13"/>
        <v>9.201832555015447</v>
      </c>
      <c r="L46" s="67">
        <f t="shared" si="8"/>
        <v>9.201832555015447</v>
      </c>
      <c r="M46" s="337">
        <f t="shared" si="17"/>
        <v>10.319322656573302</v>
      </c>
      <c r="N46" s="29">
        <f t="shared" si="3"/>
        <v>0.7508136619841826</v>
      </c>
      <c r="O46" s="344">
        <f t="shared" si="2"/>
        <v>23.740727991939856</v>
      </c>
      <c r="P46" s="155">
        <f>5.5137186050415+P18</f>
        <v>5.833718605041501</v>
      </c>
      <c r="Q46" s="611">
        <v>5.48498058319092</v>
      </c>
      <c r="R46" s="611">
        <f t="shared" si="5"/>
        <v>5.80498058319092</v>
      </c>
      <c r="S46" s="630">
        <v>7.928967274545194</v>
      </c>
      <c r="T46" s="71">
        <f t="shared" si="6"/>
        <v>1.4455780023805427</v>
      </c>
      <c r="V46" s="10"/>
      <c r="W46" s="12">
        <v>3</v>
      </c>
      <c r="X46" s="26">
        <f>X45</f>
        <v>7.342441860465116</v>
      </c>
      <c r="Y46" s="26">
        <f>Y45+X46</f>
        <v>22.02732558139535</v>
      </c>
      <c r="Z46" s="26">
        <f>X46/(1+$W$41)^(W46-0.5)</f>
        <v>6.199848427991926</v>
      </c>
      <c r="AA46" s="127">
        <f>AA45/AA44</f>
        <v>0.2857142857142857</v>
      </c>
      <c r="AB46" s="127">
        <f>AB45/AB44</f>
        <v>0.9352109036903059</v>
      </c>
      <c r="AC46" s="9"/>
    </row>
    <row r="47" spans="1:29" ht="12.75">
      <c r="A47" s="46">
        <v>2027</v>
      </c>
      <c r="B47" s="75">
        <f t="shared" si="14"/>
        <v>7.06071058213782</v>
      </c>
      <c r="C47" s="72">
        <f t="shared" si="15"/>
        <v>608.6531884459263</v>
      </c>
      <c r="D47" s="22">
        <f t="shared" si="16"/>
        <v>260.85136647682555</v>
      </c>
      <c r="E47" s="73">
        <f t="shared" si="0"/>
        <v>214.4887896393885</v>
      </c>
      <c r="F47" s="67">
        <f t="shared" si="1"/>
        <v>8.249568832284172</v>
      </c>
      <c r="G47" s="23">
        <f t="shared" si="9"/>
        <v>96.06728724480156</v>
      </c>
      <c r="H47" s="67">
        <f t="shared" si="10"/>
        <v>0</v>
      </c>
      <c r="I47" s="340">
        <f t="shared" si="11"/>
        <v>96.06728724480156</v>
      </c>
      <c r="J47" s="23">
        <f t="shared" si="12"/>
        <v>23.740727991939853</v>
      </c>
      <c r="K47" s="65">
        <f t="shared" si="13"/>
        <v>9.201832555015447</v>
      </c>
      <c r="L47" s="67">
        <f t="shared" si="8"/>
        <v>9.201832555015447</v>
      </c>
      <c r="M47" s="337">
        <f t="shared" si="17"/>
        <v>10.319322656573302</v>
      </c>
      <c r="N47" s="29">
        <f t="shared" si="3"/>
        <v>0.7508136619841826</v>
      </c>
      <c r="O47" s="344">
        <f t="shared" si="2"/>
        <v>23.740727991939856</v>
      </c>
      <c r="P47" s="155">
        <f>5.61260366439819+P18</f>
        <v>5.93260366439819</v>
      </c>
      <c r="Q47" s="611">
        <v>5.56467771530151</v>
      </c>
      <c r="R47" s="611">
        <f t="shared" si="5"/>
        <v>5.88467771530151</v>
      </c>
      <c r="S47" s="630">
        <v>8.202140811115166</v>
      </c>
      <c r="T47" s="71">
        <f t="shared" si="6"/>
        <v>1.473965111862862</v>
      </c>
      <c r="V47" s="10"/>
      <c r="W47" s="12">
        <v>4</v>
      </c>
      <c r="X47" s="26">
        <f>X46</f>
        <v>7.342441860465116</v>
      </c>
      <c r="Y47" s="26">
        <f>Y46+X47</f>
        <v>29.369767441860464</v>
      </c>
      <c r="Z47" s="26">
        <f>X47/(1+$W$41)^(W47-0.5)</f>
        <v>5.794250867282173</v>
      </c>
      <c r="AA47" s="8"/>
      <c r="AB47" s="200">
        <f>((X47-(25-SUM(X44:X46)))/X47)*Z47</f>
        <v>3.4483798811064066</v>
      </c>
      <c r="AC47" s="9"/>
    </row>
    <row r="48" spans="1:29" ht="12.75">
      <c r="A48" s="46">
        <v>2028</v>
      </c>
      <c r="B48" s="75">
        <f t="shared" si="14"/>
        <v>5.832190660416007</v>
      </c>
      <c r="C48" s="72">
        <f t="shared" si="15"/>
        <v>608.6531884459263</v>
      </c>
      <c r="D48" s="22">
        <f t="shared" si="16"/>
        <v>260.85136647682555</v>
      </c>
      <c r="E48" s="73">
        <f t="shared" si="0"/>
        <v>214.4887896393885</v>
      </c>
      <c r="F48" s="67">
        <f t="shared" si="1"/>
        <v>8.249568832284172</v>
      </c>
      <c r="G48" s="23">
        <f t="shared" si="9"/>
        <v>96.06728724480156</v>
      </c>
      <c r="H48" s="67">
        <f t="shared" si="10"/>
        <v>0</v>
      </c>
      <c r="I48" s="340">
        <f t="shared" si="11"/>
        <v>96.06728724480156</v>
      </c>
      <c r="J48" s="23">
        <f t="shared" si="12"/>
        <v>23.740727991939853</v>
      </c>
      <c r="K48" s="65">
        <f t="shared" si="13"/>
        <v>9.201832555015447</v>
      </c>
      <c r="L48" s="67">
        <f t="shared" si="8"/>
        <v>9.201832555015447</v>
      </c>
      <c r="M48" s="337">
        <f t="shared" si="17"/>
        <v>10.319322656573302</v>
      </c>
      <c r="N48" s="29">
        <f t="shared" si="3"/>
        <v>0.7508136619841826</v>
      </c>
      <c r="O48" s="344">
        <f t="shared" si="2"/>
        <v>23.740727991939856</v>
      </c>
      <c r="P48" s="155">
        <f>5.67089939117432+P18</f>
        <v>5.99089939117432</v>
      </c>
      <c r="Q48" s="611">
        <v>5.68695735931396</v>
      </c>
      <c r="R48" s="611">
        <f t="shared" si="5"/>
        <v>6.006957359313961</v>
      </c>
      <c r="S48" s="630">
        <v>8.547245365668054</v>
      </c>
      <c r="T48" s="71">
        <f t="shared" si="6"/>
        <v>1.502955768020589</v>
      </c>
      <c r="V48" s="10"/>
      <c r="W48" s="12">
        <v>5</v>
      </c>
      <c r="X48" s="26">
        <f>X47</f>
        <v>7.342441860465116</v>
      </c>
      <c r="Y48" s="26">
        <f>Y47+X48</f>
        <v>36.71220930232558</v>
      </c>
      <c r="Z48" s="26">
        <f>X48/(1+$W$41)^(W48-0.5)</f>
        <v>5.415187726431936</v>
      </c>
      <c r="AA48" s="169">
        <f>((((10-X47)/X47)*Z47)+Z48)/X49</f>
        <v>0.20462909852398328</v>
      </c>
      <c r="AB48" s="8"/>
      <c r="AC48" s="9"/>
    </row>
    <row r="49" spans="1:29" ht="12.75">
      <c r="A49" s="46">
        <v>2029</v>
      </c>
      <c r="B49" s="75">
        <f t="shared" si="14"/>
        <v>4.817425598139289</v>
      </c>
      <c r="C49" s="72">
        <f t="shared" si="15"/>
        <v>608.6531884459263</v>
      </c>
      <c r="D49" s="22">
        <f t="shared" si="16"/>
        <v>260.85136647682555</v>
      </c>
      <c r="E49" s="73">
        <f t="shared" si="0"/>
        <v>214.4887896393885</v>
      </c>
      <c r="F49" s="67">
        <f t="shared" si="1"/>
        <v>8.249568832284172</v>
      </c>
      <c r="G49" s="23">
        <f t="shared" si="9"/>
        <v>96.06728724480156</v>
      </c>
      <c r="H49" s="67">
        <f t="shared" si="10"/>
        <v>0</v>
      </c>
      <c r="I49" s="340">
        <f t="shared" si="11"/>
        <v>96.06728724480156</v>
      </c>
      <c r="J49" s="23">
        <f t="shared" si="12"/>
        <v>23.740727991939853</v>
      </c>
      <c r="K49" s="65">
        <f t="shared" si="13"/>
        <v>9.201832555015447</v>
      </c>
      <c r="L49" s="67">
        <f t="shared" si="8"/>
        <v>9.201832555015447</v>
      </c>
      <c r="M49" s="337">
        <f t="shared" si="17"/>
        <v>10.319322656573302</v>
      </c>
      <c r="N49" s="29">
        <f t="shared" si="3"/>
        <v>0.7508136619841826</v>
      </c>
      <c r="O49" s="344">
        <f t="shared" si="2"/>
        <v>23.740727991939856</v>
      </c>
      <c r="P49" s="155">
        <f>5.75145149230957+P18</f>
        <v>6.071451492309571</v>
      </c>
      <c r="Q49" s="611">
        <v>5.77005100250244</v>
      </c>
      <c r="R49" s="611">
        <f t="shared" si="5"/>
        <v>6.09005100250244</v>
      </c>
      <c r="S49" s="630">
        <v>8.839018899595205</v>
      </c>
      <c r="T49" s="71">
        <f t="shared" si="6"/>
        <v>1.5318788162811334</v>
      </c>
      <c r="V49" s="86"/>
      <c r="W49" s="17"/>
      <c r="X49" s="135">
        <f>SUM(X44:X48)</f>
        <v>36.71220930232558</v>
      </c>
      <c r="Y49" s="17"/>
      <c r="Z49" s="135">
        <f>SUM(Z44:Z48)</f>
        <v>31.141331304865354</v>
      </c>
      <c r="AA49" s="144">
        <f>Z49/X49</f>
        <v>0.8482554413551098</v>
      </c>
      <c r="AB49" s="87"/>
      <c r="AC49" s="93"/>
    </row>
    <row r="50" spans="1:20" ht="12.75">
      <c r="A50" s="46">
        <v>2030</v>
      </c>
      <c r="B50" s="75">
        <f t="shared" si="14"/>
        <v>3.9792233733237223</v>
      </c>
      <c r="C50" s="72">
        <f t="shared" si="15"/>
        <v>608.6531884459263</v>
      </c>
      <c r="D50" s="22">
        <f t="shared" si="16"/>
        <v>260.85136647682555</v>
      </c>
      <c r="E50" s="73">
        <f t="shared" si="0"/>
        <v>214.4887896393885</v>
      </c>
      <c r="F50" s="67">
        <f t="shared" si="1"/>
        <v>8.249568832284172</v>
      </c>
      <c r="G50" s="23">
        <f t="shared" si="9"/>
        <v>96.06728724480156</v>
      </c>
      <c r="H50" s="67">
        <f t="shared" si="10"/>
        <v>0</v>
      </c>
      <c r="I50" s="340">
        <f t="shared" si="11"/>
        <v>96.06728724480156</v>
      </c>
      <c r="J50" s="23">
        <f t="shared" si="12"/>
        <v>23.740727991939853</v>
      </c>
      <c r="K50" s="65">
        <f t="shared" si="13"/>
        <v>9.201832555015447</v>
      </c>
      <c r="L50" s="67">
        <f t="shared" si="8"/>
        <v>9.201832555015447</v>
      </c>
      <c r="M50" s="337">
        <f t="shared" si="17"/>
        <v>10.319322656573302</v>
      </c>
      <c r="N50" s="29">
        <f t="shared" si="3"/>
        <v>0.7508136619841826</v>
      </c>
      <c r="O50" s="344">
        <f t="shared" si="2"/>
        <v>23.740727991939856</v>
      </c>
      <c r="P50" s="155">
        <f>5.91946172714233+P18</f>
        <v>6.239461727142331</v>
      </c>
      <c r="Q50" s="611">
        <v>5.80339193344116</v>
      </c>
      <c r="R50" s="611">
        <f t="shared" si="5"/>
        <v>6.123391933441161</v>
      </c>
      <c r="S50" s="630">
        <v>9.063895173629069</v>
      </c>
      <c r="T50" s="71">
        <f t="shared" si="6"/>
        <v>1.561827165489161</v>
      </c>
    </row>
    <row r="51" spans="1:20" ht="12.75">
      <c r="A51" s="46">
        <v>2031</v>
      </c>
      <c r="B51" s="75">
        <f t="shared" si="14"/>
        <v>3.286863145519409</v>
      </c>
      <c r="C51" s="72">
        <f t="shared" si="15"/>
        <v>608.6531884459263</v>
      </c>
      <c r="D51" s="22">
        <f t="shared" si="16"/>
        <v>260.85136647682555</v>
      </c>
      <c r="E51" s="73">
        <f t="shared" si="0"/>
        <v>214.4887896393885</v>
      </c>
      <c r="F51" s="67">
        <f t="shared" si="1"/>
        <v>8.249568832284172</v>
      </c>
      <c r="G51" s="23">
        <v>0</v>
      </c>
      <c r="H51" s="67">
        <v>0</v>
      </c>
      <c r="I51" s="340">
        <f t="shared" si="11"/>
        <v>96.06728724480156</v>
      </c>
      <c r="J51" s="23">
        <v>0</v>
      </c>
      <c r="K51" s="65">
        <v>0</v>
      </c>
      <c r="L51" s="67">
        <f t="shared" si="8"/>
        <v>9.201832555015447</v>
      </c>
      <c r="M51" s="337">
        <f t="shared" si="17"/>
        <v>10.319322656573302</v>
      </c>
      <c r="N51" s="29">
        <f t="shared" si="3"/>
        <v>0.7508136619841826</v>
      </c>
      <c r="O51" s="344">
        <f t="shared" si="2"/>
        <v>23.740727991939856</v>
      </c>
      <c r="P51" s="155">
        <f aca="true" t="shared" si="18" ref="P51:P65">P50*(1+0.0134)</f>
        <v>6.323070514286038</v>
      </c>
      <c r="R51" s="8"/>
      <c r="T51" s="123"/>
    </row>
    <row r="52" spans="1:27" ht="13.5" thickBot="1">
      <c r="A52" s="46">
        <v>2032</v>
      </c>
      <c r="B52" s="75">
        <f t="shared" si="14"/>
        <v>2.714969310292812</v>
      </c>
      <c r="C52" s="72">
        <f t="shared" si="15"/>
        <v>608.6531884459263</v>
      </c>
      <c r="D52" s="22">
        <f t="shared" si="16"/>
        <v>260.85136647682555</v>
      </c>
      <c r="E52" s="73">
        <f t="shared" si="0"/>
        <v>214.4887896393885</v>
      </c>
      <c r="F52" s="67">
        <f t="shared" si="1"/>
        <v>8.249568832284172</v>
      </c>
      <c r="G52" s="23"/>
      <c r="H52" s="67"/>
      <c r="I52" s="235">
        <f t="shared" si="11"/>
        <v>76.85382979584125</v>
      </c>
      <c r="J52" s="23"/>
      <c r="K52" s="65"/>
      <c r="L52" s="67">
        <f t="shared" si="8"/>
        <v>7.361466044012357</v>
      </c>
      <c r="M52" s="337">
        <f t="shared" si="17"/>
        <v>10.319322656573302</v>
      </c>
      <c r="N52" s="29">
        <f t="shared" si="3"/>
        <v>0.68003033463791</v>
      </c>
      <c r="O52" s="344">
        <f t="shared" si="2"/>
        <v>21.502559181250714</v>
      </c>
      <c r="P52" s="155">
        <f t="shared" si="18"/>
        <v>6.4077996591774715</v>
      </c>
      <c r="Q52" s="8"/>
      <c r="S52" s="123"/>
      <c r="T52" s="123"/>
      <c r="V52" s="696" t="s">
        <v>132</v>
      </c>
      <c r="W52" s="697"/>
      <c r="X52" s="697"/>
      <c r="Y52" s="697"/>
      <c r="Z52" s="697"/>
      <c r="AA52" s="698"/>
    </row>
    <row r="53" spans="1:27" ht="12.75">
      <c r="A53" s="46">
        <v>2033</v>
      </c>
      <c r="B53" s="75">
        <f t="shared" si="14"/>
        <v>2.2425814612573443</v>
      </c>
      <c r="C53" s="72">
        <f t="shared" si="15"/>
        <v>608.6531884459263</v>
      </c>
      <c r="D53" s="22">
        <f t="shared" si="16"/>
        <v>260.85136647682555</v>
      </c>
      <c r="E53" s="73">
        <f t="shared" si="0"/>
        <v>214.4887896393885</v>
      </c>
      <c r="F53" s="67">
        <f t="shared" si="1"/>
        <v>8.249568832284172</v>
      </c>
      <c r="G53" s="23"/>
      <c r="H53" s="67"/>
      <c r="I53" s="235">
        <f t="shared" si="11"/>
        <v>57.64037234688094</v>
      </c>
      <c r="J53" s="23"/>
      <c r="K53" s="65"/>
      <c r="L53" s="67">
        <f t="shared" si="8"/>
        <v>5.521099533009268</v>
      </c>
      <c r="M53" s="337">
        <f t="shared" si="17"/>
        <v>10.319322656573302</v>
      </c>
      <c r="N53" s="29">
        <f t="shared" si="3"/>
        <v>0.6092470072916373</v>
      </c>
      <c r="O53" s="344">
        <f t="shared" si="2"/>
        <v>19.26439037056157</v>
      </c>
      <c r="P53" s="155">
        <f t="shared" si="18"/>
        <v>6.49366417461045</v>
      </c>
      <c r="Q53" s="8"/>
      <c r="S53" s="123"/>
      <c r="T53" s="123"/>
      <c r="V53" s="10" t="s">
        <v>134</v>
      </c>
      <c r="W53" s="8"/>
      <c r="X53" s="8"/>
      <c r="Y53" s="8"/>
      <c r="Z53" s="12">
        <f>4+0.06*(43)</f>
        <v>6.58</v>
      </c>
      <c r="AA53" s="31" t="s">
        <v>80</v>
      </c>
    </row>
    <row r="54" spans="1:27" ht="12.75">
      <c r="A54" s="46">
        <v>2034</v>
      </c>
      <c r="B54" s="75">
        <f t="shared" si="14"/>
        <v>1.852386172951887</v>
      </c>
      <c r="C54" s="72">
        <f t="shared" si="15"/>
        <v>608.6531884459263</v>
      </c>
      <c r="D54" s="22">
        <f t="shared" si="16"/>
        <v>260.85136647682555</v>
      </c>
      <c r="E54" s="73">
        <f t="shared" si="0"/>
        <v>214.4887896393885</v>
      </c>
      <c r="F54" s="67">
        <f t="shared" si="1"/>
        <v>8.249568832284172</v>
      </c>
      <c r="G54" s="23"/>
      <c r="H54" s="67"/>
      <c r="I54" s="235">
        <f t="shared" si="11"/>
        <v>38.426914897920625</v>
      </c>
      <c r="J54" s="23"/>
      <c r="K54" s="65"/>
      <c r="L54" s="67">
        <f t="shared" si="8"/>
        <v>3.6807330220061787</v>
      </c>
      <c r="M54" s="337">
        <f t="shared" si="17"/>
        <v>10.319322656573302</v>
      </c>
      <c r="N54" s="29">
        <f t="shared" si="3"/>
        <v>0.5384636799453646</v>
      </c>
      <c r="O54" s="344">
        <f t="shared" si="2"/>
        <v>17.02622155987243</v>
      </c>
      <c r="P54" s="155">
        <f t="shared" si="18"/>
        <v>6.580679274550231</v>
      </c>
      <c r="Q54" s="8"/>
      <c r="S54" s="123"/>
      <c r="T54" s="123"/>
      <c r="V54" s="557" t="s">
        <v>121</v>
      </c>
      <c r="W54" s="8"/>
      <c r="X54" s="8"/>
      <c r="Y54" s="8"/>
      <c r="Z54" s="8"/>
      <c r="AA54" s="9"/>
    </row>
    <row r="55" spans="1:27" ht="27" customHeight="1">
      <c r="A55" s="46">
        <v>2035</v>
      </c>
      <c r="B55" s="75">
        <f t="shared" si="14"/>
        <v>1.5300824487416824</v>
      </c>
      <c r="C55" s="72">
        <f t="shared" si="15"/>
        <v>608.6531884459263</v>
      </c>
      <c r="D55" s="22">
        <f t="shared" si="16"/>
        <v>260.85136647682555</v>
      </c>
      <c r="E55" s="73">
        <f t="shared" si="0"/>
        <v>214.4887896393885</v>
      </c>
      <c r="F55" s="67">
        <f t="shared" si="1"/>
        <v>8.249568832284172</v>
      </c>
      <c r="G55" s="23"/>
      <c r="H55" s="67"/>
      <c r="I55" s="235">
        <f t="shared" si="11"/>
        <v>19.213457448960312</v>
      </c>
      <c r="J55" s="23"/>
      <c r="K55" s="65"/>
      <c r="L55" s="67">
        <f t="shared" si="8"/>
        <v>1.8403665110030893</v>
      </c>
      <c r="M55" s="337">
        <f t="shared" si="17"/>
        <v>10.319322656573302</v>
      </c>
      <c r="N55" s="29">
        <f t="shared" si="3"/>
        <v>0.467680352599092</v>
      </c>
      <c r="O55" s="344">
        <f t="shared" si="2"/>
        <v>14.78805274918329</v>
      </c>
      <c r="P55" s="155">
        <f t="shared" si="18"/>
        <v>6.668860376829205</v>
      </c>
      <c r="Q55" s="8"/>
      <c r="S55" s="123"/>
      <c r="T55" s="123"/>
      <c r="V55" s="13" t="s">
        <v>127</v>
      </c>
      <c r="W55" s="12" t="s">
        <v>125</v>
      </c>
      <c r="X55" s="678" t="s">
        <v>126</v>
      </c>
      <c r="Y55" s="678"/>
      <c r="Z55" s="126" t="s">
        <v>133</v>
      </c>
      <c r="AA55" s="558"/>
    </row>
    <row r="56" spans="1:27" ht="12.75">
      <c r="A56" s="46">
        <v>2036</v>
      </c>
      <c r="B56" s="75">
        <f aca="true" t="shared" si="19" ref="B56:B65">B55*(B55/B54)</f>
        <v>1.2638575768553588</v>
      </c>
      <c r="C56" s="72">
        <f aca="true" t="shared" si="20" ref="C56:C65">C55</f>
        <v>608.6531884459263</v>
      </c>
      <c r="D56" s="22">
        <f aca="true" t="shared" si="21" ref="D56:D65">(SUM(C50:C55)/$K$13)</f>
        <v>260.85136647682555</v>
      </c>
      <c r="E56" s="73">
        <f t="shared" si="0"/>
        <v>214.4887896393885</v>
      </c>
      <c r="F56" s="67">
        <f t="shared" si="1"/>
        <v>8.249568832284172</v>
      </c>
      <c r="G56" s="23"/>
      <c r="H56" s="67"/>
      <c r="I56" s="235">
        <f t="shared" si="11"/>
        <v>0</v>
      </c>
      <c r="J56" s="67"/>
      <c r="K56" s="67"/>
      <c r="L56" s="67">
        <f t="shared" si="8"/>
        <v>0</v>
      </c>
      <c r="M56" s="337">
        <f t="shared" si="17"/>
        <v>10.319322656573302</v>
      </c>
      <c r="N56" s="29">
        <f t="shared" si="3"/>
        <v>0.39689702525281934</v>
      </c>
      <c r="O56" s="344">
        <f t="shared" si="2"/>
        <v>12.549883938494148</v>
      </c>
      <c r="P56" s="155">
        <f t="shared" si="18"/>
        <v>6.7582231058787166</v>
      </c>
      <c r="Q56" s="8"/>
      <c r="S56" s="123"/>
      <c r="T56" s="123"/>
      <c r="V56" s="559" t="s">
        <v>118</v>
      </c>
      <c r="W56" s="132">
        <v>0.818038047851138</v>
      </c>
      <c r="X56" s="689">
        <v>0.772250260441744</v>
      </c>
      <c r="Y56" s="689"/>
      <c r="Z56" s="30">
        <v>0.804435866312203</v>
      </c>
      <c r="AA56" s="111"/>
    </row>
    <row r="57" spans="1:27" ht="12.75">
      <c r="A57" s="46">
        <v>2037</v>
      </c>
      <c r="B57" s="75">
        <f t="shared" si="19"/>
        <v>1.0439541842260365</v>
      </c>
      <c r="C57" s="72">
        <f t="shared" si="20"/>
        <v>608.6531884459263</v>
      </c>
      <c r="D57" s="22">
        <f t="shared" si="21"/>
        <v>260.85136647682555</v>
      </c>
      <c r="E57" s="73">
        <f t="shared" si="0"/>
        <v>214.4887896393885</v>
      </c>
      <c r="F57" s="67">
        <f t="shared" si="1"/>
        <v>8.249568832284172</v>
      </c>
      <c r="G57" s="23"/>
      <c r="H57" s="67"/>
      <c r="I57" s="235">
        <f t="shared" si="11"/>
        <v>0</v>
      </c>
      <c r="J57" s="67"/>
      <c r="K57" s="67"/>
      <c r="L57" s="67">
        <f t="shared" si="8"/>
        <v>0</v>
      </c>
      <c r="M57" s="337">
        <f t="shared" si="17"/>
        <v>9.172731250287377</v>
      </c>
      <c r="N57" s="29">
        <f t="shared" si="3"/>
        <v>0.35279735578028376</v>
      </c>
      <c r="O57" s="344">
        <f t="shared" si="2"/>
        <v>11.155452389772572</v>
      </c>
      <c r="P57" s="155">
        <f t="shared" si="18"/>
        <v>6.848783295497492</v>
      </c>
      <c r="Q57" s="8"/>
      <c r="S57" s="123"/>
      <c r="T57" s="123"/>
      <c r="V57" s="559" t="s">
        <v>119</v>
      </c>
      <c r="W57" s="30">
        <v>0.0145662045557539</v>
      </c>
      <c r="X57" s="690">
        <v>0.00972552941897417</v>
      </c>
      <c r="Y57" s="690"/>
      <c r="Z57" s="132">
        <v>0.0377787664204228</v>
      </c>
      <c r="AA57" s="130"/>
    </row>
    <row r="58" spans="1:27" ht="13.5" thickBot="1">
      <c r="A58" s="46">
        <v>2038</v>
      </c>
      <c r="B58" s="75">
        <f t="shared" si="19"/>
        <v>0.8623126202833021</v>
      </c>
      <c r="C58" s="72">
        <f t="shared" si="20"/>
        <v>608.6531884459263</v>
      </c>
      <c r="D58" s="22">
        <f t="shared" si="21"/>
        <v>260.85136647682555</v>
      </c>
      <c r="E58" s="73">
        <f t="shared" si="0"/>
        <v>214.4887896393885</v>
      </c>
      <c r="F58" s="67">
        <f t="shared" si="1"/>
        <v>8.249568832284172</v>
      </c>
      <c r="G58" s="23"/>
      <c r="H58" s="67"/>
      <c r="I58" s="235">
        <f t="shared" si="11"/>
        <v>0</v>
      </c>
      <c r="J58" s="67"/>
      <c r="K58" s="67"/>
      <c r="L58" s="67">
        <f t="shared" si="8"/>
        <v>0</v>
      </c>
      <c r="M58" s="337">
        <f t="shared" si="17"/>
        <v>8.026139844001456</v>
      </c>
      <c r="N58" s="29">
        <f t="shared" si="3"/>
        <v>0.3086976863077483</v>
      </c>
      <c r="O58" s="344">
        <f t="shared" si="2"/>
        <v>9.761020841051002</v>
      </c>
      <c r="P58" s="155">
        <f t="shared" si="18"/>
        <v>6.940556991657159</v>
      </c>
      <c r="Q58" s="8"/>
      <c r="S58" s="123"/>
      <c r="T58" s="123"/>
      <c r="V58" s="559" t="s">
        <v>120</v>
      </c>
      <c r="W58" s="81">
        <v>0.167395747593108</v>
      </c>
      <c r="X58" s="701">
        <v>0.218024210139282</v>
      </c>
      <c r="Y58" s="701"/>
      <c r="Z58" s="81">
        <v>0.157785367267375</v>
      </c>
      <c r="AA58" s="111"/>
    </row>
    <row r="59" spans="1:27" ht="13.5" thickTop="1">
      <c r="A59" s="46">
        <v>2039</v>
      </c>
      <c r="B59" s="75">
        <f t="shared" si="19"/>
        <v>0.7122755637510373</v>
      </c>
      <c r="C59" s="72">
        <f t="shared" si="20"/>
        <v>608.6531884459263</v>
      </c>
      <c r="D59" s="22">
        <f t="shared" si="21"/>
        <v>260.85136647682555</v>
      </c>
      <c r="E59" s="73">
        <f t="shared" si="0"/>
        <v>214.4887896393885</v>
      </c>
      <c r="F59" s="67">
        <f t="shared" si="1"/>
        <v>8.249568832284172</v>
      </c>
      <c r="G59" s="23"/>
      <c r="H59" s="67"/>
      <c r="I59" s="235">
        <f t="shared" si="11"/>
        <v>0</v>
      </c>
      <c r="J59" s="67"/>
      <c r="K59" s="67"/>
      <c r="L59" s="67">
        <f t="shared" si="8"/>
        <v>0</v>
      </c>
      <c r="M59" s="337">
        <f t="shared" si="17"/>
        <v>6.879548437715536</v>
      </c>
      <c r="N59" s="29">
        <f t="shared" si="3"/>
        <v>0.2645980168352129</v>
      </c>
      <c r="O59" s="344">
        <f t="shared" si="2"/>
        <v>8.366589292329433</v>
      </c>
      <c r="P59" s="155">
        <f t="shared" si="18"/>
        <v>7.0335604553453654</v>
      </c>
      <c r="Q59" s="8"/>
      <c r="S59" s="123"/>
      <c r="T59" s="123"/>
      <c r="V59" s="201"/>
      <c r="W59" s="139">
        <f>W56+W57+W58</f>
        <v>0.9999999999999998</v>
      </c>
      <c r="X59" s="687">
        <f>X56+X57+X58</f>
        <v>1.0000000000000002</v>
      </c>
      <c r="Y59" s="687"/>
      <c r="Z59" s="139">
        <f>Z56+Z57+Z58</f>
        <v>1.0000000000000007</v>
      </c>
      <c r="AA59" s="111"/>
    </row>
    <row r="60" spans="1:27" ht="12.75">
      <c r="A60" s="46">
        <v>2040</v>
      </c>
      <c r="B60" s="75">
        <f t="shared" si="19"/>
        <v>0.5883440260333647</v>
      </c>
      <c r="C60" s="72">
        <f t="shared" si="20"/>
        <v>608.6531884459263</v>
      </c>
      <c r="D60" s="22">
        <f t="shared" si="21"/>
        <v>260.85136647682555</v>
      </c>
      <c r="E60" s="73">
        <f t="shared" si="0"/>
        <v>214.4887896393885</v>
      </c>
      <c r="F60" s="67">
        <f t="shared" si="1"/>
        <v>8.249568832284172</v>
      </c>
      <c r="G60" s="23"/>
      <c r="H60" s="67"/>
      <c r="I60" s="235">
        <f t="shared" si="11"/>
        <v>0</v>
      </c>
      <c r="J60" s="68"/>
      <c r="K60" s="68"/>
      <c r="L60" s="67">
        <f t="shared" si="8"/>
        <v>0</v>
      </c>
      <c r="M60" s="337">
        <f t="shared" si="17"/>
        <v>5.732957031429611</v>
      </c>
      <c r="N60" s="29">
        <f t="shared" si="3"/>
        <v>0.22049834736267734</v>
      </c>
      <c r="O60" s="344">
        <f t="shared" si="2"/>
        <v>6.972157743607857</v>
      </c>
      <c r="P60" s="155">
        <f t="shared" si="18"/>
        <v>7.127810165446994</v>
      </c>
      <c r="Q60" s="8"/>
      <c r="S60" s="123"/>
      <c r="T60" s="123"/>
      <c r="V60" s="10"/>
      <c r="W60" s="8"/>
      <c r="X60" s="8"/>
      <c r="Y60" s="8"/>
      <c r="Z60" s="8"/>
      <c r="AA60" s="9"/>
    </row>
    <row r="61" spans="1:27" ht="25.5">
      <c r="A61" s="46">
        <v>2041</v>
      </c>
      <c r="B61" s="75">
        <f t="shared" si="19"/>
        <v>0.4859758085006245</v>
      </c>
      <c r="C61" s="72">
        <f t="shared" si="20"/>
        <v>608.6531884459263</v>
      </c>
      <c r="D61" s="22">
        <f t="shared" si="21"/>
        <v>260.85136647682555</v>
      </c>
      <c r="E61" s="73">
        <f t="shared" si="0"/>
        <v>214.4887896393885</v>
      </c>
      <c r="F61" s="67">
        <f t="shared" si="1"/>
        <v>8.249568832284172</v>
      </c>
      <c r="G61" s="23"/>
      <c r="H61" s="22"/>
      <c r="I61" s="235">
        <f t="shared" si="11"/>
        <v>0</v>
      </c>
      <c r="J61" s="69"/>
      <c r="K61" s="69"/>
      <c r="L61" s="67">
        <f t="shared" si="8"/>
        <v>0</v>
      </c>
      <c r="M61" s="337">
        <f t="shared" si="17"/>
        <v>4.586365625143689</v>
      </c>
      <c r="N61" s="29">
        <f t="shared" si="3"/>
        <v>0.17639867789014188</v>
      </c>
      <c r="O61" s="344">
        <f t="shared" si="2"/>
        <v>5.577726194886286</v>
      </c>
      <c r="P61" s="155">
        <f t="shared" si="18"/>
        <v>7.223322821663984</v>
      </c>
      <c r="Q61" s="8"/>
      <c r="S61" s="123"/>
      <c r="T61" s="123"/>
      <c r="V61" s="201"/>
      <c r="W61" s="105" t="s">
        <v>125</v>
      </c>
      <c r="X61" s="646" t="s">
        <v>126</v>
      </c>
      <c r="Y61" s="646"/>
      <c r="Z61" s="140" t="s">
        <v>129</v>
      </c>
      <c r="AA61" s="560" t="s">
        <v>130</v>
      </c>
    </row>
    <row r="62" spans="1:27" ht="12.75">
      <c r="A62" s="46">
        <v>2042</v>
      </c>
      <c r="B62" s="75">
        <f t="shared" si="19"/>
        <v>0.40141902695964904</v>
      </c>
      <c r="C62" s="72">
        <f t="shared" si="20"/>
        <v>608.6531884459263</v>
      </c>
      <c r="D62" s="22">
        <f t="shared" si="21"/>
        <v>260.85136647682555</v>
      </c>
      <c r="E62" s="73">
        <f t="shared" si="0"/>
        <v>214.4887896393885</v>
      </c>
      <c r="F62" s="67">
        <f t="shared" si="1"/>
        <v>8.249568832284172</v>
      </c>
      <c r="G62" s="23"/>
      <c r="H62" s="22"/>
      <c r="I62" s="341"/>
      <c r="J62" s="22"/>
      <c r="K62" s="22"/>
      <c r="L62" s="67"/>
      <c r="M62" s="337">
        <f t="shared" si="17"/>
        <v>3.4397742188577674</v>
      </c>
      <c r="N62" s="29">
        <f t="shared" si="3"/>
        <v>0.13229900841760645</v>
      </c>
      <c r="O62" s="344">
        <f t="shared" si="2"/>
        <v>4.183294646164716</v>
      </c>
      <c r="P62" s="155">
        <f t="shared" si="18"/>
        <v>7.320115347474283</v>
      </c>
      <c r="Q62" s="8"/>
      <c r="S62" s="123"/>
      <c r="T62" s="123"/>
      <c r="V62" s="561" t="s">
        <v>90</v>
      </c>
      <c r="W62" s="26">
        <v>62.5857142857143</v>
      </c>
      <c r="X62" s="685">
        <v>22.2181434599156</v>
      </c>
      <c r="Y62" s="685"/>
      <c r="Z62" s="127">
        <f>Z53/15</f>
        <v>0.43866666666666665</v>
      </c>
      <c r="AA62" s="9"/>
    </row>
    <row r="63" spans="1:27" ht="13.5" thickBot="1">
      <c r="A63" s="46">
        <v>2043</v>
      </c>
      <c r="B63" s="75">
        <f t="shared" si="19"/>
        <v>0.33157460183540055</v>
      </c>
      <c r="C63" s="72">
        <f t="shared" si="20"/>
        <v>608.6531884459263</v>
      </c>
      <c r="D63" s="22">
        <f t="shared" si="21"/>
        <v>260.85136647682555</v>
      </c>
      <c r="E63" s="73">
        <f t="shared" si="0"/>
        <v>214.4887896393885</v>
      </c>
      <c r="F63" s="67">
        <f t="shared" si="1"/>
        <v>8.249568832284172</v>
      </c>
      <c r="G63" s="23"/>
      <c r="H63" s="22"/>
      <c r="I63" s="341"/>
      <c r="J63" s="22"/>
      <c r="K63" s="22"/>
      <c r="L63" s="67"/>
      <c r="M63" s="337">
        <f t="shared" si="17"/>
        <v>2.2931828125718443</v>
      </c>
      <c r="N63" s="29">
        <f t="shared" si="3"/>
        <v>0.08819933894507094</v>
      </c>
      <c r="O63" s="344">
        <f t="shared" si="2"/>
        <v>2.788863097443143</v>
      </c>
      <c r="P63" s="155">
        <f t="shared" si="18"/>
        <v>7.418204893130438</v>
      </c>
      <c r="Q63" s="8"/>
      <c r="S63" s="123"/>
      <c r="T63" s="123"/>
      <c r="V63" s="562" t="s">
        <v>128</v>
      </c>
      <c r="W63" s="141">
        <v>40.392380952381</v>
      </c>
      <c r="X63" s="688">
        <v>8.62850632911393</v>
      </c>
      <c r="Y63" s="688"/>
      <c r="Z63" s="142">
        <f>Z53/25</f>
        <v>0.2632</v>
      </c>
      <c r="AA63" s="563">
        <f>Z63</f>
        <v>0.2632</v>
      </c>
    </row>
    <row r="64" spans="1:27" ht="13.5" thickTop="1">
      <c r="A64" s="46">
        <v>2044</v>
      </c>
      <c r="B64" s="75">
        <f t="shared" si="19"/>
        <v>0.2738826742095507</v>
      </c>
      <c r="C64" s="72">
        <f t="shared" si="20"/>
        <v>608.6531884459263</v>
      </c>
      <c r="D64" s="22">
        <f t="shared" si="21"/>
        <v>260.85136647682555</v>
      </c>
      <c r="E64" s="73">
        <f t="shared" si="0"/>
        <v>214.4887896393885</v>
      </c>
      <c r="F64" s="67">
        <f t="shared" si="1"/>
        <v>8.249568832284172</v>
      </c>
      <c r="G64" s="23"/>
      <c r="H64" s="22"/>
      <c r="I64" s="341"/>
      <c r="J64" s="22"/>
      <c r="K64" s="22"/>
      <c r="L64" s="67"/>
      <c r="M64" s="337">
        <f t="shared" si="17"/>
        <v>1.1465914062859222</v>
      </c>
      <c r="N64" s="29">
        <f t="shared" si="3"/>
        <v>0.04409966947253547</v>
      </c>
      <c r="O64" s="344">
        <f t="shared" si="2"/>
        <v>1.3944315487215715</v>
      </c>
      <c r="P64" s="155">
        <f t="shared" si="18"/>
        <v>7.517608838698386</v>
      </c>
      <c r="Q64" s="8"/>
      <c r="S64" s="123"/>
      <c r="T64" s="123"/>
      <c r="V64" s="10"/>
      <c r="W64" s="26">
        <f>W62+W63</f>
        <v>102.9780952380953</v>
      </c>
      <c r="X64" s="686">
        <f>X62+X63</f>
        <v>30.846649789029527</v>
      </c>
      <c r="Y64" s="686"/>
      <c r="Z64" s="132">
        <f>(Z62*X62+Z63*X63)/X64</f>
        <v>0.3895846673495055</v>
      </c>
      <c r="AA64" s="130"/>
    </row>
    <row r="65" spans="1:27" ht="12.75">
      <c r="A65" s="46">
        <v>2045</v>
      </c>
      <c r="B65" s="75">
        <f t="shared" si="19"/>
        <v>0.22622878476504069</v>
      </c>
      <c r="C65" s="72">
        <f t="shared" si="20"/>
        <v>608.6531884459263</v>
      </c>
      <c r="D65" s="22">
        <f t="shared" si="21"/>
        <v>260.85136647682555</v>
      </c>
      <c r="E65" s="73">
        <f t="shared" si="0"/>
        <v>214.4887896393885</v>
      </c>
      <c r="F65" s="67">
        <f t="shared" si="1"/>
        <v>8.249568832284172</v>
      </c>
      <c r="G65" s="23"/>
      <c r="H65" s="22"/>
      <c r="I65" s="341"/>
      <c r="J65" s="22"/>
      <c r="K65" s="22"/>
      <c r="L65" s="67"/>
      <c r="M65" s="68"/>
      <c r="N65" s="29">
        <f t="shared" si="3"/>
        <v>0</v>
      </c>
      <c r="O65" s="69"/>
      <c r="P65" s="155">
        <f t="shared" si="18"/>
        <v>7.618344797136945</v>
      </c>
      <c r="Q65" s="8"/>
      <c r="S65" s="123"/>
      <c r="T65" s="123"/>
      <c r="V65" s="10"/>
      <c r="W65" s="8"/>
      <c r="X65" s="8"/>
      <c r="Y65" s="8"/>
      <c r="Z65" s="8"/>
      <c r="AA65" s="9"/>
    </row>
    <row r="66" spans="1:27" ht="13.5" thickBot="1">
      <c r="A66" s="46"/>
      <c r="B66" s="76"/>
      <c r="C66" s="77"/>
      <c r="D66" s="77"/>
      <c r="E66" s="77"/>
      <c r="F66" s="78"/>
      <c r="G66" s="76"/>
      <c r="H66" s="77"/>
      <c r="I66" s="342"/>
      <c r="J66" s="77"/>
      <c r="K66" s="77"/>
      <c r="L66" s="79"/>
      <c r="M66" s="343"/>
      <c r="N66" s="178"/>
      <c r="O66" s="336"/>
      <c r="P66" s="153"/>
      <c r="Q66" s="10"/>
      <c r="R66" s="8"/>
      <c r="S66" s="123"/>
      <c r="T66" s="123"/>
      <c r="V66" s="45"/>
      <c r="W66" s="554" t="s">
        <v>113</v>
      </c>
      <c r="X66" s="555" t="s">
        <v>109</v>
      </c>
      <c r="Y66" s="8"/>
      <c r="Z66" s="8"/>
      <c r="AA66" s="9"/>
    </row>
    <row r="67" spans="1:27" ht="13.5" thickTop="1">
      <c r="A67" t="s">
        <v>85</v>
      </c>
      <c r="B67" s="62">
        <f>SUM(B26:B50)</f>
        <v>1998.6530573664988</v>
      </c>
      <c r="C67" s="62">
        <f>SUM(C26:C50)</f>
        <v>15216.329711148148</v>
      </c>
      <c r="D67" s="62">
        <f>SUM(D26:D50)</f>
        <v>6260.432795443811</v>
      </c>
      <c r="E67" s="62">
        <f>SUM(E26:E50)</f>
        <v>5147.730951345323</v>
      </c>
      <c r="F67" s="62">
        <f>SUM(F26:F50)</f>
        <v>197.9896519748202</v>
      </c>
      <c r="G67" s="62">
        <f aca="true" t="shared" si="22" ref="G67:O67">SUM(G26:G65)</f>
        <v>2243.08419252982</v>
      </c>
      <c r="H67" s="82">
        <f t="shared" si="22"/>
        <v>21.375750435536627</v>
      </c>
      <c r="I67" s="82">
        <f t="shared" si="22"/>
        <v>2264.4599429653567</v>
      </c>
      <c r="J67" s="82">
        <f t="shared" si="22"/>
        <v>552.7830029230308</v>
      </c>
      <c r="K67" s="82">
        <f t="shared" si="22"/>
        <v>214.2569778771436</v>
      </c>
      <c r="L67" s="82">
        <f t="shared" si="22"/>
        <v>214.2569778771436</v>
      </c>
      <c r="M67" s="82">
        <f t="shared" si="22"/>
        <v>240.27680061744186</v>
      </c>
      <c r="N67" s="82">
        <f t="shared" si="22"/>
        <v>17.482068403637907</v>
      </c>
      <c r="O67" s="587">
        <f t="shared" si="22"/>
        <v>552.7830029230311</v>
      </c>
      <c r="P67" s="123" t="s">
        <v>272</v>
      </c>
      <c r="Q67" s="549"/>
      <c r="R67" s="8"/>
      <c r="S67" s="123"/>
      <c r="T67" s="548"/>
      <c r="V67" s="72" t="s">
        <v>106</v>
      </c>
      <c r="W67" s="110">
        <f>X56</f>
        <v>0.772250260441744</v>
      </c>
      <c r="X67" s="111">
        <v>1</v>
      </c>
      <c r="Y67" s="8"/>
      <c r="Z67" s="8"/>
      <c r="AA67" s="9"/>
    </row>
    <row r="68" spans="2:27" ht="12.75">
      <c r="B68" s="62">
        <f>SUM(B26:B65)</f>
        <v>2016.4697647726814</v>
      </c>
      <c r="C68" s="62">
        <f>SUM(C26:C65)</f>
        <v>24346.12753783703</v>
      </c>
      <c r="D68" s="62">
        <f>SUM(D26:D65)</f>
        <v>10173.20329259619</v>
      </c>
      <c r="E68" s="62">
        <f>SUM(E26:E65)</f>
        <v>8365.06279593615</v>
      </c>
      <c r="F68" s="62">
        <f>SUM(F26:F65)</f>
        <v>321.7331844590829</v>
      </c>
      <c r="G68" s="10"/>
      <c r="H68" s="82"/>
      <c r="I68" s="82"/>
      <c r="J68" s="179">
        <f>3*(S94-R94)*S96+3*U94*S96+6*T94*T96+19*U94</f>
        <v>552.7830029230306</v>
      </c>
      <c r="K68" s="8"/>
      <c r="L68" s="662" t="s">
        <v>86</v>
      </c>
      <c r="M68" s="663"/>
      <c r="N68" s="84">
        <v>0.07</v>
      </c>
      <c r="O68" s="85">
        <f>NPV(N68,O26:O65)</f>
        <v>158.54950941350515</v>
      </c>
      <c r="P68" s="384">
        <f>AVERAGE(P26:P45)</f>
        <v>5.429054303169252</v>
      </c>
      <c r="Q68" s="640" t="s">
        <v>319</v>
      </c>
      <c r="R68" s="8"/>
      <c r="S68" s="123"/>
      <c r="T68" s="8"/>
      <c r="V68" s="72" t="s">
        <v>107</v>
      </c>
      <c r="W68" s="110">
        <f>X57</f>
        <v>0.00972552941897417</v>
      </c>
      <c r="X68" s="111">
        <f>10/25</f>
        <v>0.4</v>
      </c>
      <c r="Y68" s="8"/>
      <c r="Z68" s="8"/>
      <c r="AA68" s="9"/>
    </row>
    <row r="69" spans="1:27" ht="12.75">
      <c r="A69" t="s">
        <v>87</v>
      </c>
      <c r="B69" s="86"/>
      <c r="C69" s="87"/>
      <c r="D69" s="88">
        <f>E69+F69</f>
        <v>6260.432795443812</v>
      </c>
      <c r="E69" s="88">
        <f>E67</f>
        <v>5147.730951345323</v>
      </c>
      <c r="F69" s="89">
        <f>F67*C15</f>
        <v>1112.7018440984896</v>
      </c>
      <c r="G69" s="90"/>
      <c r="H69" s="91"/>
      <c r="I69" s="88">
        <f>G67+H67</f>
        <v>2264.4599429653567</v>
      </c>
      <c r="J69" s="88">
        <f>L69+M69+N69</f>
        <v>552.7830029230305</v>
      </c>
      <c r="K69" s="87"/>
      <c r="L69" s="88">
        <f>L67</f>
        <v>214.2569778771436</v>
      </c>
      <c r="M69" s="88">
        <f>M67</f>
        <v>240.27680061744186</v>
      </c>
      <c r="N69" s="92">
        <f>N67*C15</f>
        <v>98.24922442844505</v>
      </c>
      <c r="O69" s="88">
        <f>L67+M67+N67*C15</f>
        <v>552.7830029230305</v>
      </c>
      <c r="P69" s="121">
        <f>AVERAGE(P27:P42)</f>
        <v>5.282845385074616</v>
      </c>
      <c r="Q69" s="611">
        <f>P69*'Net forgone royalty'!CH6</f>
        <v>5.609621367368951</v>
      </c>
      <c r="S69" s="8"/>
      <c r="T69" s="123"/>
      <c r="V69" s="72" t="s">
        <v>108</v>
      </c>
      <c r="W69" s="110">
        <f>X58</f>
        <v>0.218024210139282</v>
      </c>
      <c r="X69" s="130">
        <f>Z64</f>
        <v>0.3895846673495055</v>
      </c>
      <c r="Y69" s="8"/>
      <c r="Z69" s="8"/>
      <c r="AA69" s="9"/>
    </row>
    <row r="70" spans="12:27" ht="12.75" customHeight="1">
      <c r="L70" s="8"/>
      <c r="M70" s="22"/>
      <c r="N70" s="22"/>
      <c r="O70" s="69"/>
      <c r="P70" s="70"/>
      <c r="S70" s="70"/>
      <c r="V70" s="553" t="s">
        <v>111</v>
      </c>
      <c r="W70" s="112">
        <f>W67*X67+W68*X68+W69*X69</f>
        <v>0.8610793615905845</v>
      </c>
      <c r="X70" s="113"/>
      <c r="Y70" s="8"/>
      <c r="Z70" s="8"/>
      <c r="AA70" s="9"/>
    </row>
    <row r="71" spans="1:27" ht="15" customHeight="1">
      <c r="A71" s="8"/>
      <c r="B71" s="207"/>
      <c r="C71" s="645" t="s">
        <v>291</v>
      </c>
      <c r="D71" s="645"/>
      <c r="E71" s="645"/>
      <c r="F71" s="645"/>
      <c r="G71" s="82">
        <f>SUM(G27:G42)</f>
        <v>1431.3446035233455</v>
      </c>
      <c r="H71" s="12"/>
      <c r="I71" s="8"/>
      <c r="L71" s="85">
        <f>NPV(N68,L24:L32)</f>
        <v>14.634464212969412</v>
      </c>
      <c r="O71" s="156">
        <f>NPV(N68,O26:O65)</f>
        <v>158.54950941350515</v>
      </c>
      <c r="P71">
        <f>((3*P23/4)+P24+(P25/2))/2.25</f>
        <v>6.144686262342665</v>
      </c>
      <c r="U71" s="8"/>
      <c r="V71" s="62">
        <f>T15*K6</f>
        <v>40</v>
      </c>
      <c r="W71" s="131" t="s">
        <v>131</v>
      </c>
      <c r="X71" s="555" t="s">
        <v>110</v>
      </c>
      <c r="Y71" s="8"/>
      <c r="Z71" s="8"/>
      <c r="AA71" s="9"/>
    </row>
    <row r="72" spans="1:27" ht="12.75" customHeight="1">
      <c r="A72" s="8"/>
      <c r="B72" s="253">
        <f>SUM(B26:B35)</f>
        <v>1685.268274700649</v>
      </c>
      <c r="C72" s="664" t="s">
        <v>223</v>
      </c>
      <c r="D72" s="664"/>
      <c r="E72" s="664"/>
      <c r="F72" s="664"/>
      <c r="G72" s="253">
        <f>SUM(G26:G35)</f>
        <v>802.0748838577967</v>
      </c>
      <c r="H72" s="34"/>
      <c r="I72" s="95"/>
      <c r="J72" s="96"/>
      <c r="K72" s="3"/>
      <c r="L72" s="4"/>
      <c r="M72" s="351">
        <f>SUM(M26:M45)</f>
        <v>85.48696076884242</v>
      </c>
      <c r="N72" s="4"/>
      <c r="O72" s="351">
        <f>SUM(O26:O45)</f>
        <v>275.0079914180528</v>
      </c>
      <c r="P72" s="97"/>
      <c r="S72" s="224"/>
      <c r="T72" s="224"/>
      <c r="U72" s="22"/>
      <c r="V72" s="72" t="s">
        <v>106</v>
      </c>
      <c r="W72" s="391">
        <f>Z56</f>
        <v>0.804435866312203</v>
      </c>
      <c r="X72" s="605">
        <v>1</v>
      </c>
      <c r="Y72" s="8"/>
      <c r="Z72" s="8"/>
      <c r="AA72" s="9"/>
    </row>
    <row r="73" spans="1:27" ht="12.75" customHeight="1" thickBot="1">
      <c r="A73" s="8"/>
      <c r="B73" s="252">
        <f>SUM(B36:B45)</f>
        <v>283.1472207650615</v>
      </c>
      <c r="C73" s="664" t="s">
        <v>222</v>
      </c>
      <c r="D73" s="664"/>
      <c r="E73" s="664"/>
      <c r="F73" s="664"/>
      <c r="G73" s="253">
        <f>SUM(G36:G45)</f>
        <v>960.6728724480158</v>
      </c>
      <c r="H73" s="106"/>
      <c r="I73" s="12"/>
      <c r="K73" s="2"/>
      <c r="L73" s="8"/>
      <c r="M73" s="8"/>
      <c r="N73" s="8"/>
      <c r="P73" s="8"/>
      <c r="V73" s="556" t="s">
        <v>107</v>
      </c>
      <c r="W73" s="391">
        <f>Z57</f>
        <v>0.0377787664204228</v>
      </c>
      <c r="X73" s="605">
        <v>0</v>
      </c>
      <c r="Y73" s="8"/>
      <c r="Z73" s="8"/>
      <c r="AA73" s="9"/>
    </row>
    <row r="74" spans="1:27" ht="12.75" customHeight="1">
      <c r="A74" s="8"/>
      <c r="B74" s="34"/>
      <c r="C74" s="34"/>
      <c r="D74" s="34"/>
      <c r="E74" s="34"/>
      <c r="F74" s="34"/>
      <c r="G74" s="345">
        <f>G72+G73</f>
        <v>1762.7477563058126</v>
      </c>
      <c r="H74" s="34"/>
      <c r="I74" s="34"/>
      <c r="J74" s="642" t="s">
        <v>89</v>
      </c>
      <c r="K74" s="683"/>
      <c r="L74" s="683"/>
      <c r="M74" s="684"/>
      <c r="N74" s="699" t="s">
        <v>90</v>
      </c>
      <c r="O74" s="700"/>
      <c r="P74" s="699" t="s">
        <v>172</v>
      </c>
      <c r="Q74" s="700"/>
      <c r="R74" s="662" t="s">
        <v>171</v>
      </c>
      <c r="S74" s="663"/>
      <c r="T74" s="663"/>
      <c r="U74" s="663"/>
      <c r="V74" s="72" t="s">
        <v>108</v>
      </c>
      <c r="W74" s="132">
        <f>Z58</f>
        <v>0.157785367267375</v>
      </c>
      <c r="X74" s="111">
        <f>AA63</f>
        <v>0.2632</v>
      </c>
      <c r="Y74" s="8"/>
      <c r="Z74" s="8"/>
      <c r="AA74" s="9"/>
    </row>
    <row r="75" spans="1:27" ht="12.75" customHeight="1" thickBot="1">
      <c r="A75" s="12"/>
      <c r="B75" s="34"/>
      <c r="C75" s="34"/>
      <c r="D75" s="34"/>
      <c r="E75" s="34"/>
      <c r="F75" s="34"/>
      <c r="G75" s="34"/>
      <c r="H75" s="12"/>
      <c r="I75" s="12"/>
      <c r="J75" s="10"/>
      <c r="K75" s="8"/>
      <c r="L75" s="8"/>
      <c r="M75" s="8"/>
      <c r="N75" s="316" t="s">
        <v>196</v>
      </c>
      <c r="O75" s="317" t="s">
        <v>197</v>
      </c>
      <c r="P75" s="316" t="s">
        <v>196</v>
      </c>
      <c r="Q75" s="317" t="s">
        <v>197</v>
      </c>
      <c r="R75" s="56" t="s">
        <v>207</v>
      </c>
      <c r="S75" s="177" t="s">
        <v>179</v>
      </c>
      <c r="T75" s="177" t="s">
        <v>215</v>
      </c>
      <c r="U75" s="552" t="s">
        <v>174</v>
      </c>
      <c r="V75" s="553" t="s">
        <v>112</v>
      </c>
      <c r="W75" s="606">
        <f>W72*X72+W73*X73+W74*X74</f>
        <v>0.8459649749769761</v>
      </c>
      <c r="X75" s="113"/>
      <c r="Y75" s="87"/>
      <c r="Z75" s="87"/>
      <c r="AA75" s="93"/>
    </row>
    <row r="76" spans="1:21" ht="12.75" customHeight="1">
      <c r="A76" s="12"/>
      <c r="B76" s="12"/>
      <c r="C76" s="22"/>
      <c r="D76" s="22"/>
      <c r="E76" s="29"/>
      <c r="F76" s="225"/>
      <c r="G76" s="82"/>
      <c r="H76" s="94"/>
      <c r="I76" s="94"/>
      <c r="J76" s="10" t="s">
        <v>91</v>
      </c>
      <c r="K76" s="8"/>
      <c r="L76" s="8"/>
      <c r="M76" s="8"/>
      <c r="N76" s="271">
        <v>5.68</v>
      </c>
      <c r="O76" s="257">
        <v>0.69</v>
      </c>
      <c r="P76" s="255">
        <v>3.92</v>
      </c>
      <c r="Q76" s="257">
        <v>0.46</v>
      </c>
      <c r="R76" s="75">
        <v>14.28</v>
      </c>
      <c r="S76" s="29">
        <f>R76</f>
        <v>14.28</v>
      </c>
      <c r="T76" s="29">
        <v>1.66</v>
      </c>
      <c r="U76" s="11">
        <f>S76</f>
        <v>14.28</v>
      </c>
    </row>
    <row r="77" spans="1:21" ht="12.75" customHeight="1">
      <c r="A77" s="12"/>
      <c r="B77" s="22"/>
      <c r="C77" s="22"/>
      <c r="D77" s="22"/>
      <c r="E77" s="29"/>
      <c r="F77" s="225"/>
      <c r="G77" s="82"/>
      <c r="H77" s="128"/>
      <c r="I77" s="94"/>
      <c r="J77" s="10" t="s">
        <v>92</v>
      </c>
      <c r="K77" s="8"/>
      <c r="L77" s="8"/>
      <c r="M77" s="170">
        <f>N77+P77</f>
        <v>0.5445724293776216</v>
      </c>
      <c r="N77" s="318">
        <f>((N11/(1+I8))*N12)/1000</f>
        <v>0.5231810747663551</v>
      </c>
      <c r="O77" s="319">
        <f>($O$76/$N$76)*N77</f>
        <v>0.06355544746281426</v>
      </c>
      <c r="P77" s="318">
        <f>((P11/(1+I8))*P12)/1000</f>
        <v>0.021391354611266473</v>
      </c>
      <c r="Q77" s="320">
        <f>(Q76/P76)*P77</f>
        <v>0.0025102099798935146</v>
      </c>
      <c r="R77" s="232">
        <f>(R11*R12)/1000</f>
        <v>0.24785360109158802</v>
      </c>
      <c r="S77" s="15">
        <f>R77</f>
        <v>0.24785360109158802</v>
      </c>
      <c r="T77" s="15">
        <f>S77</f>
        <v>0.24785360109158802</v>
      </c>
      <c r="U77" s="229">
        <f>S77</f>
        <v>0.24785360109158802</v>
      </c>
    </row>
    <row r="78" spans="1:21" ht="12.75">
      <c r="A78" s="12"/>
      <c r="B78" s="22"/>
      <c r="C78" s="22"/>
      <c r="D78" s="22"/>
      <c r="E78" s="29"/>
      <c r="F78" s="225"/>
      <c r="G78" s="82"/>
      <c r="H78" s="128"/>
      <c r="I78" s="94"/>
      <c r="J78" s="10" t="s">
        <v>198</v>
      </c>
      <c r="K78" s="8"/>
      <c r="L78" s="8"/>
      <c r="M78" s="12">
        <v>25</v>
      </c>
      <c r="N78" s="271">
        <f>IF(N77*$M$78&gt;N76,(N77/N79)*N76,N77*$M$78)</f>
        <v>5.036393415044094</v>
      </c>
      <c r="O78" s="272">
        <f>IF(O77*$M$78&gt;O76,(O77/O79)*O76,O77*$M$78)</f>
        <v>0.6118153972500746</v>
      </c>
      <c r="P78" s="271">
        <f>P77*M78</f>
        <v>0.5347838652816618</v>
      </c>
      <c r="Q78" s="272">
        <f>IF(Q77*$M$78&gt;Q76,(Q77/Q79)*Q76,Q77*$M$78)</f>
        <v>0.06275524949733786</v>
      </c>
      <c r="R78" s="136">
        <f>R77*M78</f>
        <v>6.1963400272897005</v>
      </c>
      <c r="S78" s="26">
        <f>R78</f>
        <v>6.1963400272897005</v>
      </c>
      <c r="T78" s="26">
        <f>T77*M78</f>
        <v>6.1963400272897005</v>
      </c>
      <c r="U78" s="166">
        <f>S78</f>
        <v>6.1963400272897005</v>
      </c>
    </row>
    <row r="79" spans="1:21" ht="12.75">
      <c r="A79" s="12"/>
      <c r="B79" s="22"/>
      <c r="C79" s="22"/>
      <c r="D79" s="22"/>
      <c r="E79" s="29"/>
      <c r="F79" s="225"/>
      <c r="G79" s="82"/>
      <c r="H79" s="128"/>
      <c r="I79" s="94"/>
      <c r="J79" s="104" t="s">
        <v>93</v>
      </c>
      <c r="K79" s="12"/>
      <c r="L79" s="8"/>
      <c r="M79" s="12" t="s">
        <v>141</v>
      </c>
      <c r="N79" s="321">
        <f>N77+((O11-N11)*O12)/1000</f>
        <v>0.5900389941334399</v>
      </c>
      <c r="O79" s="322">
        <f>($O$76/$N$76)*(IF(I8=0,N77,N79))</f>
        <v>0.07167727217466083</v>
      </c>
      <c r="P79" s="321">
        <f>P77+((($Q$11-$P$11)*$Q$12)/1000)</f>
        <v>0.02390693185658521</v>
      </c>
      <c r="Q79" s="323">
        <f>(Q76/P76)*(IF(I8=0,P77,P79))</f>
        <v>0.002805405268884999</v>
      </c>
      <c r="R79" s="233">
        <f>R77+(((S11-$R$11)*S12)/1000)</f>
        <v>0.27393196565751987</v>
      </c>
      <c r="S79" s="204">
        <f>S77+(((T11-$R$11)*T12)/1000)</f>
        <v>0.27979558998193155</v>
      </c>
      <c r="T79" s="204">
        <f>T77+(((U11-$R$11)*U12)/1000)</f>
        <v>0.2830708001473202</v>
      </c>
      <c r="U79" s="230">
        <f>U77+(((V11-$R$11)*V12)/1000)</f>
        <v>0.2715943290835279</v>
      </c>
    </row>
    <row r="80" spans="1:21" ht="12.75">
      <c r="A80" s="12"/>
      <c r="B80" s="22"/>
      <c r="C80" s="22"/>
      <c r="D80" s="22"/>
      <c r="E80" s="29"/>
      <c r="F80" s="225"/>
      <c r="G80" s="82"/>
      <c r="H80" s="128"/>
      <c r="I80" s="94"/>
      <c r="J80" s="10" t="s">
        <v>199</v>
      </c>
      <c r="K80" s="8"/>
      <c r="L80" s="8"/>
      <c r="M80" s="12">
        <f>M78</f>
        <v>25</v>
      </c>
      <c r="N80" s="271">
        <f>IF(N79*$M$80&gt;N76,N76,N79*$M$80)</f>
        <v>5.68</v>
      </c>
      <c r="O80" s="319">
        <f>IF(O79*$M$80&gt;O76,O76,O79*$M$80)</f>
        <v>0.69</v>
      </c>
      <c r="P80" s="318">
        <f aca="true" t="shared" si="23" ref="P80:U80">P79*$M$80</f>
        <v>0.5976732964146302</v>
      </c>
      <c r="Q80" s="319">
        <f t="shared" si="23"/>
        <v>0.07013513172212497</v>
      </c>
      <c r="R80" s="75">
        <f t="shared" si="23"/>
        <v>6.848299141437996</v>
      </c>
      <c r="S80" s="29">
        <f t="shared" si="23"/>
        <v>6.994889749548289</v>
      </c>
      <c r="T80" s="29">
        <f t="shared" si="23"/>
        <v>7.076770003683006</v>
      </c>
      <c r="U80" s="11">
        <f t="shared" si="23"/>
        <v>6.789858227088197</v>
      </c>
    </row>
    <row r="81" spans="1:21" ht="12.75">
      <c r="A81" s="12"/>
      <c r="B81" s="22"/>
      <c r="C81" s="22"/>
      <c r="D81" s="22"/>
      <c r="E81" s="29"/>
      <c r="F81" s="225"/>
      <c r="G81" s="82"/>
      <c r="H81" s="128"/>
      <c r="I81" s="94"/>
      <c r="J81" s="10" t="s">
        <v>115</v>
      </c>
      <c r="K81" s="8"/>
      <c r="L81" s="8"/>
      <c r="M81" s="8"/>
      <c r="N81" s="271">
        <f aca="true" t="shared" si="24" ref="N81:U81">N80-N78</f>
        <v>0.6436065849559061</v>
      </c>
      <c r="O81" s="272">
        <f t="shared" si="24"/>
        <v>0.07818460274992534</v>
      </c>
      <c r="P81" s="318">
        <f t="shared" si="24"/>
        <v>0.06288943113296841</v>
      </c>
      <c r="Q81" s="319">
        <f t="shared" si="24"/>
        <v>0.00737988222478711</v>
      </c>
      <c r="R81" s="136">
        <f t="shared" si="24"/>
        <v>0.6519591141482959</v>
      </c>
      <c r="S81" s="26">
        <f t="shared" si="24"/>
        <v>0.7985497222585884</v>
      </c>
      <c r="T81" s="26">
        <f t="shared" si="24"/>
        <v>0.8804299763933052</v>
      </c>
      <c r="U81" s="166">
        <f t="shared" si="24"/>
        <v>0.5935181997984964</v>
      </c>
    </row>
    <row r="82" spans="1:21" ht="12.75">
      <c r="A82" s="12"/>
      <c r="B82" s="22"/>
      <c r="C82" s="22"/>
      <c r="D82" s="22"/>
      <c r="E82" s="29"/>
      <c r="F82" s="225"/>
      <c r="G82" s="82"/>
      <c r="H82" s="128"/>
      <c r="I82" s="94"/>
      <c r="J82" s="10" t="s">
        <v>187</v>
      </c>
      <c r="K82" s="8"/>
      <c r="L82" s="8"/>
      <c r="M82" s="8"/>
      <c r="N82" s="271">
        <f aca="true" t="shared" si="25" ref="N82:U82">N76/N79</f>
        <v>9.626482412983442</v>
      </c>
      <c r="O82" s="272">
        <f t="shared" si="25"/>
        <v>9.626482412983442</v>
      </c>
      <c r="P82" s="324">
        <f t="shared" si="25"/>
        <v>163.96917946291083</v>
      </c>
      <c r="Q82" s="325">
        <f t="shared" si="25"/>
        <v>163.96917946291083</v>
      </c>
      <c r="R82" s="23">
        <f t="shared" si="25"/>
        <v>52.129732160770885</v>
      </c>
      <c r="S82" s="22">
        <f t="shared" si="25"/>
        <v>51.03725902514105</v>
      </c>
      <c r="T82" s="22">
        <f t="shared" si="25"/>
        <v>5.864257278165308</v>
      </c>
      <c r="U82" s="67">
        <f t="shared" si="25"/>
        <v>52.578417407265654</v>
      </c>
    </row>
    <row r="83" spans="1:21" ht="13.5" thickBot="1">
      <c r="A83" s="12"/>
      <c r="B83" s="22"/>
      <c r="C83" s="22"/>
      <c r="D83" s="22"/>
      <c r="E83" s="29"/>
      <c r="F83" s="225"/>
      <c r="G83" s="82"/>
      <c r="H83" s="128"/>
      <c r="I83" s="94"/>
      <c r="J83" s="41" t="s">
        <v>200</v>
      </c>
      <c r="K83" s="38"/>
      <c r="L83" s="38"/>
      <c r="M83" s="38"/>
      <c r="N83" s="326"/>
      <c r="O83" s="327">
        <f>O76/N76</f>
        <v>0.12147887323943661</v>
      </c>
      <c r="P83" s="326"/>
      <c r="Q83" s="327">
        <f>Q76/P76</f>
        <v>0.11734693877551021</v>
      </c>
      <c r="R83" s="86"/>
      <c r="S83" s="234"/>
      <c r="T83" s="144">
        <f>T76/S76</f>
        <v>0.11624649859943978</v>
      </c>
      <c r="U83" s="93"/>
    </row>
    <row r="84" spans="1:21" ht="13.5" thickBot="1">
      <c r="A84" s="12"/>
      <c r="B84" s="22"/>
      <c r="C84" s="22"/>
      <c r="D84" s="22"/>
      <c r="E84" s="29"/>
      <c r="F84" s="225"/>
      <c r="G84" s="82"/>
      <c r="H84" s="128"/>
      <c r="I84" s="94"/>
      <c r="J84" s="10"/>
      <c r="R84" s="647" t="s">
        <v>178</v>
      </c>
      <c r="S84" s="648"/>
      <c r="T84" s="648"/>
      <c r="U84" s="649"/>
    </row>
    <row r="85" spans="1:23" ht="15.75" thickBot="1">
      <c r="A85" s="12"/>
      <c r="B85" s="22"/>
      <c r="C85" s="22"/>
      <c r="D85" s="22"/>
      <c r="E85" s="29"/>
      <c r="F85" s="225"/>
      <c r="G85" s="82"/>
      <c r="H85" s="128"/>
      <c r="I85" s="94"/>
      <c r="J85" s="692" t="s">
        <v>94</v>
      </c>
      <c r="K85" s="693"/>
      <c r="L85" s="693"/>
      <c r="M85" s="693"/>
      <c r="N85" s="693"/>
      <c r="O85" s="162"/>
      <c r="P85" s="305" t="s">
        <v>163</v>
      </c>
      <c r="Q85" s="306" t="s">
        <v>164</v>
      </c>
      <c r="R85" s="18" t="s">
        <v>228</v>
      </c>
      <c r="S85" s="17" t="s">
        <v>229</v>
      </c>
      <c r="T85" s="177" t="s">
        <v>216</v>
      </c>
      <c r="U85" s="117" t="s">
        <v>217</v>
      </c>
      <c r="V85" s="145"/>
      <c r="W85" s="34"/>
    </row>
    <row r="86" spans="1:23" ht="12.75">
      <c r="A86" s="12"/>
      <c r="B86" s="22"/>
      <c r="C86" s="22"/>
      <c r="D86" s="22"/>
      <c r="E86" s="29"/>
      <c r="F86" s="225"/>
      <c r="G86" s="82"/>
      <c r="H86" s="128"/>
      <c r="I86" s="94"/>
      <c r="J86" s="10" t="s">
        <v>95</v>
      </c>
      <c r="K86" s="8"/>
      <c r="L86" s="8"/>
      <c r="M86" s="8"/>
      <c r="N86" s="8"/>
      <c r="O86" s="8"/>
      <c r="P86" s="307">
        <f>(($N$11/(1+I8))*$H$5*$W$70)+(($P$11/(1+I8))*$H$6*$W$70)</f>
        <v>260.254045999973</v>
      </c>
      <c r="Q86" s="307">
        <f>($N$11*(I8/(1+I8))*$H$5*$W$70)+($P$11*(I8/(1+I8))*$H$6*$W$70)</f>
        <v>30.624533888606532</v>
      </c>
      <c r="R86" s="235">
        <f>$R$11*$H$6*$W$70</f>
        <v>59.08682740749502</v>
      </c>
      <c r="S86" s="157">
        <f>$R$11*$H$7</f>
        <v>96.06728724480156</v>
      </c>
      <c r="T86" s="157">
        <f>$R$11*$H$7</f>
        <v>96.06728724480156</v>
      </c>
      <c r="U86" s="236">
        <f>$R$11*$H$7</f>
        <v>96.06728724480156</v>
      </c>
      <c r="V86" s="161" t="s">
        <v>6</v>
      </c>
      <c r="W86" s="8"/>
    </row>
    <row r="87" spans="1:23" ht="12.75">
      <c r="A87" s="12"/>
      <c r="B87" s="22"/>
      <c r="C87" s="22"/>
      <c r="D87" s="22"/>
      <c r="E87" s="29"/>
      <c r="F87" s="225"/>
      <c r="G87" s="82"/>
      <c r="H87" s="128"/>
      <c r="I87" s="94"/>
      <c r="J87" s="10" t="s">
        <v>96</v>
      </c>
      <c r="K87" s="8"/>
      <c r="L87" s="8"/>
      <c r="M87" s="8"/>
      <c r="N87" s="8"/>
      <c r="O87" s="8"/>
      <c r="P87" s="308">
        <f>($Q$15/(1+I8))*$K$6*$W$75</f>
        <v>7.568993481622401</v>
      </c>
      <c r="Q87" s="308">
        <f>$Q$15*(I8/(1+I8))*$K$6*$W$75</f>
        <v>0.8906562681473593</v>
      </c>
      <c r="R87" s="23">
        <f>$S$15*$K$6*$W$75</f>
        <v>33.838598999079046</v>
      </c>
      <c r="S87" s="22">
        <f>T15*$K$6*$W$75</f>
        <v>33.838598999079046</v>
      </c>
      <c r="T87" s="22">
        <f>V15*$K$6*$W$75</f>
        <v>33.838598999079046</v>
      </c>
      <c r="U87" s="67">
        <v>0</v>
      </c>
      <c r="V87" s="161" t="s">
        <v>6</v>
      </c>
      <c r="W87" s="8"/>
    </row>
    <row r="88" spans="1:28" ht="12.75">
      <c r="A88" s="12"/>
      <c r="B88" s="22"/>
      <c r="C88" s="22"/>
      <c r="D88" s="22"/>
      <c r="E88" s="29"/>
      <c r="F88" s="225"/>
      <c r="G88" s="82"/>
      <c r="H88" s="128"/>
      <c r="I88" s="94"/>
      <c r="J88" s="10" t="s">
        <v>140</v>
      </c>
      <c r="K88" s="8"/>
      <c r="L88" s="8"/>
      <c r="M88" s="8"/>
      <c r="N88" s="8"/>
      <c r="O88" s="8"/>
      <c r="P88" s="309">
        <f>(N79-N77+P79-P77)*1000</f>
        <v>69.37349661240349</v>
      </c>
      <c r="Q88" s="309">
        <f>((O79-O77+Q79-Q77)*1000)</f>
        <v>8.41702000083805</v>
      </c>
      <c r="R88" s="62">
        <f>(R79-R77)*1000</f>
        <v>26.07836456593185</v>
      </c>
      <c r="S88" s="82">
        <f>(S79-S77)*1000</f>
        <v>31.941988890343527</v>
      </c>
      <c r="T88" s="22">
        <f>(T79-T77)*1000</f>
        <v>35.2171990557322</v>
      </c>
      <c r="U88" s="67">
        <f>(U79-U77)*1000</f>
        <v>23.740727991939853</v>
      </c>
      <c r="V88" s="161" t="s">
        <v>81</v>
      </c>
      <c r="W88" s="151"/>
      <c r="X88" s="151"/>
      <c r="Y88" s="151"/>
      <c r="Z88" s="151"/>
      <c r="AA88" s="151"/>
      <c r="AB88" s="151"/>
    </row>
    <row r="89" spans="1:22" ht="12.75">
      <c r="A89" s="12"/>
      <c r="B89" s="22"/>
      <c r="C89" s="22"/>
      <c r="D89" s="22"/>
      <c r="E89" s="29"/>
      <c r="F89" s="225"/>
      <c r="G89" s="82"/>
      <c r="H89" s="128"/>
      <c r="I89" s="94"/>
      <c r="J89" s="10" t="s">
        <v>97</v>
      </c>
      <c r="K89" s="8"/>
      <c r="L89" s="8"/>
      <c r="M89" s="12"/>
      <c r="N89" s="12"/>
      <c r="O89" s="12"/>
      <c r="P89" s="307">
        <f>((($O$11-$N$11)/(1+I8))*$H$5*$W$70)+((($Q$11-$P$11)/(1+I8))*$H$6*$W$70)</f>
        <v>29.624168236119576</v>
      </c>
      <c r="Q89" s="307">
        <f>(($O$11-$N$11)*(I8/(1+I8))*$H$5*O83*$W$70)+(($Q$11-$P$11)*(I8/(1+I8))*$H$6*Q83*$W$70)</f>
        <v>0.4227232183593606</v>
      </c>
      <c r="R89" s="235">
        <f>(S11-$R$11)*$H$7</f>
        <v>10.107893242609247</v>
      </c>
      <c r="S89" s="157">
        <f>(T11-$R$11)*$H$7</f>
        <v>12.380615848970372</v>
      </c>
      <c r="T89" s="157">
        <f>(U11-$R$11)*$H$7</f>
        <v>13.65007715338457</v>
      </c>
      <c r="U89" s="236">
        <f>((V11-$R$11)*$H$7)</f>
        <v>9.201832555015447</v>
      </c>
      <c r="V89" s="161" t="s">
        <v>6</v>
      </c>
    </row>
    <row r="90" spans="1:22" ht="12.75">
      <c r="A90" s="12"/>
      <c r="B90" s="22"/>
      <c r="C90" s="22"/>
      <c r="D90" s="22"/>
      <c r="E90" s="29"/>
      <c r="F90" s="225"/>
      <c r="G90" s="82"/>
      <c r="H90" s="128"/>
      <c r="I90" s="94"/>
      <c r="J90" s="10" t="s">
        <v>98</v>
      </c>
      <c r="K90" s="8"/>
      <c r="L90" s="8"/>
      <c r="M90" s="8"/>
      <c r="N90" s="30">
        <f>1/2</f>
        <v>0.5</v>
      </c>
      <c r="O90" s="100">
        <f>(60/45)*O12</f>
        <v>36.666666666666664</v>
      </c>
      <c r="P90" s="308">
        <f>$N$90*(N79-N77)*1000</f>
        <v>33.42895968354237</v>
      </c>
      <c r="Q90" s="308">
        <f>$N$90*(O79-O77)*1000</f>
        <v>4.060912355923284</v>
      </c>
      <c r="R90" s="13">
        <v>0</v>
      </c>
      <c r="S90" s="12">
        <v>0</v>
      </c>
      <c r="T90" s="12">
        <v>0</v>
      </c>
      <c r="U90" s="31">
        <v>0</v>
      </c>
      <c r="V90" s="161" t="s">
        <v>81</v>
      </c>
    </row>
    <row r="91" spans="1:28" ht="12.75">
      <c r="A91" s="12"/>
      <c r="B91" s="22"/>
      <c r="C91" s="22"/>
      <c r="D91" s="22"/>
      <c r="E91" s="29"/>
      <c r="F91" s="225"/>
      <c r="G91" s="82"/>
      <c r="H91" s="128"/>
      <c r="I91" s="94"/>
      <c r="J91" s="416" t="s">
        <v>186</v>
      </c>
      <c r="K91" s="8"/>
      <c r="L91" s="8"/>
      <c r="M91" s="8"/>
      <c r="N91" s="30">
        <f>1/4</f>
        <v>0.25</v>
      </c>
      <c r="O91" s="8"/>
      <c r="P91" s="307">
        <f>$N$91*(P79-P77)*1000</f>
        <v>0.6288943113296839</v>
      </c>
      <c r="Q91" s="310">
        <f>$N$91*(Q79-Q77)*1000</f>
        <v>0.07379882224787106</v>
      </c>
      <c r="R91" s="13">
        <v>0</v>
      </c>
      <c r="S91" s="12">
        <v>0</v>
      </c>
      <c r="T91" s="12">
        <v>0</v>
      </c>
      <c r="U91" s="31">
        <v>0</v>
      </c>
      <c r="V91" s="161" t="s">
        <v>81</v>
      </c>
      <c r="W91" s="151"/>
      <c r="X91" s="151"/>
      <c r="Y91" s="151"/>
      <c r="Z91" s="151"/>
      <c r="AA91" s="151"/>
      <c r="AB91" s="151"/>
    </row>
    <row r="92" spans="1:28" ht="12.75">
      <c r="A92" s="12"/>
      <c r="B92" s="22"/>
      <c r="C92" s="22"/>
      <c r="D92" s="22"/>
      <c r="E92" s="29"/>
      <c r="F92" s="225"/>
      <c r="G92" s="82"/>
      <c r="H92" s="128"/>
      <c r="I92" s="94"/>
      <c r="J92" s="416" t="s">
        <v>99</v>
      </c>
      <c r="K92" s="8"/>
      <c r="L92" s="8"/>
      <c r="M92" s="8"/>
      <c r="N92" s="30">
        <f>1-C13</f>
        <v>0.33365777618348746</v>
      </c>
      <c r="O92" s="8"/>
      <c r="P92" s="308">
        <f>1/3*(P90+P91)</f>
        <v>11.352617998290683</v>
      </c>
      <c r="Q92" s="311">
        <f>1/3*(Q90+Q91)</f>
        <v>1.3782370593903848</v>
      </c>
      <c r="R92" s="13">
        <v>0</v>
      </c>
      <c r="S92" s="12">
        <v>0</v>
      </c>
      <c r="T92" s="12">
        <v>0</v>
      </c>
      <c r="U92" s="31">
        <v>0</v>
      </c>
      <c r="V92" s="161" t="s">
        <v>81</v>
      </c>
      <c r="W92" s="151"/>
      <c r="X92" s="151"/>
      <c r="Y92" s="151"/>
      <c r="Z92" s="151"/>
      <c r="AA92" s="151"/>
      <c r="AB92" s="151"/>
    </row>
    <row r="93" spans="1:28" ht="13.5" thickBot="1">
      <c r="A93" s="12"/>
      <c r="B93" s="22"/>
      <c r="C93" s="22"/>
      <c r="D93" s="22"/>
      <c r="E93" s="29"/>
      <c r="F93" s="225"/>
      <c r="G93" s="82"/>
      <c r="H93" s="94"/>
      <c r="I93" s="94"/>
      <c r="J93" s="416" t="s">
        <v>100</v>
      </c>
      <c r="K93" s="8"/>
      <c r="L93" s="8"/>
      <c r="M93" s="8"/>
      <c r="N93" s="8"/>
      <c r="O93" s="8"/>
      <c r="P93" s="312">
        <f aca="true" t="shared" si="26" ref="P93:U93">P88-P90-P91</f>
        <v>35.31564261753144</v>
      </c>
      <c r="Q93" s="312">
        <f t="shared" si="26"/>
        <v>4.282308822666896</v>
      </c>
      <c r="R93" s="237">
        <f t="shared" si="26"/>
        <v>26.07836456593185</v>
      </c>
      <c r="S93" s="80">
        <f t="shared" si="26"/>
        <v>31.941988890343527</v>
      </c>
      <c r="T93" s="80">
        <f t="shared" si="26"/>
        <v>35.2171990557322</v>
      </c>
      <c r="U93" s="79">
        <f t="shared" si="26"/>
        <v>23.740727991939853</v>
      </c>
      <c r="V93" s="161" t="s">
        <v>81</v>
      </c>
      <c r="W93" s="151"/>
      <c r="X93" s="151"/>
      <c r="Y93" s="151"/>
      <c r="Z93" s="151"/>
      <c r="AA93" s="151"/>
      <c r="AB93" s="151"/>
    </row>
    <row r="94" spans="1:28" ht="13.5" thickTop="1">
      <c r="A94" s="8"/>
      <c r="B94" s="82"/>
      <c r="C94" s="82"/>
      <c r="D94" s="82"/>
      <c r="E94" s="82"/>
      <c r="F94" s="8"/>
      <c r="G94" s="8"/>
      <c r="H94" s="94"/>
      <c r="I94" s="94"/>
      <c r="J94" s="416" t="s">
        <v>101</v>
      </c>
      <c r="K94" s="8"/>
      <c r="L94" s="8"/>
      <c r="M94" s="8"/>
      <c r="N94" s="8"/>
      <c r="O94" s="8"/>
      <c r="P94" s="308">
        <f aca="true" t="shared" si="27" ref="P94:U94">P92+P93</f>
        <v>46.66826061582212</v>
      </c>
      <c r="Q94" s="311">
        <f t="shared" si="27"/>
        <v>5.6605458820572805</v>
      </c>
      <c r="R94" s="23">
        <f t="shared" si="27"/>
        <v>26.07836456593185</v>
      </c>
      <c r="S94" s="22">
        <f t="shared" si="27"/>
        <v>31.941988890343527</v>
      </c>
      <c r="T94" s="26">
        <f t="shared" si="27"/>
        <v>35.2171990557322</v>
      </c>
      <c r="U94" s="166">
        <f t="shared" si="27"/>
        <v>23.740727991939853</v>
      </c>
      <c r="V94" s="161" t="s">
        <v>81</v>
      </c>
      <c r="W94" s="151"/>
      <c r="X94" s="151"/>
      <c r="Y94" s="151"/>
      <c r="Z94" s="151"/>
      <c r="AA94" s="151"/>
      <c r="AB94" s="151"/>
    </row>
    <row r="95" spans="1:23" ht="13.5" thickBot="1">
      <c r="A95" s="8"/>
      <c r="B95" s="226"/>
      <c r="C95" s="22"/>
      <c r="D95" s="22"/>
      <c r="E95" s="8"/>
      <c r="F95" s="8"/>
      <c r="G95" s="12"/>
      <c r="H95" s="94"/>
      <c r="I95" s="94"/>
      <c r="J95" s="41" t="s">
        <v>102</v>
      </c>
      <c r="K95" s="38"/>
      <c r="L95" s="38"/>
      <c r="M95" s="38"/>
      <c r="N95" s="38"/>
      <c r="O95" s="38"/>
      <c r="P95" s="313">
        <f aca="true" t="shared" si="28" ref="P95:U95">P94-P89</f>
        <v>17.044092379702544</v>
      </c>
      <c r="Q95" s="314">
        <f t="shared" si="28"/>
        <v>5.23782266369792</v>
      </c>
      <c r="R95" s="238">
        <f t="shared" si="28"/>
        <v>15.970471323322602</v>
      </c>
      <c r="S95" s="195">
        <f t="shared" si="28"/>
        <v>19.561373041373155</v>
      </c>
      <c r="T95" s="195">
        <f t="shared" si="28"/>
        <v>21.56712190234763</v>
      </c>
      <c r="U95" s="315">
        <f t="shared" si="28"/>
        <v>14.538895436924406</v>
      </c>
      <c r="V95" s="102" t="s">
        <v>81</v>
      </c>
      <c r="W95" s="8"/>
    </row>
    <row r="96" spans="1:22" ht="12.75">
      <c r="A96" s="8"/>
      <c r="B96" s="8"/>
      <c r="C96" s="22"/>
      <c r="D96" s="82"/>
      <c r="E96" s="8"/>
      <c r="F96" s="8"/>
      <c r="G96" s="8"/>
      <c r="H96" s="8"/>
      <c r="I96" s="8"/>
      <c r="S96" s="245">
        <f>1/(1+I8)</f>
        <v>0.8947171225177969</v>
      </c>
      <c r="T96" s="245">
        <f>I8/(1+I8)</f>
        <v>0.10528287748220305</v>
      </c>
      <c r="V96" s="8"/>
    </row>
    <row r="97" spans="1:9" ht="12.75">
      <c r="A97" s="8"/>
      <c r="B97" s="8"/>
      <c r="C97" s="8"/>
      <c r="D97" s="8"/>
      <c r="E97" s="127"/>
      <c r="F97" s="8"/>
      <c r="G97" s="8"/>
      <c r="H97" s="128"/>
      <c r="I97" s="94"/>
    </row>
    <row r="98" spans="1:19" ht="12.75">
      <c r="A98" s="8"/>
      <c r="B98" s="8"/>
      <c r="C98" s="8"/>
      <c r="D98" s="22"/>
      <c r="E98" s="22"/>
      <c r="F98" s="8"/>
      <c r="G98" s="8"/>
      <c r="H98" s="8"/>
      <c r="I98" s="8"/>
      <c r="L98" s="186"/>
      <c r="M98" s="187"/>
      <c r="N98" s="188"/>
      <c r="O98" s="241"/>
      <c r="P98" s="242"/>
      <c r="Q98" s="240"/>
      <c r="R98" s="239"/>
      <c r="S98" s="187"/>
    </row>
    <row r="99" spans="1:16" ht="12.75">
      <c r="A99" s="8"/>
      <c r="B99" s="8"/>
      <c r="C99" s="8"/>
      <c r="D99" s="8"/>
      <c r="E99" s="127"/>
      <c r="F99" s="8"/>
      <c r="G99" s="8"/>
      <c r="H99" s="8"/>
      <c r="I99" s="8"/>
      <c r="P99" s="243"/>
    </row>
    <row r="100" ht="12.75">
      <c r="P100" s="243"/>
    </row>
    <row r="101" ht="12.75">
      <c r="P101" s="243"/>
    </row>
  </sheetData>
  <mergeCells count="51">
    <mergeCell ref="U18:V18"/>
    <mergeCell ref="J85:N85"/>
    <mergeCell ref="A3:K3"/>
    <mergeCell ref="V52:AA52"/>
    <mergeCell ref="P74:Q74"/>
    <mergeCell ref="C73:F73"/>
    <mergeCell ref="V32:AC32"/>
    <mergeCell ref="X58:Y58"/>
    <mergeCell ref="R74:U74"/>
    <mergeCell ref="N74:O74"/>
    <mergeCell ref="J74:M74"/>
    <mergeCell ref="X62:Y62"/>
    <mergeCell ref="X64:Y64"/>
    <mergeCell ref="AB35:AC35"/>
    <mergeCell ref="X59:Y59"/>
    <mergeCell ref="X63:Y63"/>
    <mergeCell ref="X55:Y55"/>
    <mergeCell ref="X56:Y56"/>
    <mergeCell ref="X57:Y57"/>
    <mergeCell ref="Z35:AA35"/>
    <mergeCell ref="X61:Y61"/>
    <mergeCell ref="R84:U84"/>
    <mergeCell ref="A1:R1"/>
    <mergeCell ref="U7:V7"/>
    <mergeCell ref="K8:K9"/>
    <mergeCell ref="D21:E21"/>
    <mergeCell ref="P5:Q5"/>
    <mergeCell ref="R5:V5"/>
    <mergeCell ref="M20:N20"/>
    <mergeCell ref="B18:F18"/>
    <mergeCell ref="A4:E4"/>
    <mergeCell ref="G20:H20"/>
    <mergeCell ref="L68:M68"/>
    <mergeCell ref="C72:F72"/>
    <mergeCell ref="J6:J7"/>
    <mergeCell ref="F8:H8"/>
    <mergeCell ref="C20:F20"/>
    <mergeCell ref="C71:F71"/>
    <mergeCell ref="N5:O5"/>
    <mergeCell ref="F9:H9"/>
    <mergeCell ref="F4:K4"/>
    <mergeCell ref="U3:V3"/>
    <mergeCell ref="L4:V4"/>
    <mergeCell ref="T6:V6"/>
    <mergeCell ref="W42:AA42"/>
    <mergeCell ref="X3:AB3"/>
    <mergeCell ref="X26:Z26"/>
    <mergeCell ref="X19:AB19"/>
    <mergeCell ref="X25:AB25"/>
    <mergeCell ref="Z4:AA4"/>
    <mergeCell ref="Z34:AC34"/>
  </mergeCells>
  <printOptions headings="1"/>
  <pageMargins left="0.42" right="0.25" top="0.81" bottom="0.49" header="0.32" footer="0.5"/>
  <pageSetup fitToHeight="1" fitToWidth="1" horizontalDpi="600" verticalDpi="600" orientation="landscape" scale="37" r:id="rId1"/>
  <headerFooter alignWithMargins="0">
    <oddHeader>&amp;L&amp;28DGEAII ultra-deep wells.xls&amp;R&amp;28Incentive effects</oddHeader>
  </headerFooter>
  <colBreaks count="1" manualBreakCount="1">
    <brk id="15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3"/>
  <sheetViews>
    <sheetView workbookViewId="0" topLeftCell="A1">
      <selection activeCell="A1" sqref="A1:R1"/>
    </sheetView>
  </sheetViews>
  <sheetFormatPr defaultColWidth="9.140625" defaultRowHeight="12.75"/>
  <cols>
    <col min="2" max="2" width="17.00390625" style="0" customWidth="1"/>
    <col min="3" max="5" width="11.7109375" style="0" customWidth="1"/>
    <col min="6" max="6" width="10.8515625" style="0" customWidth="1"/>
    <col min="8" max="8" width="12.421875" style="0" customWidth="1"/>
    <col min="10" max="10" width="9.57421875" style="0" bestFit="1" customWidth="1"/>
    <col min="11" max="11" width="10.7109375" style="0" customWidth="1"/>
    <col min="12" max="12" width="11.57421875" style="0" bestFit="1" customWidth="1"/>
    <col min="13" max="14" width="12.7109375" style="0" customWidth="1"/>
    <col min="15" max="15" width="11.7109375" style="0" bestFit="1" customWidth="1"/>
    <col min="16" max="17" width="12.8515625" style="0" bestFit="1" customWidth="1"/>
    <col min="18" max="18" width="11.57421875" style="0" customWidth="1"/>
    <col min="19" max="19" width="14.28125" style="0" customWidth="1"/>
    <col min="20" max="20" width="12.28125" style="0" customWidth="1"/>
    <col min="21" max="21" width="12.7109375" style="0" customWidth="1"/>
    <col min="22" max="22" width="13.421875" style="0" customWidth="1"/>
    <col min="23" max="23" width="10.7109375" style="0" customWidth="1"/>
    <col min="24" max="24" width="6.00390625" style="0" customWidth="1"/>
    <col min="25" max="28" width="10.7109375" style="0" customWidth="1"/>
    <col min="29" max="29" width="13.00390625" style="0" customWidth="1"/>
    <col min="30" max="30" width="12.57421875" style="0" customWidth="1"/>
    <col min="31" max="31" width="9.7109375" style="0" customWidth="1"/>
    <col min="32" max="32" width="11.7109375" style="0" customWidth="1"/>
    <col min="33" max="33" width="9.7109375" style="0" customWidth="1"/>
    <col min="34" max="34" width="10.7109375" style="0" customWidth="1"/>
    <col min="35" max="48" width="9.7109375" style="0" customWidth="1"/>
    <col min="49" max="49" width="11.421875" style="0" bestFit="1" customWidth="1"/>
    <col min="50" max="50" width="10.140625" style="0" bestFit="1" customWidth="1"/>
    <col min="51" max="51" width="11.28125" style="0" bestFit="1" customWidth="1"/>
  </cols>
  <sheetData>
    <row r="1" spans="1:50" ht="20.25">
      <c r="A1" s="650" t="s">
        <v>214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Y1" t="s">
        <v>234</v>
      </c>
      <c r="AC1" s="46">
        <f>(1-0.03)*0.99</f>
        <v>0.9602999999999999</v>
      </c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</row>
    <row r="2" spans="1:50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</row>
    <row r="3" spans="1:50" ht="15.75" customHeight="1" thickBot="1">
      <c r="A3" s="705" t="s">
        <v>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7"/>
      <c r="U3" s="718"/>
      <c r="V3" s="718"/>
      <c r="Y3" s="655" t="s">
        <v>242</v>
      </c>
      <c r="Z3" s="678"/>
      <c r="AA3" s="678"/>
      <c r="AB3" s="678"/>
      <c r="AC3" s="678"/>
      <c r="AD3" s="678"/>
      <c r="AE3" s="678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</row>
    <row r="4" spans="1:55" ht="13.5" customHeight="1" thickBot="1">
      <c r="A4" s="708" t="s">
        <v>1</v>
      </c>
      <c r="B4" s="663"/>
      <c r="C4" s="663"/>
      <c r="D4" s="663"/>
      <c r="E4" s="709"/>
      <c r="F4" s="662" t="s">
        <v>2</v>
      </c>
      <c r="G4" s="663"/>
      <c r="H4" s="663"/>
      <c r="I4" s="663"/>
      <c r="J4" s="663"/>
      <c r="K4" s="663"/>
      <c r="L4" s="670" t="s">
        <v>3</v>
      </c>
      <c r="M4" s="671"/>
      <c r="N4" s="671"/>
      <c r="O4" s="671"/>
      <c r="P4" s="671"/>
      <c r="Q4" s="671"/>
      <c r="R4" s="671"/>
      <c r="S4" s="671"/>
      <c r="T4" s="671"/>
      <c r="U4" s="671"/>
      <c r="V4" s="672"/>
      <c r="Y4" s="703" t="s">
        <v>201</v>
      </c>
      <c r="Z4" s="285" t="s">
        <v>138</v>
      </c>
      <c r="AA4" s="12" t="s">
        <v>135</v>
      </c>
      <c r="AB4" s="12" t="s">
        <v>136</v>
      </c>
      <c r="AC4" s="12" t="s">
        <v>209</v>
      </c>
      <c r="AD4" s="31" t="s">
        <v>210</v>
      </c>
      <c r="AE4" s="598" t="s">
        <v>282</v>
      </c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BB4" s="12"/>
      <c r="BC4" s="34"/>
    </row>
    <row r="5" spans="1:50" ht="12.75" customHeight="1" thickBot="1">
      <c r="A5" s="7" t="s">
        <v>4</v>
      </c>
      <c r="B5" s="8"/>
      <c r="C5" s="8"/>
      <c r="D5" s="8"/>
      <c r="E5" s="9"/>
      <c r="F5" s="10" t="s">
        <v>5</v>
      </c>
      <c r="G5" s="8"/>
      <c r="H5" s="173">
        <f>'Incentive effect'!H5</f>
        <v>15</v>
      </c>
      <c r="I5" s="8" t="s">
        <v>80</v>
      </c>
      <c r="K5" s="29"/>
      <c r="L5" s="7" t="s">
        <v>7</v>
      </c>
      <c r="M5" s="8"/>
      <c r="N5" s="680" t="s">
        <v>8</v>
      </c>
      <c r="O5" s="681"/>
      <c r="P5" s="654" t="s">
        <v>180</v>
      </c>
      <c r="Q5" s="680"/>
      <c r="R5" s="655" t="s">
        <v>171</v>
      </c>
      <c r="S5" s="678"/>
      <c r="T5" s="678"/>
      <c r="U5" s="678"/>
      <c r="V5" s="651"/>
      <c r="W5" s="46" t="s">
        <v>231</v>
      </c>
      <c r="Y5" s="704"/>
      <c r="Z5" s="286"/>
      <c r="AA5" s="193">
        <f>1/3</f>
        <v>0.3333333333333333</v>
      </c>
      <c r="AB5" s="193">
        <f>1/5</f>
        <v>0.2</v>
      </c>
      <c r="AC5" s="215">
        <f>AB5</f>
        <v>0.2</v>
      </c>
      <c r="AD5" s="576">
        <f>AC5</f>
        <v>0.2</v>
      </c>
      <c r="AE5" s="599" t="s">
        <v>283</v>
      </c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</row>
    <row r="6" spans="1:55" ht="12.75" customHeight="1">
      <c r="A6" s="7" t="s">
        <v>9</v>
      </c>
      <c r="B6" s="8"/>
      <c r="C6" s="8"/>
      <c r="D6" s="12">
        <v>-0.72</v>
      </c>
      <c r="E6" s="9"/>
      <c r="F6" s="10" t="s">
        <v>10</v>
      </c>
      <c r="G6" s="8"/>
      <c r="H6" s="173">
        <f>'Incentive effect'!H6</f>
        <v>25</v>
      </c>
      <c r="I6" s="8" t="s">
        <v>80</v>
      </c>
      <c r="J6" s="665" t="s">
        <v>15</v>
      </c>
      <c r="K6" s="173">
        <v>5</v>
      </c>
      <c r="L6" s="7" t="s">
        <v>11</v>
      </c>
      <c r="M6" s="8"/>
      <c r="N6" s="256" t="s">
        <v>12</v>
      </c>
      <c r="O6" s="256" t="s">
        <v>13</v>
      </c>
      <c r="P6" s="255" t="s">
        <v>12</v>
      </c>
      <c r="Q6" s="256" t="s">
        <v>13</v>
      </c>
      <c r="R6" s="13" t="s">
        <v>12</v>
      </c>
      <c r="S6" s="31" t="s">
        <v>183</v>
      </c>
      <c r="T6" s="673" t="s">
        <v>181</v>
      </c>
      <c r="U6" s="674"/>
      <c r="V6" s="659"/>
      <c r="W6" s="134">
        <f>R8</f>
        <v>13.723898177828794</v>
      </c>
      <c r="X6" s="46">
        <v>6</v>
      </c>
      <c r="Y6" s="577">
        <v>0</v>
      </c>
      <c r="Z6" s="376">
        <v>1</v>
      </c>
      <c r="AA6" s="194">
        <f>($AA$5*$H$5*Z6)*(1-Y6)</f>
        <v>5</v>
      </c>
      <c r="AB6" s="194">
        <f>(($AB$5*$H$6*(Z6))+((1-$AB$5)*$K$6*(Z6)))*(1-Y6)</f>
        <v>9</v>
      </c>
      <c r="AC6" s="194">
        <f>(($AC$5*$H$7*(Z6))+((1-$AC$5)*$K$6*(Z6)))*(1-Y6)</f>
        <v>11</v>
      </c>
      <c r="AD6" s="578">
        <f>(($AD$5*$H$7*(Z6))*(1-Y6))</f>
        <v>7</v>
      </c>
      <c r="AE6" s="600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BB6" s="70"/>
      <c r="BC6" s="74"/>
    </row>
    <row r="7" spans="1:50" ht="12.75" customHeight="1">
      <c r="A7" s="7" t="s">
        <v>14</v>
      </c>
      <c r="B7" s="8"/>
      <c r="C7" s="8"/>
      <c r="D7" s="15">
        <v>1.093769198837692</v>
      </c>
      <c r="E7" s="9"/>
      <c r="F7" t="s">
        <v>190</v>
      </c>
      <c r="G7" s="8"/>
      <c r="H7" s="173">
        <f>'Incentive effect'!H7</f>
        <v>35</v>
      </c>
      <c r="I7" s="8" t="s">
        <v>80</v>
      </c>
      <c r="J7" s="665"/>
      <c r="K7" s="29" t="s">
        <v>194</v>
      </c>
      <c r="L7" s="99" t="s">
        <v>16</v>
      </c>
      <c r="M7" s="8"/>
      <c r="N7" s="258" t="s">
        <v>17</v>
      </c>
      <c r="O7" s="258" t="s">
        <v>17</v>
      </c>
      <c r="P7" s="259" t="s">
        <v>17</v>
      </c>
      <c r="Q7" s="258" t="s">
        <v>17</v>
      </c>
      <c r="R7" s="18" t="s">
        <v>17</v>
      </c>
      <c r="S7" s="17" t="s">
        <v>17</v>
      </c>
      <c r="T7" s="10"/>
      <c r="U7" s="678" t="s">
        <v>176</v>
      </c>
      <c r="V7" s="651"/>
      <c r="W7" s="138">
        <f>R8*V17+(R8*(1-V17)*W19)</f>
        <v>57.51851247559893</v>
      </c>
      <c r="X7" s="46">
        <f>X6+1</f>
        <v>7</v>
      </c>
      <c r="Y7" s="579">
        <f>AVERAGE(R26:R28)</f>
        <v>0.08866666666666667</v>
      </c>
      <c r="Z7" s="580">
        <v>0.991283</v>
      </c>
      <c r="AA7" s="26">
        <f>(AA5*$H$5*$Z7)*(1-$Y7)</f>
        <v>4.516946203333333</v>
      </c>
      <c r="AB7" s="26">
        <f>(($AB$5*$H$6*(Z7))+((1-$AB$5)*$K$6*(Z7)))*(1-Y7)</f>
        <v>8.130503166</v>
      </c>
      <c r="AC7" s="26">
        <f>(($AC$5*$H$7*(Z7))+((1-$AC$5)*$K$6*(Z7)))*(1-Y7)</f>
        <v>9.937281647333334</v>
      </c>
      <c r="AD7" s="166">
        <f>($AD$5*$H$7*(Z7))*(1-Y7)</f>
        <v>6.323724684666667</v>
      </c>
      <c r="AE7" s="600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</row>
    <row r="8" spans="1:50" ht="12.75" customHeight="1">
      <c r="A8" s="19" t="s">
        <v>18</v>
      </c>
      <c r="B8" s="8"/>
      <c r="C8" s="8"/>
      <c r="D8" s="8"/>
      <c r="E8" s="20">
        <v>0.395</v>
      </c>
      <c r="F8" s="666" t="s">
        <v>191</v>
      </c>
      <c r="G8" s="667"/>
      <c r="H8" s="667"/>
      <c r="I8" s="103">
        <f>'Incentive effect'!I8</f>
        <v>0.1176716917922948</v>
      </c>
      <c r="K8" s="652" t="s">
        <v>205</v>
      </c>
      <c r="L8" s="99" t="s">
        <v>21</v>
      </c>
      <c r="M8" s="12"/>
      <c r="N8" s="260">
        <f>('Incentive effect'!N8)</f>
        <v>63.79032839430799</v>
      </c>
      <c r="O8" s="279">
        <f>'Incentive effect'!$O$8*$AA$8</f>
        <v>6.5889518192273275</v>
      </c>
      <c r="P8" s="261">
        <f>('Incentive effect'!P8)</f>
        <v>3.7710585959153162</v>
      </c>
      <c r="Q8" s="262"/>
      <c r="R8" s="119">
        <f>('Incentive effect'!R8)</f>
        <v>13.723898177828794</v>
      </c>
      <c r="S8" s="8"/>
      <c r="T8" s="13"/>
      <c r="U8" s="298" t="s">
        <v>221</v>
      </c>
      <c r="V8" s="14" t="s">
        <v>174</v>
      </c>
      <c r="W8" s="134" t="s">
        <v>232</v>
      </c>
      <c r="X8" s="46">
        <f aca="true" t="shared" si="0" ref="X8:X32">X7+1</f>
        <v>8</v>
      </c>
      <c r="Y8" s="86" t="s">
        <v>211</v>
      </c>
      <c r="Z8" s="221">
        <v>1.055258</v>
      </c>
      <c r="AA8" s="144">
        <f>AA7/$AA$6</f>
        <v>0.9033892406666666</v>
      </c>
      <c r="AB8" s="144">
        <f>AB7/$AB$6</f>
        <v>0.9033892406666667</v>
      </c>
      <c r="AC8" s="144">
        <f>AC7/$AC$6</f>
        <v>0.9033892406666667</v>
      </c>
      <c r="AD8" s="581">
        <f>AD7/$AD$6</f>
        <v>0.9033892406666667</v>
      </c>
      <c r="AE8" s="600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</row>
    <row r="9" spans="1:50" ht="12.75" customHeight="1">
      <c r="A9" s="7" t="s">
        <v>22</v>
      </c>
      <c r="B9" s="8"/>
      <c r="C9" s="8"/>
      <c r="D9" s="609"/>
      <c r="E9" s="9" t="s">
        <v>23</v>
      </c>
      <c r="F9" s="682" t="s">
        <v>192</v>
      </c>
      <c r="G9" s="668"/>
      <c r="H9" s="668"/>
      <c r="I9" s="103">
        <f>'Incentive effect'!I9</f>
        <v>0.7844488188976377</v>
      </c>
      <c r="K9" s="653"/>
      <c r="L9" s="99" t="s">
        <v>26</v>
      </c>
      <c r="M9" s="30">
        <f>'Incentive effect'!M9</f>
        <v>0.3333333333333333</v>
      </c>
      <c r="N9" s="279"/>
      <c r="O9" s="280">
        <f>$N$8+$O$8</f>
        <v>70.37928021353532</v>
      </c>
      <c r="P9" s="281"/>
      <c r="Q9" s="282">
        <f>'Incentive effect'!$Q$9*$AB$8</f>
        <v>0.35844564944587365</v>
      </c>
      <c r="R9" s="8"/>
      <c r="S9" s="26">
        <f>'Incentive effect'!S9*(AC8*(1-V17)+V17*AC10)</f>
        <v>1.3106665886642206</v>
      </c>
      <c r="T9" s="136">
        <f>'Incentive effect'!T9*(AC8*(1-V17)+V17*AC10)</f>
        <v>0.29469856022049284</v>
      </c>
      <c r="U9" s="328">
        <f>'Incentive effect'!U9*AC12</f>
        <v>1.9237619289782968</v>
      </c>
      <c r="V9" s="227">
        <f>'Incentive effect'!V9*AD12</f>
        <v>1.296852387518009</v>
      </c>
      <c r="W9" s="138">
        <f>U9*V17+T9</f>
        <v>0.4972377516940415</v>
      </c>
      <c r="X9" s="46">
        <f t="shared" si="0"/>
        <v>9</v>
      </c>
      <c r="Y9" s="582">
        <f>AVERAGE(R26:R31)</f>
        <v>0.04761666666666667</v>
      </c>
      <c r="Z9" s="580">
        <v>0.991283</v>
      </c>
      <c r="AA9" s="26">
        <f>($AA$5*$H$5*$Z$9)*(1-Y9)</f>
        <v>4.720407039083334</v>
      </c>
      <c r="AB9" s="26">
        <f>(($AB$5*$H$6*(Z9))+((1-$AB$5)*$K$6*(Z9)))*(1-Y9)</f>
        <v>8.496732670350001</v>
      </c>
      <c r="AC9" s="26">
        <f>(($AC$5*$H$7*(Z9))+((1-$AC$5)*$K$6*(Z9)))*(1-Y9)</f>
        <v>10.384895485983334</v>
      </c>
      <c r="AD9" s="166">
        <f>($AD$5*$H$7*(Z9))*(1-Y9)</f>
        <v>6.6085698547166665</v>
      </c>
      <c r="AE9" s="601">
        <f>AVERAGE($R$26:$R$45)</f>
        <v>0.017635000000000005</v>
      </c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</row>
    <row r="10" spans="1:50" ht="12.75" customHeight="1">
      <c r="A10" s="7" t="s">
        <v>27</v>
      </c>
      <c r="B10" s="8"/>
      <c r="C10" s="8"/>
      <c r="D10" s="609">
        <v>0</v>
      </c>
      <c r="E10" s="9" t="s">
        <v>23</v>
      </c>
      <c r="F10" s="104" t="s">
        <v>193</v>
      </c>
      <c r="G10" s="147"/>
      <c r="I10" s="103">
        <f>'Incentive effect'!I10</f>
        <v>0.5</v>
      </c>
      <c r="K10" s="329">
        <f>'Incentive effect'!K10</f>
        <v>0.4</v>
      </c>
      <c r="L10" s="99" t="s">
        <v>29</v>
      </c>
      <c r="M10" s="30">
        <f>'Incentive effect'!M10</f>
        <v>0.2</v>
      </c>
      <c r="N10" s="262"/>
      <c r="O10" s="263"/>
      <c r="P10" s="283"/>
      <c r="Q10" s="284">
        <f>$P$8+$Q$9</f>
        <v>4.12950424536119</v>
      </c>
      <c r="R10" s="291"/>
      <c r="S10" s="292">
        <f>$R$8+S9</f>
        <v>15.034564766493014</v>
      </c>
      <c r="T10" s="183">
        <f>$R$8+S9+T9</f>
        <v>15.329263326713507</v>
      </c>
      <c r="U10" s="296">
        <f>$R$8+U9</f>
        <v>15.647660106807091</v>
      </c>
      <c r="V10" s="158">
        <f>$R$8+V9</f>
        <v>15.020750565346802</v>
      </c>
      <c r="W10" s="348">
        <f>U9*V17+(1-V17)*V9</f>
        <v>1.3628552279639965</v>
      </c>
      <c r="X10" s="46">
        <f t="shared" si="0"/>
        <v>10</v>
      </c>
      <c r="Y10" s="86" t="s">
        <v>212</v>
      </c>
      <c r="Z10" s="221">
        <v>1.055258</v>
      </c>
      <c r="AA10" s="144">
        <f>AA9/$AA$6</f>
        <v>0.9440814078166667</v>
      </c>
      <c r="AB10" s="144">
        <f>AB9/$AB$6</f>
        <v>0.9440814078166668</v>
      </c>
      <c r="AC10" s="144">
        <f>AC9/$AC$6</f>
        <v>0.9440814078166667</v>
      </c>
      <c r="AD10" s="581">
        <f>AD9/$AD$6</f>
        <v>0.9440814078166666</v>
      </c>
      <c r="AE10" s="600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</row>
    <row r="11" spans="1:50" ht="12.75" customHeight="1">
      <c r="A11" s="7" t="s">
        <v>30</v>
      </c>
      <c r="B11" s="8"/>
      <c r="C11" s="27">
        <f>1/6</f>
        <v>0.16666666666666666</v>
      </c>
      <c r="D11" s="16" t="s">
        <v>31</v>
      </c>
      <c r="E11" s="28">
        <v>0</v>
      </c>
      <c r="F11" s="10" t="s">
        <v>19</v>
      </c>
      <c r="G11" s="8"/>
      <c r="H11" s="8"/>
      <c r="I11" s="12">
        <v>8</v>
      </c>
      <c r="J11" s="21" t="s">
        <v>20</v>
      </c>
      <c r="K11" s="8"/>
      <c r="L11" s="99" t="s">
        <v>33</v>
      </c>
      <c r="M11" s="12"/>
      <c r="N11" s="260">
        <f>N8*M9</f>
        <v>21.263442798102663</v>
      </c>
      <c r="O11" s="260">
        <f>O9*M9</f>
        <v>23.45976007117844</v>
      </c>
      <c r="P11" s="261">
        <f>P8*$M$10</f>
        <v>0.7542117191830633</v>
      </c>
      <c r="Q11" s="280">
        <f>Q10*$M$10</f>
        <v>0.825900849072238</v>
      </c>
      <c r="R11" s="276">
        <f>R8*$M$10</f>
        <v>2.744779635565759</v>
      </c>
      <c r="S11" s="292">
        <f>S10*$M$10</f>
        <v>3.006912953298603</v>
      </c>
      <c r="T11" s="183">
        <f>T10*$M$10</f>
        <v>3.0658526653427014</v>
      </c>
      <c r="U11" s="296">
        <f>U10*$M$10</f>
        <v>3.1295320213614186</v>
      </c>
      <c r="V11" s="158">
        <f>V10*$M$10</f>
        <v>3.0041501130693606</v>
      </c>
      <c r="W11" s="138">
        <f>V9</f>
        <v>1.296852387518009</v>
      </c>
      <c r="X11" s="46">
        <f t="shared" si="0"/>
        <v>11</v>
      </c>
      <c r="Y11" s="583">
        <f>AVERAGE(R32:R45)</f>
        <v>0.004785714285714285</v>
      </c>
      <c r="Z11" s="580">
        <v>0.991283</v>
      </c>
      <c r="AA11" s="26">
        <f>($AA$5*$H$5*$Z$11)*(1-Y11)</f>
        <v>4.932695013928571</v>
      </c>
      <c r="AB11" s="26">
        <f>(($AB$5*$H$6*(Z11))+((1-$AB$5)*$K$6*(Z11)))*(1-Y11)</f>
        <v>8.878851025071429</v>
      </c>
      <c r="AC11" s="26">
        <f>(($AC$5*$H$7*(Z11))+((1-$AC$5)*$K$6*(Z11)))*(1-Y11)</f>
        <v>10.851929030642857</v>
      </c>
      <c r="AD11" s="166">
        <f>($AD$5*$H$7*(Z11))*(1-Y11)</f>
        <v>6.9057730195</v>
      </c>
      <c r="AE11" s="600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</row>
    <row r="12" spans="1:50" ht="12.75" customHeight="1">
      <c r="A12" s="7" t="s">
        <v>34</v>
      </c>
      <c r="B12" s="8"/>
      <c r="C12" s="30">
        <v>0.07</v>
      </c>
      <c r="D12" s="16" t="s">
        <v>35</v>
      </c>
      <c r="E12" s="31">
        <v>6</v>
      </c>
      <c r="F12" s="10" t="s">
        <v>24</v>
      </c>
      <c r="G12" s="8"/>
      <c r="H12" s="8"/>
      <c r="I12" s="24">
        <f>I11/(C14+I11)</f>
        <v>0.23529411764705882</v>
      </c>
      <c r="J12" s="8"/>
      <c r="K12" s="8"/>
      <c r="L12" s="99" t="s">
        <v>36</v>
      </c>
      <c r="M12" s="12"/>
      <c r="N12" s="266">
        <f>'Incentive effect'!N12</f>
        <v>27.5</v>
      </c>
      <c r="O12" s="266">
        <f>'Incentive effect'!O12</f>
        <v>27.5</v>
      </c>
      <c r="P12" s="266">
        <f>'Incentive effect'!P12</f>
        <v>31.7</v>
      </c>
      <c r="Q12" s="266">
        <f>'Incentive effect'!Q12</f>
        <v>31.7</v>
      </c>
      <c r="R12" s="293">
        <f>'Incentive effect'!R12</f>
        <v>90.3</v>
      </c>
      <c r="S12" s="294">
        <f>'Incentive effect'!S12</f>
        <v>90.3</v>
      </c>
      <c r="T12" s="51">
        <f>'Incentive effect'!T12</f>
        <v>90.3</v>
      </c>
      <c r="U12" s="294">
        <f>'Incentive effect'!U12</f>
        <v>90.3</v>
      </c>
      <c r="V12" s="172">
        <f>'Incentive effect'!V12</f>
        <v>90.3</v>
      </c>
      <c r="W12" s="248"/>
      <c r="X12" s="46">
        <f t="shared" si="0"/>
        <v>12</v>
      </c>
      <c r="Y12" s="86" t="s">
        <v>237</v>
      </c>
      <c r="Z12" s="221">
        <v>1.055258</v>
      </c>
      <c r="AA12" s="144">
        <f>AA11/$AA$6</f>
        <v>0.9865390027857142</v>
      </c>
      <c r="AB12" s="144">
        <f>AB11/$AB$6</f>
        <v>0.9865390027857143</v>
      </c>
      <c r="AC12" s="144">
        <f>AC11/$AC$6</f>
        <v>0.9865390027857143</v>
      </c>
      <c r="AD12" s="581">
        <f>AD11/$AD$6</f>
        <v>0.9865390027857143</v>
      </c>
      <c r="AE12" s="600"/>
      <c r="AF12" s="287"/>
      <c r="AG12" s="702" t="s">
        <v>284</v>
      </c>
      <c r="AH12" s="702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</row>
    <row r="13" spans="1:50" ht="12.75" customHeight="1">
      <c r="A13" s="19" t="s">
        <v>37</v>
      </c>
      <c r="B13" s="8"/>
      <c r="C13" s="15">
        <f>(1/(1+C12)^E12)</f>
        <v>0.6663422238165125</v>
      </c>
      <c r="D13" s="8"/>
      <c r="E13" s="9"/>
      <c r="F13" s="10" t="s">
        <v>28</v>
      </c>
      <c r="G13" s="8"/>
      <c r="H13" s="8"/>
      <c r="I13" s="8"/>
      <c r="J13" s="26">
        <f>'Incentive effect'!J13</f>
        <v>13.910055604292817</v>
      </c>
      <c r="K13" s="181">
        <f>ROUND(J13,0)</f>
        <v>14</v>
      </c>
      <c r="L13" s="19" t="s">
        <v>38</v>
      </c>
      <c r="M13" s="8"/>
      <c r="N13" s="263">
        <f>'Incentive effect'!N13</f>
        <v>2.0075</v>
      </c>
      <c r="O13" s="263">
        <f>'Incentive effect'!O13</f>
        <v>2.0075</v>
      </c>
      <c r="P13" s="263">
        <f>'Incentive effect'!P13</f>
        <v>2.3086249999999997</v>
      </c>
      <c r="Q13" s="263">
        <f>'Incentive effect'!Q13</f>
        <v>2.3086249999999997</v>
      </c>
      <c r="R13" s="295">
        <f>'Incentive effect'!R13</f>
        <v>6.3145</v>
      </c>
      <c r="S13" s="296">
        <f>'Incentive effect'!S13</f>
        <v>6.3145</v>
      </c>
      <c r="T13" s="10"/>
      <c r="U13" s="8"/>
      <c r="V13" s="161"/>
      <c r="W13" s="248"/>
      <c r="X13" s="46">
        <f t="shared" si="0"/>
        <v>13</v>
      </c>
      <c r="Y13" s="584">
        <f>AVERAGE(S26:S31)</f>
        <v>0.22678333333333336</v>
      </c>
      <c r="Z13" s="580">
        <v>0.93164</v>
      </c>
      <c r="AA13" s="26">
        <f>($AA$5*$H$5*Z13)*(1-Y13)</f>
        <v>3.6017978766666667</v>
      </c>
      <c r="AB13" s="26">
        <f>(($AB$5*$H$6*(Z13))+((1-$AB$5)*$K$6*(Z13)))*(1-Y13)</f>
        <v>6.483236178</v>
      </c>
      <c r="AC13" s="26">
        <f>(($AC$5*$H$7*(Z13))+((1-$AC$5)*$K$6*(Z13)))*(1-Y13)</f>
        <v>7.923955328666667</v>
      </c>
      <c r="AD13" s="166">
        <f>($AD$5*$H$7*(Z13))*(1-Y13)</f>
        <v>5.042517027333334</v>
      </c>
      <c r="AE13" s="601">
        <f>AVERAGE($S$26:$S$45)</f>
        <v>0.122785</v>
      </c>
      <c r="AF13" s="607">
        <f>$AA$5*$H$5*(Z13/$Z$9)*(1-(Y13-$Y$9))</f>
        <v>3.857229301151471</v>
      </c>
      <c r="AG13" s="607">
        <f>AF13-AA13</f>
        <v>0.2554314244848044</v>
      </c>
      <c r="AH13" s="608">
        <f>AG13/AA13</f>
        <v>0.07091775641813551</v>
      </c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</row>
    <row r="14" spans="1:50" ht="12.75" customHeight="1">
      <c r="A14" s="7" t="s">
        <v>39</v>
      </c>
      <c r="B14" s="8"/>
      <c r="C14" s="8">
        <v>26</v>
      </c>
      <c r="D14" s="8" t="s">
        <v>40</v>
      </c>
      <c r="E14" s="9"/>
      <c r="F14" s="10" t="s">
        <v>32</v>
      </c>
      <c r="G14" s="8"/>
      <c r="H14" s="8"/>
      <c r="I14" s="8"/>
      <c r="J14" s="29">
        <f>'Incentive effect'!J14</f>
        <v>4.636685201430939</v>
      </c>
      <c r="K14" s="181">
        <f>ROUND(J14,0)</f>
        <v>5</v>
      </c>
      <c r="L14" s="7" t="s">
        <v>42</v>
      </c>
      <c r="M14" s="8"/>
      <c r="N14" s="265"/>
      <c r="O14" s="266">
        <v>2.5</v>
      </c>
      <c r="P14" s="265"/>
      <c r="Q14" s="256">
        <f>O14</f>
        <v>2.5</v>
      </c>
      <c r="R14" s="278"/>
      <c r="S14" s="291"/>
      <c r="T14" s="165">
        <f>(T10-T11)*$O$15</f>
        <v>8.175607107580536</v>
      </c>
      <c r="U14" s="8"/>
      <c r="V14" s="330">
        <f>(V10-V11)*$O$15</f>
        <v>8.01106696818496</v>
      </c>
      <c r="X14" s="46">
        <f t="shared" si="0"/>
        <v>14</v>
      </c>
      <c r="Y14" s="86" t="s">
        <v>219</v>
      </c>
      <c r="Z14" s="221">
        <v>1.112814</v>
      </c>
      <c r="AA14" s="144">
        <f>AA13/$AA$6</f>
        <v>0.7203595753333334</v>
      </c>
      <c r="AB14" s="144">
        <f>AB13/$AB$6</f>
        <v>0.7203595753333334</v>
      </c>
      <c r="AC14" s="144">
        <f>AC13/$AC$6</f>
        <v>0.7203595753333333</v>
      </c>
      <c r="AD14" s="581">
        <f>AD13/$AD$6</f>
        <v>0.7203595753333334</v>
      </c>
      <c r="AE14" s="600"/>
      <c r="AF14" s="608">
        <f>AF13/$AA$6</f>
        <v>0.7714458602302943</v>
      </c>
      <c r="AG14" s="607">
        <f>AF14-AA14</f>
        <v>0.051086284896960876</v>
      </c>
      <c r="AH14" s="608">
        <f>AG14/AA14</f>
        <v>0.07091775641813551</v>
      </c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</row>
    <row r="15" spans="1:50" ht="12.75" customHeight="1">
      <c r="A15" s="7" t="s">
        <v>43</v>
      </c>
      <c r="B15" s="8"/>
      <c r="C15" s="8">
        <v>5.62</v>
      </c>
      <c r="D15" s="8" t="s">
        <v>40</v>
      </c>
      <c r="E15" s="9"/>
      <c r="F15" s="10" t="s">
        <v>41</v>
      </c>
      <c r="G15" s="8"/>
      <c r="H15" s="8"/>
      <c r="I15" s="15"/>
      <c r="J15" s="26">
        <f>'Incentive effect'!J15</f>
        <v>9.273370402861877</v>
      </c>
      <c r="K15" s="181">
        <f>ROUND(J15,0)</f>
        <v>9</v>
      </c>
      <c r="L15" s="182" t="s">
        <v>44</v>
      </c>
      <c r="M15" s="8"/>
      <c r="N15" s="265"/>
      <c r="O15" s="267">
        <f>2/3</f>
        <v>0.6666666666666666</v>
      </c>
      <c r="P15" s="268">
        <f>(Q10-Q11)*$O$15</f>
        <v>2.202402264192634</v>
      </c>
      <c r="Q15" s="256">
        <f>ROUND(P15,0)</f>
        <v>2</v>
      </c>
      <c r="R15" s="297">
        <f>(S10-S11)*$O$15</f>
        <v>8.018434542129608</v>
      </c>
      <c r="S15" s="298">
        <f>ROUND(R15,0)</f>
        <v>8</v>
      </c>
      <c r="T15" s="23">
        <f>ROUND(T14,0)</f>
        <v>8</v>
      </c>
      <c r="U15" s="8"/>
      <c r="V15" s="331">
        <f>ROUND(V14,0)</f>
        <v>8</v>
      </c>
      <c r="X15" s="46">
        <f t="shared" si="0"/>
        <v>15</v>
      </c>
      <c r="Y15" s="583">
        <f>AVERAGE(S32:S45)</f>
        <v>0.07821428571428571</v>
      </c>
      <c r="Z15" s="580">
        <v>0.93164</v>
      </c>
      <c r="AA15" s="26">
        <f>($AA$5*$H$5*Z15)*(1-Y15)</f>
        <v>4.293862214285714</v>
      </c>
      <c r="AB15" s="26">
        <f>(($AB$5*$H$6*(Z15))+((1-$AB$5)*$K$6*(Z15)))*(1-Y15)</f>
        <v>7.728951985714286</v>
      </c>
      <c r="AC15" s="26">
        <f>(($AC$5*$H$7*(Z15))+((1-$AC$5)*$K$6*(Z15)))*(1-Y15)</f>
        <v>9.446496871428572</v>
      </c>
      <c r="AD15" s="166">
        <f>($AD$5*$H$7*(Z15))*(1-Y15)</f>
        <v>6.0114071000000004</v>
      </c>
      <c r="AE15" s="600"/>
      <c r="AF15" s="607">
        <f>$AA$5*$H$5*(Z15/$Z$11)*(1-(Y15-$Y$11))</f>
        <v>4.354109803730548</v>
      </c>
      <c r="AG15" s="607">
        <f aca="true" t="shared" si="1" ref="AG15:AG32">AF15-AA15</f>
        <v>0.06024758944483377</v>
      </c>
      <c r="AH15" s="608">
        <f aca="true" t="shared" si="2" ref="AH15:AH32">AG15/AA15</f>
        <v>0.0140310951861449</v>
      </c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</row>
    <row r="16" spans="1:50" ht="12.75" customHeight="1" thickBot="1">
      <c r="A16" s="37" t="s">
        <v>45</v>
      </c>
      <c r="B16" s="38"/>
      <c r="C16" s="39">
        <f>(1-(C15/(C14+C15)))</f>
        <v>0.8222643896268185</v>
      </c>
      <c r="D16" s="38"/>
      <c r="E16" s="40"/>
      <c r="F16" s="41" t="s">
        <v>46</v>
      </c>
      <c r="G16" s="38"/>
      <c r="H16" s="38"/>
      <c r="I16" s="38"/>
      <c r="J16" s="42">
        <v>2</v>
      </c>
      <c r="K16" s="38" t="s">
        <v>47</v>
      </c>
      <c r="L16" s="37" t="s">
        <v>48</v>
      </c>
      <c r="M16" s="38"/>
      <c r="N16" s="269"/>
      <c r="O16" s="269"/>
      <c r="P16" s="269"/>
      <c r="Q16" s="270">
        <v>1</v>
      </c>
      <c r="R16" s="41"/>
      <c r="S16" s="57"/>
      <c r="T16" s="38"/>
      <c r="U16" s="38"/>
      <c r="V16" s="102"/>
      <c r="X16" s="46">
        <f t="shared" si="0"/>
        <v>16</v>
      </c>
      <c r="Y16" s="86" t="s">
        <v>238</v>
      </c>
      <c r="Z16" s="221">
        <v>1.112814</v>
      </c>
      <c r="AA16" s="290">
        <f>AA15/$AA$6</f>
        <v>0.8587724428571428</v>
      </c>
      <c r="AB16" s="290">
        <f>AB15/$AB$6</f>
        <v>0.8587724428571428</v>
      </c>
      <c r="AC16" s="290">
        <f>AC15/$AC$6</f>
        <v>0.8587724428571429</v>
      </c>
      <c r="AD16" s="585">
        <f>AD15/$AD$6</f>
        <v>0.8587724428571429</v>
      </c>
      <c r="AE16" s="600"/>
      <c r="AF16" s="608">
        <f>AF15/$AA$6</f>
        <v>0.8708219607461096</v>
      </c>
      <c r="AG16" s="607">
        <f t="shared" si="1"/>
        <v>0.012049517888966799</v>
      </c>
      <c r="AH16" s="608">
        <f t="shared" si="2"/>
        <v>0.014031095186144954</v>
      </c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</row>
    <row r="17" spans="1:50" ht="12.75" customHeight="1">
      <c r="A17" s="43"/>
      <c r="B17" s="43"/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205">
        <f>N8+P8+R8</f>
        <v>81.2852851680521</v>
      </c>
      <c r="S17" s="205">
        <f>O9+Q10+S10-R17</f>
        <v>8.258064057337435</v>
      </c>
      <c r="T17" s="246" t="s">
        <v>213</v>
      </c>
      <c r="U17" s="247">
        <f>1.66/(14.28+1.66)</f>
        <v>0.1041405269761606</v>
      </c>
      <c r="V17" s="247">
        <f>I8/(1+I8)</f>
        <v>0.10528287748220305</v>
      </c>
      <c r="X17" s="46">
        <f t="shared" si="0"/>
        <v>17</v>
      </c>
      <c r="Y17" s="586">
        <f>AVERAGE(T26:T31)</f>
        <v>0.38221666666666665</v>
      </c>
      <c r="Z17" s="580">
        <v>0.872354</v>
      </c>
      <c r="AA17" s="97">
        <f>($AA$5*$H$5*Z17)*(1-Y17)</f>
        <v>2.6946288098333335</v>
      </c>
      <c r="AB17" s="97">
        <f>(($AB$5*$H$6*(Z17))+((1-$AB$5)*$K$6*(Z17)))*(1-Y17)</f>
        <v>4.8503318577000005</v>
      </c>
      <c r="AC17" s="26">
        <f>(($AC$5*$H$7*(Z17))+((1-$AC$5)*$K$6*(Z17)))*(1-Y17)</f>
        <v>5.928183381633334</v>
      </c>
      <c r="AD17" s="166">
        <f>($AD$5*$H$7*(Z17))*(1-Y17)</f>
        <v>3.772480333766667</v>
      </c>
      <c r="AE17" s="601">
        <f>AVERAGE($T$26:$T$45)</f>
        <v>0.23868</v>
      </c>
      <c r="AF17" s="607">
        <f>$AA$5*$H$5*(Z17/$Z$9)*(1-(Y17-$Y$9))</f>
        <v>2.9278437721619355</v>
      </c>
      <c r="AG17" s="607">
        <f t="shared" si="1"/>
        <v>0.23321496232860195</v>
      </c>
      <c r="AH17" s="608">
        <f t="shared" si="2"/>
        <v>0.08654808464807685</v>
      </c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</row>
    <row r="18" spans="1:50" ht="15" customHeight="1">
      <c r="A18" s="8"/>
      <c r="B18" s="656" t="s">
        <v>49</v>
      </c>
      <c r="C18" s="657"/>
      <c r="D18" s="657"/>
      <c r="E18" s="657"/>
      <c r="F18" s="658"/>
      <c r="G18" s="656" t="s">
        <v>50</v>
      </c>
      <c r="H18" s="657"/>
      <c r="I18" s="657"/>
      <c r="J18" s="657"/>
      <c r="K18" s="657"/>
      <c r="L18" s="657"/>
      <c r="M18" s="657"/>
      <c r="N18" s="657"/>
      <c r="O18" s="657"/>
      <c r="P18" s="658"/>
      <c r="Q18" s="46">
        <v>1.025</v>
      </c>
      <c r="R18" s="365">
        <v>3.562625072589438</v>
      </c>
      <c r="S18" s="366">
        <v>3.562625072589438</v>
      </c>
      <c r="T18" s="366">
        <v>3.562625072589438</v>
      </c>
      <c r="U18" s="367">
        <v>3.562625072589438</v>
      </c>
      <c r="V18" s="366">
        <v>3.117296938515758</v>
      </c>
      <c r="W18" s="369">
        <v>3.117296938515758</v>
      </c>
      <c r="X18" s="46">
        <f t="shared" si="0"/>
        <v>18</v>
      </c>
      <c r="Y18" s="86" t="s">
        <v>218</v>
      </c>
      <c r="Z18" s="222">
        <v>1.150236</v>
      </c>
      <c r="AA18" s="144">
        <f>AA17/$AA$6</f>
        <v>0.5389257619666667</v>
      </c>
      <c r="AB18" s="144">
        <f>AB17/$AB$6</f>
        <v>0.5389257619666667</v>
      </c>
      <c r="AC18" s="144">
        <f>AC17/$AC$6</f>
        <v>0.5389257619666666</v>
      </c>
      <c r="AD18" s="581">
        <f>AD17/$AD$6</f>
        <v>0.5389257619666667</v>
      </c>
      <c r="AE18" s="600"/>
      <c r="AF18" s="608">
        <f>AF17/$AA$6</f>
        <v>0.5855687544323871</v>
      </c>
      <c r="AG18" s="607">
        <f t="shared" si="1"/>
        <v>0.046642992465720345</v>
      </c>
      <c r="AH18" s="608">
        <f t="shared" si="2"/>
        <v>0.08654808464807677</v>
      </c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</row>
    <row r="19" spans="1:50" ht="12.75" customHeight="1">
      <c r="A19" s="46" t="s">
        <v>51</v>
      </c>
      <c r="B19" s="13" t="s">
        <v>52</v>
      </c>
      <c r="C19" s="12" t="s">
        <v>53</v>
      </c>
      <c r="D19" s="12" t="s">
        <v>54</v>
      </c>
      <c r="E19" s="12" t="s">
        <v>55</v>
      </c>
      <c r="F19" s="31" t="s">
        <v>56</v>
      </c>
      <c r="G19" s="13" t="s">
        <v>57</v>
      </c>
      <c r="H19" s="12" t="s">
        <v>58</v>
      </c>
      <c r="I19" s="12" t="s">
        <v>59</v>
      </c>
      <c r="J19" s="12" t="s">
        <v>60</v>
      </c>
      <c r="K19" s="12" t="s">
        <v>61</v>
      </c>
      <c r="L19" s="12" t="s">
        <v>62</v>
      </c>
      <c r="M19" s="12" t="s">
        <v>63</v>
      </c>
      <c r="N19" s="12" t="s">
        <v>64</v>
      </c>
      <c r="O19" s="12" t="s">
        <v>65</v>
      </c>
      <c r="P19" s="31"/>
      <c r="Q19" s="114" t="s">
        <v>235</v>
      </c>
      <c r="R19" s="370">
        <v>8.419771369472059</v>
      </c>
      <c r="S19" s="371">
        <v>7.822471190746787</v>
      </c>
      <c r="T19" s="372">
        <v>7.1995791244438605</v>
      </c>
      <c r="U19" s="372">
        <v>6.007570071860648</v>
      </c>
      <c r="V19" s="372">
        <v>4.985211910784471</v>
      </c>
      <c r="W19" s="373">
        <v>4.5666251686897645</v>
      </c>
      <c r="X19" s="46">
        <f t="shared" si="0"/>
        <v>19</v>
      </c>
      <c r="Y19" s="583">
        <f>AVERAGE(T32:T45)</f>
        <v>0.17716428571428572</v>
      </c>
      <c r="Z19" s="580">
        <v>0.872354</v>
      </c>
      <c r="AA19" s="26">
        <f>($AA$5*$H$5*Z19)*(1-Y19)</f>
        <v>3.5890201335</v>
      </c>
      <c r="AB19" s="26">
        <f>(($AB$5*$H$6*(Z19))+((1-$AB$5)*$K$6*(Z19)))*(1-Y19)</f>
        <v>6.4602362403</v>
      </c>
      <c r="AC19" s="26">
        <f>(($AC$5*$H$7*(Z19))+((1-$AC$5)*$K$6*(Z19)))*(1-Y19)</f>
        <v>7.8958442937</v>
      </c>
      <c r="AD19" s="166">
        <f>($AD$5*$H$7*(Z19))*(1-Y19)</f>
        <v>5.0246281869</v>
      </c>
      <c r="AE19" s="600"/>
      <c r="AF19" s="607">
        <f>$AA$5*$H$5*(Z19/$Z$11)*(1-(Y19-$Y$11))</f>
        <v>3.641638481140098</v>
      </c>
      <c r="AG19" s="607">
        <f t="shared" si="1"/>
        <v>0.05261834764009787</v>
      </c>
      <c r="AH19" s="608">
        <f t="shared" si="2"/>
        <v>0.014660922949123899</v>
      </c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</row>
    <row r="20" spans="1:50" ht="12.75" customHeight="1">
      <c r="A20" s="47"/>
      <c r="B20" s="48" t="s">
        <v>122</v>
      </c>
      <c r="C20" s="660" t="s">
        <v>124</v>
      </c>
      <c r="D20" s="661"/>
      <c r="E20" s="661"/>
      <c r="F20" s="644"/>
      <c r="G20" s="660" t="s">
        <v>67</v>
      </c>
      <c r="H20" s="661"/>
      <c r="I20" s="20"/>
      <c r="J20" s="13" t="s">
        <v>103</v>
      </c>
      <c r="K20" s="49" t="s">
        <v>68</v>
      </c>
      <c r="L20" s="13" t="s">
        <v>69</v>
      </c>
      <c r="M20" s="660" t="s">
        <v>104</v>
      </c>
      <c r="N20" s="644"/>
      <c r="O20" s="50" t="s">
        <v>105</v>
      </c>
      <c r="P20" s="49"/>
      <c r="Q20" s="51" t="s">
        <v>116</v>
      </c>
      <c r="R20" s="370">
        <v>3.263477274989156</v>
      </c>
      <c r="S20" s="371">
        <v>3.03196557780885</v>
      </c>
      <c r="T20" s="374">
        <v>2.790534544358072</v>
      </c>
      <c r="U20" s="374">
        <v>2.3285155317289385</v>
      </c>
      <c r="V20" s="374">
        <v>1.932252678598618</v>
      </c>
      <c r="W20" s="375">
        <v>1.7700097553061205</v>
      </c>
      <c r="X20" s="46">
        <f t="shared" si="0"/>
        <v>20</v>
      </c>
      <c r="Y20" s="86" t="s">
        <v>239</v>
      </c>
      <c r="Z20" s="222">
        <v>1.150236</v>
      </c>
      <c r="AA20" s="290">
        <f>AA19/$AA$6</f>
        <v>0.7178040267</v>
      </c>
      <c r="AB20" s="290">
        <f>AB19/$AB$6</f>
        <v>0.7178040267000001</v>
      </c>
      <c r="AC20" s="290">
        <f>AC19/$AC$6</f>
        <v>0.7178040267</v>
      </c>
      <c r="AD20" s="585">
        <f>AD19/$AD$6</f>
        <v>0.7178040267</v>
      </c>
      <c r="AE20" s="600"/>
      <c r="AF20" s="608">
        <f>AF19/$AA$6</f>
        <v>0.7283276962280196</v>
      </c>
      <c r="AG20" s="607">
        <f t="shared" si="1"/>
        <v>0.010523669528019641</v>
      </c>
      <c r="AH20" s="608">
        <f t="shared" si="2"/>
        <v>0.014660922949123993</v>
      </c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</row>
    <row r="21" spans="1:50" ht="12.75" customHeight="1">
      <c r="A21" s="47"/>
      <c r="B21" s="51" t="s">
        <v>123</v>
      </c>
      <c r="C21" s="13" t="s">
        <v>70</v>
      </c>
      <c r="D21" s="661" t="s">
        <v>71</v>
      </c>
      <c r="E21" s="661"/>
      <c r="F21" s="31" t="s">
        <v>72</v>
      </c>
      <c r="G21" s="6" t="s">
        <v>73</v>
      </c>
      <c r="H21" s="5"/>
      <c r="I21" s="18" t="s">
        <v>74</v>
      </c>
      <c r="J21" s="18" t="s">
        <v>75</v>
      </c>
      <c r="K21" s="52" t="s">
        <v>66</v>
      </c>
      <c r="L21" s="18" t="s">
        <v>76</v>
      </c>
      <c r="M21" s="6" t="s">
        <v>77</v>
      </c>
      <c r="N21" s="53" t="s">
        <v>72</v>
      </c>
      <c r="O21" s="13" t="s">
        <v>78</v>
      </c>
      <c r="P21" s="49"/>
      <c r="Q21" s="48" t="s">
        <v>117</v>
      </c>
      <c r="R21" s="713" t="s">
        <v>274</v>
      </c>
      <c r="S21" s="714"/>
      <c r="T21" s="714"/>
      <c r="U21" s="714"/>
      <c r="V21" s="714"/>
      <c r="W21" s="715"/>
      <c r="X21" s="46">
        <f t="shared" si="0"/>
        <v>21</v>
      </c>
      <c r="Y21" s="584">
        <f>AVERAGE(U26:U31)</f>
        <v>0.6168333333333332</v>
      </c>
      <c r="Z21" s="580">
        <v>0.755586</v>
      </c>
      <c r="AA21" s="26">
        <f>($AA$5*$H$5*Z21)*(1-Y21)</f>
        <v>1.4475768450000004</v>
      </c>
      <c r="AB21" s="26">
        <f>(($AB$5*$H$6*(Z21))+((1-$AB$5)*$K$6*(Z21)))*(1-Y21)</f>
        <v>2.6056383210000007</v>
      </c>
      <c r="AC21" s="26">
        <f>(($AC$5*$H$7*(Z21))+((1-$AC$5)*$K$6*(Z21)))*(1-Y21)</f>
        <v>3.184669059000001</v>
      </c>
      <c r="AD21" s="166">
        <f>($AD$5*$H$7*(Z21))*(1-Y21)</f>
        <v>2.0266075830000005</v>
      </c>
      <c r="AE21" s="601">
        <f>AVERAGE($U$26:$U$45)</f>
        <v>0.48346999999999996</v>
      </c>
      <c r="AF21" s="607">
        <f>$AA$5*$H$5*(Z21/$Z$9)*(1-(Y21-$Y$9))</f>
        <v>1.6417806806936064</v>
      </c>
      <c r="AG21" s="607">
        <f t="shared" si="1"/>
        <v>0.194203835693606</v>
      </c>
      <c r="AH21" s="608">
        <f t="shared" si="2"/>
        <v>0.13415787656758627</v>
      </c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</row>
    <row r="22" spans="1:50" ht="12.75" customHeight="1" thickBot="1">
      <c r="A22" s="54" t="s">
        <v>79</v>
      </c>
      <c r="B22" s="55" t="s">
        <v>80</v>
      </c>
      <c r="C22" s="56" t="s">
        <v>81</v>
      </c>
      <c r="D22" s="57" t="s">
        <v>81</v>
      </c>
      <c r="E22" s="58" t="s">
        <v>6</v>
      </c>
      <c r="F22" s="59" t="s">
        <v>82</v>
      </c>
      <c r="G22" s="55" t="s">
        <v>83</v>
      </c>
      <c r="H22" s="60" t="s">
        <v>84</v>
      </c>
      <c r="I22" s="61" t="s">
        <v>6</v>
      </c>
      <c r="J22" s="61" t="s">
        <v>81</v>
      </c>
      <c r="K22" s="61" t="s">
        <v>6</v>
      </c>
      <c r="L22" s="59" t="s">
        <v>6</v>
      </c>
      <c r="M22" s="55" t="s">
        <v>6</v>
      </c>
      <c r="N22" s="59" t="s">
        <v>82</v>
      </c>
      <c r="O22" s="59" t="s">
        <v>81</v>
      </c>
      <c r="P22" s="12"/>
      <c r="Q22" s="59" t="s">
        <v>114</v>
      </c>
      <c r="R22" s="288">
        <v>9.34</v>
      </c>
      <c r="S22" s="289">
        <v>7.34</v>
      </c>
      <c r="T22" s="289">
        <v>6.5</v>
      </c>
      <c r="U22" s="289">
        <v>5.34</v>
      </c>
      <c r="V22" s="289">
        <v>4.22</v>
      </c>
      <c r="W22" s="361">
        <v>3.5</v>
      </c>
      <c r="X22" s="46">
        <f t="shared" si="0"/>
        <v>22</v>
      </c>
      <c r="Y22" s="86" t="s">
        <v>224</v>
      </c>
      <c r="Z22" s="221">
        <v>1.247768</v>
      </c>
      <c r="AA22" s="144">
        <f>AA21/$AA$6</f>
        <v>0.2895153690000001</v>
      </c>
      <c r="AB22" s="144">
        <f>AB21/$AB$6</f>
        <v>0.2895153690000001</v>
      </c>
      <c r="AC22" s="144">
        <f>AC21/$AC$6</f>
        <v>0.2895153690000001</v>
      </c>
      <c r="AD22" s="581">
        <f>AD21/$AD$6</f>
        <v>0.2895153690000001</v>
      </c>
      <c r="AE22" s="106"/>
      <c r="AF22" s="608">
        <f>AF21/$AA$6</f>
        <v>0.3283561361387213</v>
      </c>
      <c r="AG22" s="607">
        <f t="shared" si="1"/>
        <v>0.0388407671387212</v>
      </c>
      <c r="AH22" s="608">
        <f t="shared" si="2"/>
        <v>0.13415787656758627</v>
      </c>
      <c r="AI22" s="26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</row>
    <row r="23" spans="1:50" ht="12.75" customHeight="1">
      <c r="A23" s="46">
        <v>2003</v>
      </c>
      <c r="B23" s="62">
        <f>'Incentive effect'!B23</f>
        <v>378.4249</v>
      </c>
      <c r="C23" s="63">
        <f>(R11*R12)</f>
        <v>247.85360109158802</v>
      </c>
      <c r="D23" s="8"/>
      <c r="E23" s="64">
        <f aca="true" t="shared" si="3" ref="E23:E39">D23*$C$16</f>
        <v>0</v>
      </c>
      <c r="F23" s="31">
        <f aca="true" t="shared" si="4" ref="F23:F39">E23/$C$14</f>
        <v>0</v>
      </c>
      <c r="G23" s="23"/>
      <c r="H23" s="67"/>
      <c r="I23" s="34"/>
      <c r="J23" s="65"/>
      <c r="K23" s="65"/>
      <c r="L23" s="67"/>
      <c r="M23" s="67"/>
      <c r="N23" s="68">
        <f>IF(K23&gt;J23,(SUM($J$23:J23)-SUM($K$23:K23))/$K$14,0)</f>
        <v>0</v>
      </c>
      <c r="O23" s="69">
        <f aca="true" t="shared" si="5" ref="O23:O64">L23+M23+$C$15*N23</f>
        <v>0</v>
      </c>
      <c r="P23" s="122"/>
      <c r="Q23" s="149">
        <f>'Incentive effect'!P23/$Q$18</f>
        <v>5.265508809903777</v>
      </c>
      <c r="R23" s="120"/>
      <c r="S23" s="128"/>
      <c r="U23" s="8"/>
      <c r="X23" s="46">
        <f t="shared" si="0"/>
        <v>23</v>
      </c>
      <c r="Y23" s="583">
        <f>AVERAGE(U32:U45)</f>
        <v>0.4263142857142857</v>
      </c>
      <c r="Z23" s="580">
        <v>0.755586</v>
      </c>
      <c r="AA23" s="26">
        <f>($AA$5*$H$5*Z23)*(1-Y23)</f>
        <v>2.167344470571429</v>
      </c>
      <c r="AB23" s="26">
        <f>(($AB$5*$H$6*(Z23))+((1-$AB$5)*$K$6*(Z23)))*(1-Y23)</f>
        <v>3.901220047028572</v>
      </c>
      <c r="AC23" s="26">
        <f>(($AC$5*$H$7*(Z23))+((1-$AC$5)*$K$6*(Z23)))*(1-Y23)</f>
        <v>4.768157835257144</v>
      </c>
      <c r="AD23" s="166">
        <f>($AD$5*$H$7*(Z23))*(1-Y23)</f>
        <v>3.0342822588000002</v>
      </c>
      <c r="AE23" s="125"/>
      <c r="AF23" s="607">
        <f>$AA$5*$H$5*(Z23/$Z$11)*(1-(Y23-$Y$11))</f>
        <v>2.204642432224558</v>
      </c>
      <c r="AG23" s="607">
        <f t="shared" si="1"/>
        <v>0.037297961653129263</v>
      </c>
      <c r="AH23" s="608">
        <f t="shared" si="2"/>
        <v>0.017209060285324883</v>
      </c>
      <c r="AI23" s="574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</row>
    <row r="24" spans="1:50" ht="12.75" customHeight="1">
      <c r="A24" s="46">
        <v>2004</v>
      </c>
      <c r="B24" s="62">
        <f>'Incentive effect'!B24</f>
        <v>365.0443</v>
      </c>
      <c r="C24" s="72">
        <f>C23</f>
        <v>247.85360109158802</v>
      </c>
      <c r="D24" s="22">
        <f>(SUM($C$23:C23)/$K$13)</f>
        <v>17.703828649399146</v>
      </c>
      <c r="E24" s="73">
        <f t="shared" si="3"/>
        <v>14.55722785845597</v>
      </c>
      <c r="F24" s="67">
        <f t="shared" si="4"/>
        <v>0.5598933791713835</v>
      </c>
      <c r="G24" s="23"/>
      <c r="H24" s="67"/>
      <c r="I24" s="23"/>
      <c r="J24" s="65"/>
      <c r="K24" s="65"/>
      <c r="L24" s="67"/>
      <c r="M24" s="67"/>
      <c r="N24" s="67">
        <f aca="true" t="shared" si="6" ref="N24:N65">(L24+M24)/$C$14</f>
        <v>0</v>
      </c>
      <c r="O24" s="69">
        <f t="shared" si="5"/>
        <v>0</v>
      </c>
      <c r="P24" s="122"/>
      <c r="Q24" s="149">
        <f>'Incentive effect'!P24/$Q$18</f>
        <v>5.668291994420499</v>
      </c>
      <c r="R24" s="120"/>
      <c r="S24" s="128"/>
      <c r="T24" s="107"/>
      <c r="U24" s="8"/>
      <c r="X24" s="46">
        <f t="shared" si="0"/>
        <v>24</v>
      </c>
      <c r="Y24" s="86" t="s">
        <v>240</v>
      </c>
      <c r="Z24" s="221">
        <v>1.247768</v>
      </c>
      <c r="AA24" s="290">
        <f>AA23/$AA$6</f>
        <v>0.4334688941142858</v>
      </c>
      <c r="AB24" s="290">
        <f>AB23/$AB$6</f>
        <v>0.4334688941142858</v>
      </c>
      <c r="AC24" s="290">
        <f>AC23/$AC$6</f>
        <v>0.4334688941142858</v>
      </c>
      <c r="AD24" s="585">
        <f>AD23/$AD$6</f>
        <v>0.43346889411428574</v>
      </c>
      <c r="AE24" s="602"/>
      <c r="AF24" s="608">
        <f>AF23/$AA$6</f>
        <v>0.4409284864449116</v>
      </c>
      <c r="AG24" s="607">
        <f t="shared" si="1"/>
        <v>0.007459592330625819</v>
      </c>
      <c r="AH24" s="608">
        <f t="shared" si="2"/>
        <v>0.017209060285324807</v>
      </c>
      <c r="AI24" s="574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</row>
    <row r="25" spans="1:50" ht="12.75" customHeight="1">
      <c r="A25" s="46">
        <v>2005</v>
      </c>
      <c r="B25" s="62">
        <f>'Incentive effect'!B25</f>
        <v>331.7466</v>
      </c>
      <c r="C25" s="72">
        <f aca="true" t="shared" si="7" ref="C25:C39">C24</f>
        <v>247.85360109158802</v>
      </c>
      <c r="D25" s="22">
        <f>(SUM($C$23:C24)/$K$13)</f>
        <v>35.40765729879829</v>
      </c>
      <c r="E25" s="73">
        <f t="shared" si="3"/>
        <v>29.11445571691194</v>
      </c>
      <c r="F25" s="67">
        <f t="shared" si="4"/>
        <v>1.119786758342767</v>
      </c>
      <c r="G25" s="23"/>
      <c r="H25" s="67"/>
      <c r="I25" s="23"/>
      <c r="J25" s="65"/>
      <c r="K25" s="65"/>
      <c r="L25" s="67"/>
      <c r="M25" s="67"/>
      <c r="N25" s="67">
        <f t="shared" si="6"/>
        <v>0</v>
      </c>
      <c r="O25" s="69">
        <f t="shared" si="5"/>
        <v>0</v>
      </c>
      <c r="P25" s="122"/>
      <c r="Q25" s="149">
        <f>'Incentive effect'!P25/$Q$18</f>
        <v>7.741824191954069</v>
      </c>
      <c r="R25" s="121"/>
      <c r="S25" s="128"/>
      <c r="T25" s="107"/>
      <c r="U25" s="8"/>
      <c r="X25" s="46">
        <f t="shared" si="0"/>
        <v>25</v>
      </c>
      <c r="Y25" s="586">
        <f>AVERAGE(V26:V31)</f>
        <v>0.8203833333333334</v>
      </c>
      <c r="Z25" s="580">
        <v>0.611284</v>
      </c>
      <c r="AA25" s="97">
        <f>($AA$5*$H$5*Z25)*(1-Y25)</f>
        <v>0.5489839723333333</v>
      </c>
      <c r="AB25" s="97">
        <f>(($AB$5*$H$6*(Z25))+((1-$AB$5)*$K$6*(Z25)))*(1-Y25)</f>
        <v>0.9881711502</v>
      </c>
      <c r="AC25" s="26">
        <f>(($AC$5*$H$7*(Z25))+((1-$AC$5)*$K$6*(Z25)))*(1-Y25)</f>
        <v>1.2077647391333333</v>
      </c>
      <c r="AD25" s="166">
        <f>($AD$5*$H$7*(Z25))*(1-Y25)</f>
        <v>0.7685775612666665</v>
      </c>
      <c r="AE25" s="601">
        <f>AVERAGE($V$26:$V$45)</f>
        <v>0.7348300000000001</v>
      </c>
      <c r="AF25" s="607">
        <f>$AA$5*$H$5*(Z25/$Z$9)*(1-(Y25-$Y$9))</f>
        <v>0.7006278778781302</v>
      </c>
      <c r="AG25" s="607">
        <f t="shared" si="1"/>
        <v>0.1516439055447969</v>
      </c>
      <c r="AH25" s="608">
        <f t="shared" si="2"/>
        <v>0.2762264714218677</v>
      </c>
      <c r="AI25" s="574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</row>
    <row r="26" spans="1:50" ht="12.75" customHeight="1">
      <c r="A26" s="46">
        <v>2006</v>
      </c>
      <c r="B26" s="62">
        <f>'Incentive effect'!B26</f>
        <v>297.8337</v>
      </c>
      <c r="C26" s="72">
        <f t="shared" si="7"/>
        <v>247.85360109158802</v>
      </c>
      <c r="D26" s="22">
        <f>(SUM($C$23:C25)/$K$13)</f>
        <v>53.11148594819743</v>
      </c>
      <c r="E26" s="73">
        <f t="shared" si="3"/>
        <v>43.67168357536791</v>
      </c>
      <c r="F26" s="67">
        <f t="shared" si="4"/>
        <v>1.6796801375141504</v>
      </c>
      <c r="G26" s="23">
        <f>($S$86-$R$86)*$S$96+$T$86*$T$96</f>
        <v>43.20129104806191</v>
      </c>
      <c r="H26" s="362">
        <f>AVERAGE(R18:W18)</f>
        <v>3.4141823612315445</v>
      </c>
      <c r="I26" s="338">
        <f>(SUM($G$25:G25)/$K$14)+(SUM(H25:H25)/$J$16)</f>
        <v>0</v>
      </c>
      <c r="J26" s="363">
        <f>AVERAGE(R19:W19)</f>
        <v>6.500204805999599</v>
      </c>
      <c r="K26" s="364">
        <f>AVERAGE(R20:W20)</f>
        <v>2.519459227131626</v>
      </c>
      <c r="L26" s="67">
        <v>0</v>
      </c>
      <c r="M26" s="159">
        <v>0</v>
      </c>
      <c r="N26" s="11">
        <f t="shared" si="6"/>
        <v>0</v>
      </c>
      <c r="O26" s="210">
        <f t="shared" si="5"/>
        <v>0</v>
      </c>
      <c r="P26" s="122"/>
      <c r="Q26" s="149">
        <f>'Incentive effect'!P26/$Q$18</f>
        <v>6.994715732481425</v>
      </c>
      <c r="R26" s="180">
        <v>0.1563</v>
      </c>
      <c r="S26" s="127">
        <v>0.451</v>
      </c>
      <c r="T26" s="217">
        <v>0.6273</v>
      </c>
      <c r="U26" s="216">
        <v>0.8063</v>
      </c>
      <c r="V26" s="192">
        <v>0.9123</v>
      </c>
      <c r="W26" s="192">
        <v>0.9597</v>
      </c>
      <c r="X26" s="46">
        <f t="shared" si="0"/>
        <v>26</v>
      </c>
      <c r="Y26" s="86" t="s">
        <v>236</v>
      </c>
      <c r="Z26" s="222">
        <v>1.433469</v>
      </c>
      <c r="AA26" s="144">
        <f>AA25/$AA$6</f>
        <v>0.10979679446666665</v>
      </c>
      <c r="AB26" s="144">
        <f>AB25/$AB$6</f>
        <v>0.10979679446666667</v>
      </c>
      <c r="AC26" s="144">
        <f>AC25/$AC$6</f>
        <v>0.10979679446666667</v>
      </c>
      <c r="AD26" s="581">
        <f>AD25/$AD$6</f>
        <v>0.10979679446666665</v>
      </c>
      <c r="AE26" s="603"/>
      <c r="AF26" s="608">
        <f>AF25/$AA$6</f>
        <v>0.14012557557562605</v>
      </c>
      <c r="AG26" s="607">
        <f t="shared" si="1"/>
        <v>0.030328781108959396</v>
      </c>
      <c r="AH26" s="608">
        <f t="shared" si="2"/>
        <v>0.27622647142186785</v>
      </c>
      <c r="AI26" s="574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</row>
    <row r="27" spans="1:50" ht="12.75" customHeight="1">
      <c r="A27" s="46">
        <v>2007</v>
      </c>
      <c r="B27" s="62">
        <f>'Incentive effect'!B27</f>
        <v>261.3062</v>
      </c>
      <c r="C27" s="72">
        <f t="shared" si="7"/>
        <v>247.85360109158802</v>
      </c>
      <c r="D27" s="22">
        <f>(SUM($C$23:C26)/$K$13)</f>
        <v>70.81531459759658</v>
      </c>
      <c r="E27" s="73">
        <f t="shared" si="3"/>
        <v>58.22891143382388</v>
      </c>
      <c r="F27" s="67">
        <f t="shared" si="4"/>
        <v>2.239573516685534</v>
      </c>
      <c r="G27" s="23">
        <f>($S$86-$R$86)*$S$96+$T$86*$T$96</f>
        <v>43.20129104806191</v>
      </c>
      <c r="H27" s="166">
        <f>($S$87-$R$87)*$S$96+$T$87*$T$96</f>
        <v>3.562625072589438</v>
      </c>
      <c r="I27" s="338">
        <f>(SUM($G$26:G26)/$K$14)+(SUM(H26:H26)/$J$16)</f>
        <v>10.347349390228153</v>
      </c>
      <c r="J27" s="377">
        <f>($S$94-$R$94)*$S$96+$T$94*$T$96</f>
        <v>8.419771369472059</v>
      </c>
      <c r="K27" s="378">
        <f>($S$89-$R$89)*$S$96+$T$89*$T$96</f>
        <v>3.263477274989156</v>
      </c>
      <c r="L27" s="67">
        <f>SUM($K$26:K26)/$K$14</f>
        <v>0.5038918454263251</v>
      </c>
      <c r="M27" s="159">
        <f>IF($K$14&gt;(A27-$A$27),0,(((((1-($C$15/($C$14+$C$15)))*SUM($J$26:J26)))-SUM($K$26:K26))/$K$15))</f>
        <v>0</v>
      </c>
      <c r="N27" s="11">
        <f t="shared" si="6"/>
        <v>0.019380455593320196</v>
      </c>
      <c r="O27" s="210">
        <f t="shared" si="5"/>
        <v>0.6128100058607846</v>
      </c>
      <c r="P27" s="122"/>
      <c r="Q27" s="149">
        <f>'Incentive effect'!P27/$Q$18</f>
        <v>6.297392793981045</v>
      </c>
      <c r="R27" s="180">
        <v>0.0747</v>
      </c>
      <c r="S27" s="127">
        <v>0.33</v>
      </c>
      <c r="T27" s="217">
        <v>0.5123</v>
      </c>
      <c r="U27" s="216">
        <v>0.7217</v>
      </c>
      <c r="V27" s="192">
        <v>0.8777</v>
      </c>
      <c r="W27" s="192">
        <v>0.9347</v>
      </c>
      <c r="X27" s="46">
        <f t="shared" si="0"/>
        <v>27</v>
      </c>
      <c r="Y27" s="583">
        <f>AVERAGE(V32:V45)</f>
        <v>0.6981642857142856</v>
      </c>
      <c r="Z27" s="580">
        <v>0.611284</v>
      </c>
      <c r="AA27" s="26">
        <f>($AA$5*$H$5*Z27)*(1-Y27)</f>
        <v>0.9225367138571433</v>
      </c>
      <c r="AB27" s="26">
        <f>(($AB$5*$H$6*(Z27))+((1-$AB$5)*$K$6*(Z27)))*(1-Y27)</f>
        <v>1.660566084942858</v>
      </c>
      <c r="AC27" s="26">
        <f>(($AC$5*$H$7*(Z27))+((1-$AC$5)*$K$6*(Z27)))*(1-Y27)</f>
        <v>2.0295807704857154</v>
      </c>
      <c r="AD27" s="166">
        <f>($AD$5*$H$7*(Z27))*(1-Y27)</f>
        <v>1.2915513994000005</v>
      </c>
      <c r="AE27" s="603"/>
      <c r="AF27" s="607">
        <f>$AA$5*$H$5*(Z27/$Z$11)*(1-(Y27-$Y$11))</f>
        <v>0.9454049617660004</v>
      </c>
      <c r="AG27" s="607">
        <f t="shared" si="1"/>
        <v>0.02286824790885711</v>
      </c>
      <c r="AH27" s="608">
        <f t="shared" si="2"/>
        <v>0.024788442091637237</v>
      </c>
      <c r="AI27" s="574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</row>
    <row r="28" spans="1:50" ht="12.75" customHeight="1">
      <c r="A28" s="46">
        <v>2008</v>
      </c>
      <c r="B28" s="62">
        <f>'Incentive effect'!B28</f>
        <v>226.5474</v>
      </c>
      <c r="C28" s="72">
        <f t="shared" si="7"/>
        <v>247.85360109158802</v>
      </c>
      <c r="D28" s="22">
        <f>(SUM($C$23:C27)/$K$13)</f>
        <v>88.51914324699571</v>
      </c>
      <c r="E28" s="73">
        <f t="shared" si="3"/>
        <v>72.78613929227984</v>
      </c>
      <c r="F28" s="67">
        <f t="shared" si="4"/>
        <v>2.799466895856917</v>
      </c>
      <c r="G28" s="23">
        <f>($S$86-$R$86)*$S$96+$T$86*$T$96</f>
        <v>43.20129104806191</v>
      </c>
      <c r="H28" s="67">
        <f>($S$87-$R$87)*$S$96+$T$87*$T$96</f>
        <v>3.562625072589438</v>
      </c>
      <c r="I28" s="338">
        <f>(SUM($G$26:G27)/$K$14)+(SUM(H26:H27)/$J$16)</f>
        <v>20.768920136135254</v>
      </c>
      <c r="J28" s="23">
        <f>($S$94-$R$94)*$S$96+$T$94*$T$96</f>
        <v>8.419771369472059</v>
      </c>
      <c r="K28" s="65">
        <f>($S$89-$R$89)*$S$96+$T$89*$T$96</f>
        <v>3.263477274989156</v>
      </c>
      <c r="L28" s="67">
        <f>SUM($K$26:K27)/$K$14</f>
        <v>1.1565873004241563</v>
      </c>
      <c r="M28" s="159">
        <f>IF($K$14&gt;(A28-$A$27),0,(((((1-($C$15/($C$14+$C$15)))*SUM($J$26:J27)))-SUM($K$26:K27))/$K$15))</f>
        <v>0</v>
      </c>
      <c r="N28" s="11">
        <f t="shared" si="6"/>
        <v>0.04448412693939063</v>
      </c>
      <c r="O28" s="210">
        <f t="shared" si="5"/>
        <v>1.4065880938235316</v>
      </c>
      <c r="P28" s="122"/>
      <c r="Q28" s="149">
        <f>'Incentive effect'!P28/$Q$18</f>
        <v>5.946599281124957</v>
      </c>
      <c r="R28" s="180">
        <v>0.035</v>
      </c>
      <c r="S28" s="127">
        <v>0.2387</v>
      </c>
      <c r="T28" s="217">
        <v>0.4253</v>
      </c>
      <c r="U28" s="216">
        <v>0.666</v>
      </c>
      <c r="V28" s="192">
        <v>0.856</v>
      </c>
      <c r="W28" s="192">
        <v>0.925</v>
      </c>
      <c r="X28" s="46">
        <f t="shared" si="0"/>
        <v>28</v>
      </c>
      <c r="Y28" s="86" t="s">
        <v>241</v>
      </c>
      <c r="Z28" s="222">
        <v>1.433469</v>
      </c>
      <c r="AA28" s="290">
        <f>AA27/$AA$6</f>
        <v>0.18450734277142866</v>
      </c>
      <c r="AB28" s="290">
        <f>AB27/$AB$6</f>
        <v>0.18450734277142866</v>
      </c>
      <c r="AC28" s="290">
        <f>AC27/$AC$6</f>
        <v>0.18450734277142866</v>
      </c>
      <c r="AD28" s="585">
        <f>AD27/$AD$6</f>
        <v>0.18450734277142863</v>
      </c>
      <c r="AE28" s="604"/>
      <c r="AF28" s="608">
        <f>AF27/$AA$6</f>
        <v>0.18908099235320008</v>
      </c>
      <c r="AG28" s="607">
        <f t="shared" si="1"/>
        <v>0.004573649581771422</v>
      </c>
      <c r="AH28" s="608">
        <f t="shared" si="2"/>
        <v>0.024788442091637237</v>
      </c>
      <c r="AI28" s="574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</row>
    <row r="29" spans="1:50" ht="12.75" customHeight="1">
      <c r="A29" s="46">
        <v>2009</v>
      </c>
      <c r="B29" s="62">
        <f>'Incentive effect'!B29</f>
        <v>197.3254</v>
      </c>
      <c r="C29" s="72">
        <f t="shared" si="7"/>
        <v>247.85360109158802</v>
      </c>
      <c r="D29" s="22">
        <f aca="true" t="shared" si="8" ref="D29:D39">(SUM(C23:C28)/$K$13)</f>
        <v>106.22297189639485</v>
      </c>
      <c r="E29" s="73">
        <f t="shared" si="3"/>
        <v>87.3433671507358</v>
      </c>
      <c r="F29" s="67">
        <f t="shared" si="4"/>
        <v>3.3593602750283003</v>
      </c>
      <c r="G29" s="23">
        <f>$U$86*$S$96+$T$86*$T$96</f>
        <v>96.06728724480156</v>
      </c>
      <c r="H29" s="67">
        <f>$U$87*$S$96+$T$87*$T$96</f>
        <v>3.562625072589438</v>
      </c>
      <c r="I29" s="339">
        <f>(SUM($G$26:G28)/$K$14)+(SUM(H27:H28)/$J$16)</f>
        <v>29.483399701426585</v>
      </c>
      <c r="J29" s="23">
        <f>$U$94*$S$96+$T$94*$T$96</f>
        <v>24.61316541702977</v>
      </c>
      <c r="K29" s="65">
        <f>$U$89*$S$96+$T$89*$T$96</f>
        <v>9.53998659574797</v>
      </c>
      <c r="L29" s="67">
        <f>SUM($K$26:K28)/$K$14</f>
        <v>1.8092827554219872</v>
      </c>
      <c r="M29" s="159">
        <f>IF($K$14&gt;(A29-$A$27),0,(((((1-($C$15/($C$14+$C$15)))*SUM($J$26:J28)))-SUM($K$26:K28))/$K$15))</f>
        <v>0</v>
      </c>
      <c r="N29" s="11">
        <f t="shared" si="6"/>
        <v>0.06958779828546105</v>
      </c>
      <c r="O29" s="210">
        <f t="shared" si="5"/>
        <v>2.2003661817862783</v>
      </c>
      <c r="P29" s="122"/>
      <c r="Q29" s="149">
        <f>'Incentive effect'!P29/$Q$18</f>
        <v>5.52573861843202</v>
      </c>
      <c r="R29" s="180">
        <v>0.0127</v>
      </c>
      <c r="S29" s="127">
        <v>0.171</v>
      </c>
      <c r="T29" s="218">
        <v>0.3147</v>
      </c>
      <c r="U29" s="217">
        <v>0.5687</v>
      </c>
      <c r="V29" s="192">
        <v>0.8027</v>
      </c>
      <c r="W29" s="192">
        <v>0.9057</v>
      </c>
      <c r="X29" s="46">
        <f t="shared" si="0"/>
        <v>29</v>
      </c>
      <c r="Y29" s="586">
        <f>AVERAGE(W26:W31)</f>
        <v>0.9077833333333333</v>
      </c>
      <c r="Z29" s="580">
        <v>0.504426</v>
      </c>
      <c r="AA29" s="97">
        <f>($AA$5*$H$5*Z29)*(1-Y29)</f>
        <v>0.23258242150000016</v>
      </c>
      <c r="AB29" s="97">
        <f>(($AB$5*$H$6*(Z29))+((1-$AB$5)*$K$6*(Z29)))*(1-Y29)</f>
        <v>0.41864835870000033</v>
      </c>
      <c r="AC29" s="26">
        <f>(($AC$5*$H$7*(Z29))+((1-$AC$5)*$K$6*(Z29)))*(1-Y29)</f>
        <v>0.5116813273000004</v>
      </c>
      <c r="AD29" s="166">
        <f>($AD$5*$H$7*(Z29))*(1-Y29)</f>
        <v>0.32561539010000023</v>
      </c>
      <c r="AE29" s="601">
        <f>AVERAGE($W$26:$W$45)</f>
        <v>0.8598750000000001</v>
      </c>
      <c r="AF29" s="607">
        <f>$AA$5*$H$5*(Z29/$Z$9)*(1-(Y29-$Y$9))</f>
        <v>0.35577917204269627</v>
      </c>
      <c r="AG29" s="607">
        <f t="shared" si="1"/>
        <v>0.1231967505426961</v>
      </c>
      <c r="AH29" s="608">
        <f t="shared" si="2"/>
        <v>0.5296907210276681</v>
      </c>
      <c r="AI29" s="574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</row>
    <row r="30" spans="1:50" ht="12.75" customHeight="1">
      <c r="A30" s="46">
        <v>2010</v>
      </c>
      <c r="B30" s="62">
        <f>'Incentive effect'!B30</f>
        <v>171.4101</v>
      </c>
      <c r="C30" s="72">
        <f t="shared" si="7"/>
        <v>247.85360109158802</v>
      </c>
      <c r="D30" s="22">
        <f t="shared" si="8"/>
        <v>106.22297189639485</v>
      </c>
      <c r="E30" s="73">
        <f t="shared" si="3"/>
        <v>87.3433671507358</v>
      </c>
      <c r="F30" s="67">
        <f t="shared" si="4"/>
        <v>3.3593602750283003</v>
      </c>
      <c r="G30" s="23">
        <f>$U$86*$S$96+$T$86*$T$96</f>
        <v>96.06728724480156</v>
      </c>
      <c r="H30" s="67">
        <f>$U$87*$S$96+$T$87*$T$96</f>
        <v>3.562625072589438</v>
      </c>
      <c r="I30" s="339">
        <f>(SUM($G$26:G29)/$K$14)+(SUM(H28:H29)/$J$16)</f>
        <v>48.6968571503869</v>
      </c>
      <c r="J30" s="23">
        <f>$U$94*$S$96+$T$94*$T$96</f>
        <v>24.61316541702977</v>
      </c>
      <c r="K30" s="65">
        <f>$U$89*$S$96+$T$89*$T$96</f>
        <v>9.53998659574797</v>
      </c>
      <c r="L30" s="67">
        <f>SUM($K$26:K29)/$K$14</f>
        <v>3.717280074571582</v>
      </c>
      <c r="M30" s="159">
        <f>IF($K$14&gt;(A30-$A$27),0,(((((1-($C$15/($C$14+$C$15)))*SUM($J$26:J29)))-SUM($K$26:K29))/$K$15))</f>
        <v>0</v>
      </c>
      <c r="N30" s="11">
        <f t="shared" si="6"/>
        <v>0.14297231056044546</v>
      </c>
      <c r="O30" s="210">
        <f t="shared" si="5"/>
        <v>4.520784459921286</v>
      </c>
      <c r="P30" s="122"/>
      <c r="Q30" s="149">
        <f>'Incentive effect'!P30/$Q$18</f>
        <v>5.2158698291313375</v>
      </c>
      <c r="R30" s="103">
        <v>0.0037</v>
      </c>
      <c r="S30" s="127">
        <v>0.1043</v>
      </c>
      <c r="T30" s="216">
        <v>0.234</v>
      </c>
      <c r="U30" s="217">
        <v>0.493</v>
      </c>
      <c r="V30" s="192">
        <v>0.7523</v>
      </c>
      <c r="W30" s="192">
        <v>0.8803</v>
      </c>
      <c r="X30" s="46">
        <f t="shared" si="0"/>
        <v>30</v>
      </c>
      <c r="Y30" s="86" t="s">
        <v>225</v>
      </c>
      <c r="Z30" s="222">
        <v>1.642212</v>
      </c>
      <c r="AA30" s="144">
        <f>AA29/$AA$6</f>
        <v>0.046516484300000036</v>
      </c>
      <c r="AB30" s="144">
        <f>AB29/$AB$6</f>
        <v>0.046516484300000036</v>
      </c>
      <c r="AC30" s="144">
        <f>AC29/$AC$6</f>
        <v>0.046516484300000036</v>
      </c>
      <c r="AD30" s="581">
        <f>AD29/$AD$6</f>
        <v>0.046516484300000036</v>
      </c>
      <c r="AE30" s="143"/>
      <c r="AF30" s="608">
        <f>AF29/$AA$6</f>
        <v>0.07115583440853926</v>
      </c>
      <c r="AG30" s="607">
        <f t="shared" si="1"/>
        <v>0.024639350108539224</v>
      </c>
      <c r="AH30" s="608">
        <f t="shared" si="2"/>
        <v>0.5296907210276681</v>
      </c>
      <c r="AI30" s="574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</row>
    <row r="31" spans="1:50" ht="12.75" customHeight="1">
      <c r="A31" s="46">
        <v>2011</v>
      </c>
      <c r="B31" s="62">
        <f>'Incentive effect'!B31</f>
        <v>149.3398</v>
      </c>
      <c r="C31" s="72">
        <f t="shared" si="7"/>
        <v>247.85360109158802</v>
      </c>
      <c r="D31" s="22">
        <f t="shared" si="8"/>
        <v>106.22297189639485</v>
      </c>
      <c r="E31" s="73">
        <f t="shared" si="3"/>
        <v>87.3433671507358</v>
      </c>
      <c r="F31" s="67">
        <f t="shared" si="4"/>
        <v>3.3593602750283003</v>
      </c>
      <c r="G31" s="23">
        <f>$U$86*$S$96+$T$86*$T$96</f>
        <v>96.06728724480156</v>
      </c>
      <c r="H31" s="67">
        <f>$U$87*$S$96+$T$87*$T$96</f>
        <v>3.562625072589438</v>
      </c>
      <c r="I31" s="339">
        <f>(SUM(G26:G30)/$K$14)+(SUM(H29:H30)/$J$16)</f>
        <v>67.9103145993472</v>
      </c>
      <c r="J31" s="23">
        <f>$U$94*$S$96+$T$94*$T$96</f>
        <v>24.61316541702977</v>
      </c>
      <c r="K31" s="65">
        <f>$U$89*$S$96+$T$89*$T$96</f>
        <v>9.53998659574797</v>
      </c>
      <c r="L31" s="67">
        <f>SUM(K26:K30)/$K$14</f>
        <v>5.625277393721175</v>
      </c>
      <c r="M31" s="159">
        <f>IF($K$14&gt;(A31-$A$27),0,(((((1-($C$15/($C$14+$C$15)))*SUM($J$26:J30)))-SUM($K$26:K30))/$K$15))</f>
        <v>0</v>
      </c>
      <c r="N31" s="11">
        <f t="shared" si="6"/>
        <v>0.2163568228354298</v>
      </c>
      <c r="O31" s="210">
        <f t="shared" si="5"/>
        <v>6.841202738056291</v>
      </c>
      <c r="P31" s="122"/>
      <c r="Q31" s="149">
        <f>'Incentive effect'!P31/$Q$18</f>
        <v>4.977175847495475</v>
      </c>
      <c r="R31" s="180">
        <v>0.0033</v>
      </c>
      <c r="S31" s="127">
        <v>0.0657</v>
      </c>
      <c r="T31" s="216">
        <v>0.1797</v>
      </c>
      <c r="U31" s="217">
        <v>0.4453</v>
      </c>
      <c r="V31" s="192">
        <v>0.7213</v>
      </c>
      <c r="W31" s="192">
        <v>0.8413</v>
      </c>
      <c r="X31" s="46">
        <f t="shared" si="0"/>
        <v>31</v>
      </c>
      <c r="Y31" s="583">
        <f>AVERAGE(W32:W45)</f>
        <v>0.8393428571428572</v>
      </c>
      <c r="Z31" s="580">
        <v>0.504426</v>
      </c>
      <c r="AA31" s="26">
        <f>($AA$5*$H$5*Z31)*(1-Y31)</f>
        <v>0.40519819971428567</v>
      </c>
      <c r="AB31" s="26">
        <f>(($AB$5*$H$6*(Z31))+((1-$AB$5)*$K$6*(Z31)))*(1-Y31)</f>
        <v>0.7293567594857143</v>
      </c>
      <c r="AC31" s="26">
        <f>(($AC$5*$H$7*(Z31))+((1-$AC$5)*$K$6*(Z31)))*(1-Y31)</f>
        <v>0.8914360393714285</v>
      </c>
      <c r="AD31" s="166">
        <f>($AD$5*$H$7*(Z31))*(1-Y31)</f>
        <v>0.5672774796</v>
      </c>
      <c r="AE31" s="143"/>
      <c r="AF31" s="607">
        <f>$AA$5*$H$5*(Z31/$Z$11)*(1-(Y31-$Y$11))</f>
        <v>0.4209377072800746</v>
      </c>
      <c r="AG31" s="607">
        <f t="shared" si="1"/>
        <v>0.015739507565788957</v>
      </c>
      <c r="AH31" s="608">
        <f t="shared" si="2"/>
        <v>0.03884397210275672</v>
      </c>
      <c r="AI31" s="574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</row>
    <row r="32" spans="1:50" ht="12.75" customHeight="1">
      <c r="A32" s="46">
        <v>2012</v>
      </c>
      <c r="B32" s="62">
        <f>'Incentive effect'!B32</f>
        <v>124.1935</v>
      </c>
      <c r="C32" s="72">
        <f t="shared" si="7"/>
        <v>247.85360109158802</v>
      </c>
      <c r="D32" s="22">
        <f t="shared" si="8"/>
        <v>106.22297189639485</v>
      </c>
      <c r="E32" s="73">
        <f t="shared" si="3"/>
        <v>87.3433671507358</v>
      </c>
      <c r="F32" s="67">
        <f t="shared" si="4"/>
        <v>3.3593602750283003</v>
      </c>
      <c r="G32" s="23">
        <f>$U$86</f>
        <v>96.06728724480156</v>
      </c>
      <c r="H32" s="67">
        <f>$U$87</f>
        <v>0</v>
      </c>
      <c r="I32" s="339">
        <f>(SUM(G27:G31)/$K$14)+(SUM(H30:H31)/$J$16)</f>
        <v>78.48351383869515</v>
      </c>
      <c r="J32" s="23">
        <f>$U$94</f>
        <v>23.42115411857523</v>
      </c>
      <c r="K32" s="65">
        <f>$U$89</f>
        <v>9.077966712626058</v>
      </c>
      <c r="L32" s="67">
        <f aca="true" t="shared" si="9" ref="L32:L61">SUM(K27:K31)/$K$14</f>
        <v>7.029382867444444</v>
      </c>
      <c r="M32" s="159">
        <f>IF($K$14&gt;(A32-$A$27),0,(((((1-($C$15/($C$14+$C$15)))*SUM($J$26:J26)))-SUM($K$26:K26))/$K$15))</f>
        <v>0.313936412235883</v>
      </c>
      <c r="N32" s="11">
        <f t="shared" si="6"/>
        <v>0.2824353569107818</v>
      </c>
      <c r="O32" s="210">
        <f t="shared" si="5"/>
        <v>8.930605985518921</v>
      </c>
      <c r="P32" s="122"/>
      <c r="Q32" s="149">
        <f>'Incentive effect'!P32/$Q$18</f>
        <v>4.9186244313309855</v>
      </c>
      <c r="R32" s="180">
        <v>0.003</v>
      </c>
      <c r="S32" s="127">
        <v>0.0467</v>
      </c>
      <c r="T32" s="216">
        <v>0.1563</v>
      </c>
      <c r="U32" s="217">
        <v>0.3947</v>
      </c>
      <c r="V32" s="192">
        <v>0.6833</v>
      </c>
      <c r="W32" s="192">
        <v>0.8227</v>
      </c>
      <c r="X32" s="46">
        <f t="shared" si="0"/>
        <v>32</v>
      </c>
      <c r="Y32" s="86" t="s">
        <v>226</v>
      </c>
      <c r="Z32" s="222">
        <v>1.642212</v>
      </c>
      <c r="AA32" s="290">
        <f>AA31/$AA$6</f>
        <v>0.08103963994285714</v>
      </c>
      <c r="AB32" s="290">
        <f>AB31/$AB$6</f>
        <v>0.08103963994285715</v>
      </c>
      <c r="AC32" s="290">
        <f>AC31/$AC$6</f>
        <v>0.08103963994285714</v>
      </c>
      <c r="AD32" s="585">
        <f>AD31/$AD$6</f>
        <v>0.08103963994285714</v>
      </c>
      <c r="AE32" s="143"/>
      <c r="AF32" s="608">
        <f>AF31/$AA$6</f>
        <v>0.08418754145601492</v>
      </c>
      <c r="AG32" s="607">
        <f t="shared" si="1"/>
        <v>0.0031479015131577887</v>
      </c>
      <c r="AH32" s="608">
        <f t="shared" si="2"/>
        <v>0.03884397210275668</v>
      </c>
      <c r="AI32" s="574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</row>
    <row r="33" spans="1:50" ht="12.75" customHeight="1">
      <c r="A33" s="46">
        <v>2013</v>
      </c>
      <c r="B33" s="62">
        <f>'Incentive effect'!B33</f>
        <v>102.5846</v>
      </c>
      <c r="C33" s="72">
        <f t="shared" si="7"/>
        <v>247.85360109158802</v>
      </c>
      <c r="D33" s="22">
        <f t="shared" si="8"/>
        <v>106.22297189639485</v>
      </c>
      <c r="E33" s="73">
        <f t="shared" si="3"/>
        <v>87.3433671507358</v>
      </c>
      <c r="F33" s="67">
        <f t="shared" si="4"/>
        <v>3.3593602750283003</v>
      </c>
      <c r="G33" s="23">
        <f aca="true" t="shared" si="10" ref="G33:G50">$U$86</f>
        <v>96.06728724480156</v>
      </c>
      <c r="H33" s="67">
        <f aca="true" t="shared" si="11" ref="H33:H50">$U$87</f>
        <v>0</v>
      </c>
      <c r="I33" s="339">
        <f aca="true" t="shared" si="12" ref="I33:I61">(SUM(G28:G32)/$K$14)+(SUM(H31:H32)/$J$16)</f>
        <v>87.27540054174834</v>
      </c>
      <c r="J33" s="23">
        <f aca="true" t="shared" si="13" ref="J33:J50">$U$94</f>
        <v>23.42115411857523</v>
      </c>
      <c r="K33" s="65">
        <f aca="true" t="shared" si="14" ref="K33:K50">$U$89</f>
        <v>9.077966712626058</v>
      </c>
      <c r="L33" s="67">
        <f t="shared" si="9"/>
        <v>8.192280754971824</v>
      </c>
      <c r="M33" s="159">
        <f>IF($K$14&gt;(A33-$A$27),0,(((((1-($C$15/($C$14+$C$15)))*SUM($J$26:J27)))-SUM($K$26:K27))/$K$15))</f>
        <v>0.7205809556722327</v>
      </c>
      <c r="N33" s="11">
        <f t="shared" si="6"/>
        <v>0.3428023734863099</v>
      </c>
      <c r="O33" s="210">
        <f t="shared" si="5"/>
        <v>10.839411049637118</v>
      </c>
      <c r="P33" s="122"/>
      <c r="Q33" s="149">
        <f>'Incentive effect'!P33/$Q$18</f>
        <v>4.993655339682976</v>
      </c>
      <c r="R33" s="180">
        <v>0.002</v>
      </c>
      <c r="S33" s="127">
        <v>0.06</v>
      </c>
      <c r="T33" s="216">
        <v>0.15</v>
      </c>
      <c r="U33" s="217">
        <v>0.4047</v>
      </c>
      <c r="V33" s="192">
        <v>0.6943</v>
      </c>
      <c r="W33" s="192">
        <v>0.83</v>
      </c>
      <c r="AA33" s="217"/>
      <c r="AD33" s="287"/>
      <c r="AE33" s="216"/>
      <c r="AF33" s="216"/>
      <c r="AG33" s="287"/>
      <c r="AH33" s="12"/>
      <c r="AI33" s="574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</row>
    <row r="34" spans="1:50" ht="12.75" customHeight="1">
      <c r="A34" s="46">
        <v>2014</v>
      </c>
      <c r="B34" s="75">
        <f aca="true" t="shared" si="15" ref="B34:B49">B33*(B33/B32)</f>
        <v>84.7355147987616</v>
      </c>
      <c r="C34" s="72">
        <f t="shared" si="7"/>
        <v>247.85360109158802</v>
      </c>
      <c r="D34" s="22">
        <f t="shared" si="8"/>
        <v>106.22297189639485</v>
      </c>
      <c r="E34" s="73">
        <f t="shared" si="3"/>
        <v>87.3433671507358</v>
      </c>
      <c r="F34" s="67">
        <f t="shared" si="4"/>
        <v>3.3593602750283003</v>
      </c>
      <c r="G34" s="23">
        <f t="shared" si="10"/>
        <v>96.06728724480156</v>
      </c>
      <c r="H34" s="67">
        <f t="shared" si="11"/>
        <v>0</v>
      </c>
      <c r="I34" s="339">
        <f t="shared" si="12"/>
        <v>96.06728724480156</v>
      </c>
      <c r="J34" s="23">
        <f t="shared" si="13"/>
        <v>23.42115411857523</v>
      </c>
      <c r="K34" s="65">
        <f t="shared" si="14"/>
        <v>9.077966712626058</v>
      </c>
      <c r="L34" s="67">
        <f t="shared" si="9"/>
        <v>9.355178642499206</v>
      </c>
      <c r="M34" s="159">
        <f>IF($K$14&gt;(A34-$A$27),0,(((((1-($C$15/($C$14+$C$15)))*SUM($J$26:J28)))-SUM($K$26:K28))/$K$15))</f>
        <v>1.1272254991085826</v>
      </c>
      <c r="N34" s="11">
        <f t="shared" si="6"/>
        <v>0.40316939006183805</v>
      </c>
      <c r="O34" s="210">
        <f t="shared" si="5"/>
        <v>12.74821611375532</v>
      </c>
      <c r="P34" s="122"/>
      <c r="Q34" s="149">
        <f>'Incentive effect'!P34/$Q$18</f>
        <v>4.903643836044684</v>
      </c>
      <c r="R34" s="180">
        <v>0.0023</v>
      </c>
      <c r="S34" s="127">
        <v>0.0553</v>
      </c>
      <c r="T34" s="216">
        <v>0.1373</v>
      </c>
      <c r="U34" s="217">
        <v>0.3763</v>
      </c>
      <c r="V34" s="192">
        <v>0.683</v>
      </c>
      <c r="W34" s="192">
        <v>0.8357</v>
      </c>
      <c r="AA34" s="217"/>
      <c r="AD34" s="287"/>
      <c r="AE34" s="216"/>
      <c r="AF34" s="216"/>
      <c r="AG34" s="287"/>
      <c r="AH34" s="12"/>
      <c r="AI34" s="574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</row>
    <row r="35" spans="1:50" ht="12.75" customHeight="1">
      <c r="A35" s="46">
        <v>2015</v>
      </c>
      <c r="B35" s="75">
        <f t="shared" si="15"/>
        <v>69.99205990188729</v>
      </c>
      <c r="C35" s="72">
        <f t="shared" si="7"/>
        <v>247.85360109158802</v>
      </c>
      <c r="D35" s="22">
        <f t="shared" si="8"/>
        <v>106.22297189639485</v>
      </c>
      <c r="E35" s="73">
        <f t="shared" si="3"/>
        <v>87.3433671507358</v>
      </c>
      <c r="F35" s="67">
        <f t="shared" si="4"/>
        <v>3.3593602750283003</v>
      </c>
      <c r="G35" s="23">
        <f t="shared" si="10"/>
        <v>96.06728724480156</v>
      </c>
      <c r="H35" s="67">
        <f t="shared" si="11"/>
        <v>0</v>
      </c>
      <c r="I35" s="339">
        <f t="shared" si="12"/>
        <v>96.06728724480156</v>
      </c>
      <c r="J35" s="23">
        <f t="shared" si="13"/>
        <v>23.42115411857523</v>
      </c>
      <c r="K35" s="65">
        <f t="shared" si="14"/>
        <v>9.077966712626058</v>
      </c>
      <c r="L35" s="67">
        <f t="shared" si="9"/>
        <v>9.262774665874822</v>
      </c>
      <c r="M35" s="159">
        <f>IF($K$14&gt;(A35-$A$27),0,(((((1-($C$15/($C$14+$C$15)))*SUM($J$26:J29)))-SUM($K$26:K29))/$K$15))</f>
        <v>2.3159524816274635</v>
      </c>
      <c r="N35" s="11">
        <f t="shared" si="6"/>
        <v>0.44533565951931864</v>
      </c>
      <c r="O35" s="210">
        <f t="shared" si="5"/>
        <v>14.081513554000855</v>
      </c>
      <c r="P35" s="122"/>
      <c r="Q35" s="149">
        <f>'Incentive effect'!P35/$Q$18</f>
        <v>4.722733679050353</v>
      </c>
      <c r="R35" s="103">
        <v>0.001</v>
      </c>
      <c r="S35" s="127">
        <v>0.042</v>
      </c>
      <c r="T35" s="216">
        <v>0.1247</v>
      </c>
      <c r="U35" s="217">
        <v>0.3537</v>
      </c>
      <c r="V35" s="192">
        <v>0.666</v>
      </c>
      <c r="W35" s="192">
        <v>0.8077</v>
      </c>
      <c r="AA35" s="217"/>
      <c r="AD35" s="287"/>
      <c r="AE35" s="216"/>
      <c r="AF35" s="216"/>
      <c r="AG35" s="287"/>
      <c r="AH35" s="12"/>
      <c r="AI35" s="574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</row>
    <row r="36" spans="1:50" ht="12.75" customHeight="1">
      <c r="A36" s="46">
        <v>2016</v>
      </c>
      <c r="B36" s="75">
        <f t="shared" si="15"/>
        <v>57.81387486632671</v>
      </c>
      <c r="C36" s="72">
        <f t="shared" si="7"/>
        <v>247.85360109158802</v>
      </c>
      <c r="D36" s="22">
        <f t="shared" si="8"/>
        <v>106.22297189639485</v>
      </c>
      <c r="E36" s="73">
        <f t="shared" si="3"/>
        <v>87.3433671507358</v>
      </c>
      <c r="F36" s="67">
        <f t="shared" si="4"/>
        <v>3.3593602750283003</v>
      </c>
      <c r="G36" s="23">
        <f t="shared" si="10"/>
        <v>96.06728724480156</v>
      </c>
      <c r="H36" s="67">
        <f t="shared" si="11"/>
        <v>0</v>
      </c>
      <c r="I36" s="339">
        <f t="shared" si="12"/>
        <v>96.06728724480156</v>
      </c>
      <c r="J36" s="23">
        <f t="shared" si="13"/>
        <v>23.42115411857523</v>
      </c>
      <c r="K36" s="65">
        <f t="shared" si="14"/>
        <v>9.077966712626058</v>
      </c>
      <c r="L36" s="67">
        <f t="shared" si="9"/>
        <v>9.17037068925044</v>
      </c>
      <c r="M36" s="159">
        <f>IF($K$14&gt;(A36-$A$27),0,(((((1-($C$15/($C$14+$C$15)))*SUM($J$26:J30)))-SUM($K$26:K30))/$K$15))</f>
        <v>3.504679464146344</v>
      </c>
      <c r="N36" s="11">
        <f t="shared" si="6"/>
        <v>0.4875019289767994</v>
      </c>
      <c r="O36" s="210">
        <f t="shared" si="5"/>
        <v>15.414810994246396</v>
      </c>
      <c r="P36" s="122"/>
      <c r="Q36" s="149">
        <f>'Incentive effect'!P36/$Q$18</f>
        <v>4.6655769534227325</v>
      </c>
      <c r="R36" s="180">
        <v>0.0007</v>
      </c>
      <c r="S36" s="127">
        <v>0.035</v>
      </c>
      <c r="T36" s="216">
        <v>0.1097</v>
      </c>
      <c r="U36" s="192">
        <v>0.3203</v>
      </c>
      <c r="V36" s="192">
        <v>0.6403</v>
      </c>
      <c r="W36" s="192">
        <v>0.8007</v>
      </c>
      <c r="AA36" s="192"/>
      <c r="AD36" s="287"/>
      <c r="AE36" s="216"/>
      <c r="AF36" s="216"/>
      <c r="AG36" s="287"/>
      <c r="AH36" s="12"/>
      <c r="AI36" s="574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</row>
    <row r="37" spans="1:50" ht="12.75" customHeight="1">
      <c r="A37" s="46">
        <v>2017</v>
      </c>
      <c r="B37" s="75">
        <f t="shared" si="15"/>
        <v>47.754618620235185</v>
      </c>
      <c r="C37" s="72">
        <f t="shared" si="7"/>
        <v>247.85360109158802</v>
      </c>
      <c r="D37" s="22">
        <f t="shared" si="8"/>
        <v>106.22297189639485</v>
      </c>
      <c r="E37" s="73">
        <f t="shared" si="3"/>
        <v>87.3433671507358</v>
      </c>
      <c r="F37" s="67">
        <f t="shared" si="4"/>
        <v>3.3593602750283003</v>
      </c>
      <c r="G37" s="23">
        <f t="shared" si="10"/>
        <v>96.06728724480156</v>
      </c>
      <c r="H37" s="67">
        <f t="shared" si="11"/>
        <v>0</v>
      </c>
      <c r="I37" s="339">
        <f t="shared" si="12"/>
        <v>96.06728724480156</v>
      </c>
      <c r="J37" s="23">
        <f t="shared" si="13"/>
        <v>23.42115411857523</v>
      </c>
      <c r="K37" s="65">
        <f t="shared" si="14"/>
        <v>9.077966712626058</v>
      </c>
      <c r="L37" s="67">
        <f t="shared" si="9"/>
        <v>9.077966712626058</v>
      </c>
      <c r="M37" s="159">
        <f>IF($K$14&gt;(A37-$A$27),0,(((((1-($C$15/($C$14+$C$15)))*SUM($J$26:J31)))-SUM($K$26:K31))/$K$15))</f>
        <v>4.693406446665225</v>
      </c>
      <c r="N37" s="11">
        <f t="shared" si="6"/>
        <v>0.5296681984342801</v>
      </c>
      <c r="O37" s="210">
        <f t="shared" si="5"/>
        <v>16.748108434491936</v>
      </c>
      <c r="P37" s="122"/>
      <c r="Q37" s="149">
        <f>'Incentive effect'!P37/$Q$18</f>
        <v>4.730747799757054</v>
      </c>
      <c r="R37" s="180">
        <v>0.0007</v>
      </c>
      <c r="S37" s="127">
        <v>0.0367</v>
      </c>
      <c r="T37" s="216">
        <v>0.109</v>
      </c>
      <c r="U37" s="192">
        <v>0.3307</v>
      </c>
      <c r="V37" s="192">
        <v>0.6347</v>
      </c>
      <c r="W37" s="192">
        <v>0.8</v>
      </c>
      <c r="AA37" s="192"/>
      <c r="AD37" s="287"/>
      <c r="AE37" s="216"/>
      <c r="AF37" s="216"/>
      <c r="AG37" s="287"/>
      <c r="AH37" s="12"/>
      <c r="AI37" s="574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</row>
    <row r="38" spans="1:50" ht="12.75" customHeight="1">
      <c r="A38" s="46">
        <v>2018</v>
      </c>
      <c r="B38" s="75">
        <f t="shared" si="15"/>
        <v>39.445610674547204</v>
      </c>
      <c r="C38" s="72">
        <f t="shared" si="7"/>
        <v>247.85360109158802</v>
      </c>
      <c r="D38" s="22">
        <f t="shared" si="8"/>
        <v>106.22297189639485</v>
      </c>
      <c r="E38" s="73">
        <f t="shared" si="3"/>
        <v>87.3433671507358</v>
      </c>
      <c r="F38" s="67">
        <f t="shared" si="4"/>
        <v>3.3593602750283003</v>
      </c>
      <c r="G38" s="23">
        <f t="shared" si="10"/>
        <v>96.06728724480156</v>
      </c>
      <c r="H38" s="67">
        <f t="shared" si="11"/>
        <v>0</v>
      </c>
      <c r="I38" s="339">
        <f t="shared" si="12"/>
        <v>96.06728724480156</v>
      </c>
      <c r="J38" s="23">
        <f t="shared" si="13"/>
        <v>23.42115411857523</v>
      </c>
      <c r="K38" s="65">
        <f t="shared" si="14"/>
        <v>9.077966712626058</v>
      </c>
      <c r="L38" s="67">
        <f t="shared" si="9"/>
        <v>9.077966712626058</v>
      </c>
      <c r="M38" s="159">
        <f>IF($K$14&gt;(A38-$A$27),0,(((((1-($C$15/($C$14+$C$15)))*SUM($J$26:J32)))-SUM($K$26:K32))/$K$15))</f>
        <v>5.824563589225208</v>
      </c>
      <c r="N38" s="11">
        <f t="shared" si="6"/>
        <v>0.5731742423788948</v>
      </c>
      <c r="O38" s="210">
        <f t="shared" si="5"/>
        <v>18.123769544020654</v>
      </c>
      <c r="P38" s="122"/>
      <c r="Q38" s="149">
        <f>'Incentive effect'!P38/$Q$18</f>
        <v>4.903948546618947</v>
      </c>
      <c r="R38" s="180">
        <v>0.003</v>
      </c>
      <c r="S38" s="127">
        <v>0.0493</v>
      </c>
      <c r="T38" s="216">
        <v>0.135</v>
      </c>
      <c r="U38" s="216">
        <v>0.3707</v>
      </c>
      <c r="V38" s="192">
        <v>0.6507</v>
      </c>
      <c r="W38" s="192">
        <v>0.8223</v>
      </c>
      <c r="AA38" s="216"/>
      <c r="AD38" s="287"/>
      <c r="AE38" s="216"/>
      <c r="AF38" s="216"/>
      <c r="AG38" s="287"/>
      <c r="AH38" s="12"/>
      <c r="AI38" s="574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</row>
    <row r="39" spans="1:50" ht="12.75" customHeight="1">
      <c r="A39" s="46">
        <v>2019</v>
      </c>
      <c r="B39" s="75">
        <f t="shared" si="15"/>
        <v>32.58231866244332</v>
      </c>
      <c r="C39" s="72">
        <f t="shared" si="7"/>
        <v>247.85360109158802</v>
      </c>
      <c r="D39" s="22">
        <f t="shared" si="8"/>
        <v>106.22297189639485</v>
      </c>
      <c r="E39" s="73">
        <f t="shared" si="3"/>
        <v>87.3433671507358</v>
      </c>
      <c r="F39" s="67">
        <f t="shared" si="4"/>
        <v>3.3593602750283003</v>
      </c>
      <c r="G39" s="23">
        <f t="shared" si="10"/>
        <v>96.06728724480156</v>
      </c>
      <c r="H39" s="67">
        <f t="shared" si="11"/>
        <v>0</v>
      </c>
      <c r="I39" s="339">
        <f t="shared" si="12"/>
        <v>96.06728724480156</v>
      </c>
      <c r="J39" s="23">
        <f t="shared" si="13"/>
        <v>23.42115411857523</v>
      </c>
      <c r="K39" s="65">
        <f t="shared" si="14"/>
        <v>9.077966712626058</v>
      </c>
      <c r="L39" s="67">
        <f t="shared" si="9"/>
        <v>9.077966712626058</v>
      </c>
      <c r="M39" s="159">
        <f>IF($K$14&gt;(A39-$A$27),0,(((((1-($C$15/($C$14+$C$15)))*SUM($J$26:J33)))-SUM($K$26:K33))/$K$15))</f>
        <v>6.95572073178519</v>
      </c>
      <c r="N39" s="11">
        <f t="shared" si="6"/>
        <v>0.6166802863235096</v>
      </c>
      <c r="O39" s="210">
        <f t="shared" si="5"/>
        <v>19.499430653549375</v>
      </c>
      <c r="P39" s="122"/>
      <c r="Q39" s="149">
        <f>'Incentive effect'!P39/$Q$18</f>
        <v>5.043801396067552</v>
      </c>
      <c r="R39" s="180">
        <v>0.0013</v>
      </c>
      <c r="S39" s="180">
        <v>0.068</v>
      </c>
      <c r="T39" s="180">
        <v>0.1643</v>
      </c>
      <c r="U39" s="180">
        <v>0.4237</v>
      </c>
      <c r="V39" s="180">
        <v>0.6773</v>
      </c>
      <c r="W39" s="180">
        <v>0.828</v>
      </c>
      <c r="AA39" s="180"/>
      <c r="AD39" s="287"/>
      <c r="AE39" s="575"/>
      <c r="AF39" s="575"/>
      <c r="AG39" s="287"/>
      <c r="AH39" s="12"/>
      <c r="AI39" s="574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</row>
    <row r="40" spans="1:50" ht="12.75" customHeight="1">
      <c r="A40" s="46">
        <v>2020</v>
      </c>
      <c r="B40" s="75">
        <f t="shared" si="15"/>
        <v>26.913196963281354</v>
      </c>
      <c r="C40" s="73"/>
      <c r="D40" s="22"/>
      <c r="E40" s="73"/>
      <c r="F40" s="67"/>
      <c r="G40" s="23">
        <f t="shared" si="10"/>
        <v>96.06728724480156</v>
      </c>
      <c r="H40" s="67">
        <f t="shared" si="11"/>
        <v>0</v>
      </c>
      <c r="I40" s="339">
        <f t="shared" si="12"/>
        <v>96.06728724480156</v>
      </c>
      <c r="J40" s="23">
        <f t="shared" si="13"/>
        <v>23.42115411857523</v>
      </c>
      <c r="K40" s="65">
        <f t="shared" si="14"/>
        <v>9.077966712626058</v>
      </c>
      <c r="L40" s="67">
        <f t="shared" si="9"/>
        <v>9.077966712626058</v>
      </c>
      <c r="M40" s="159">
        <f>IF($K$14&gt;(A40-$A$27),0,(((((1-($C$15/($C$14+$C$15)))*SUM(J26:J34)))-SUM(K26:K34))/$K$15))</f>
        <v>8.086877874345172</v>
      </c>
      <c r="N40" s="11">
        <f t="shared" si="6"/>
        <v>0.6601863302681241</v>
      </c>
      <c r="O40" s="210">
        <f t="shared" si="5"/>
        <v>20.875091763078085</v>
      </c>
      <c r="P40" s="122"/>
      <c r="Q40" s="149">
        <f>'Incentive effect'!P40/$Q$18</f>
        <v>5.091467434022489</v>
      </c>
      <c r="R40" s="180">
        <v>0.0053</v>
      </c>
      <c r="S40" s="180">
        <v>0.0717</v>
      </c>
      <c r="T40" s="180">
        <v>0.1877</v>
      </c>
      <c r="U40" s="180">
        <v>0.433</v>
      </c>
      <c r="V40" s="180">
        <v>0.6987</v>
      </c>
      <c r="W40" s="180">
        <v>0.8437</v>
      </c>
      <c r="AA40" s="180"/>
      <c r="AD40" s="287"/>
      <c r="AE40" s="575"/>
      <c r="AF40" s="575"/>
      <c r="AG40" s="287"/>
      <c r="AH40" s="12"/>
      <c r="AI40" s="574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</row>
    <row r="41" spans="1:50" ht="12.75" customHeight="1">
      <c r="A41" s="46">
        <v>2021</v>
      </c>
      <c r="B41" s="75">
        <f t="shared" si="15"/>
        <v>22.230467336852833</v>
      </c>
      <c r="C41" s="73"/>
      <c r="D41" s="22"/>
      <c r="E41" s="73"/>
      <c r="F41" s="67"/>
      <c r="G41" s="23">
        <f t="shared" si="10"/>
        <v>96.06728724480156</v>
      </c>
      <c r="H41" s="67">
        <f t="shared" si="11"/>
        <v>0</v>
      </c>
      <c r="I41" s="339">
        <f t="shared" si="12"/>
        <v>96.06728724480156</v>
      </c>
      <c r="J41" s="23">
        <f t="shared" si="13"/>
        <v>23.42115411857523</v>
      </c>
      <c r="K41" s="65">
        <f t="shared" si="14"/>
        <v>9.077966712626058</v>
      </c>
      <c r="L41" s="67">
        <f t="shared" si="9"/>
        <v>9.077966712626058</v>
      </c>
      <c r="M41" s="159">
        <f aca="true" t="shared" si="16" ref="M41:M64">IF($K$14&gt;(A41-$A$27),0,(((((1-($C$15/($C$14+$C$15)))*SUM(J27:J35)))-SUM(K27:K35))/$K$15))</f>
        <v>8.904098604669278</v>
      </c>
      <c r="N41" s="11">
        <f t="shared" si="6"/>
        <v>0.6916178968190514</v>
      </c>
      <c r="O41" s="210">
        <f t="shared" si="5"/>
        <v>21.868957897418404</v>
      </c>
      <c r="P41" s="122"/>
      <c r="Q41" s="149">
        <f>'Incentive effect'!P41/$Q$18</f>
        <v>5.223040064369757</v>
      </c>
      <c r="R41" s="180">
        <v>0.006</v>
      </c>
      <c r="S41" s="180">
        <v>0.0903</v>
      </c>
      <c r="T41" s="180">
        <v>0.2103</v>
      </c>
      <c r="U41" s="180">
        <v>0.4763</v>
      </c>
      <c r="V41" s="180">
        <v>0.718</v>
      </c>
      <c r="W41" s="180">
        <v>0.86</v>
      </c>
      <c r="AA41" s="180"/>
      <c r="AD41" s="287"/>
      <c r="AE41" s="575"/>
      <c r="AF41" s="575"/>
      <c r="AG41" s="287"/>
      <c r="AH41" s="12"/>
      <c r="AI41" s="574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</row>
    <row r="42" spans="1:50" ht="12.75" customHeight="1">
      <c r="A42" s="46">
        <v>2022</v>
      </c>
      <c r="B42" s="75">
        <f t="shared" si="15"/>
        <v>18.36250367019299</v>
      </c>
      <c r="C42" s="73"/>
      <c r="D42" s="22"/>
      <c r="E42" s="73"/>
      <c r="F42" s="67"/>
      <c r="G42" s="23">
        <f t="shared" si="10"/>
        <v>96.06728724480156</v>
      </c>
      <c r="H42" s="67">
        <f t="shared" si="11"/>
        <v>0</v>
      </c>
      <c r="I42" s="339">
        <f t="shared" si="12"/>
        <v>96.06728724480156</v>
      </c>
      <c r="J42" s="23">
        <f t="shared" si="13"/>
        <v>23.42115411857523</v>
      </c>
      <c r="K42" s="65">
        <f t="shared" si="14"/>
        <v>9.077966712626058</v>
      </c>
      <c r="L42" s="67">
        <f t="shared" si="9"/>
        <v>9.077966712626058</v>
      </c>
      <c r="M42" s="159">
        <f t="shared" si="16"/>
        <v>9.628611203792909</v>
      </c>
      <c r="N42" s="11">
        <f t="shared" si="6"/>
        <v>0.7194837660161141</v>
      </c>
      <c r="O42" s="210">
        <f t="shared" si="5"/>
        <v>22.750076681429526</v>
      </c>
      <c r="P42" s="122"/>
      <c r="Q42" s="149">
        <f>'Incentive effect'!P42/$Q$18</f>
        <v>5.303912111607991</v>
      </c>
      <c r="R42" s="180">
        <v>0.0077</v>
      </c>
      <c r="S42" s="180">
        <v>0.116</v>
      </c>
      <c r="T42" s="180">
        <v>0.224</v>
      </c>
      <c r="U42" s="180">
        <v>0.482</v>
      </c>
      <c r="V42" s="180">
        <v>0.729</v>
      </c>
      <c r="W42" s="180">
        <v>0.863</v>
      </c>
      <c r="AA42" s="180"/>
      <c r="AD42" s="287"/>
      <c r="AE42" s="575"/>
      <c r="AF42" s="575"/>
      <c r="AG42" s="287"/>
      <c r="AH42" s="12"/>
      <c r="AI42" s="574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</row>
    <row r="43" spans="1:50" ht="12.75" customHeight="1">
      <c r="A43" s="46">
        <v>2023</v>
      </c>
      <c r="B43" s="75">
        <f t="shared" si="15"/>
        <v>15.167541731292536</v>
      </c>
      <c r="C43" s="73"/>
      <c r="D43" s="22"/>
      <c r="E43" s="73"/>
      <c r="F43" s="67"/>
      <c r="G43" s="23">
        <f t="shared" si="10"/>
        <v>96.06728724480156</v>
      </c>
      <c r="H43" s="67">
        <f t="shared" si="11"/>
        <v>0</v>
      </c>
      <c r="I43" s="339">
        <f t="shared" si="12"/>
        <v>96.06728724480156</v>
      </c>
      <c r="J43" s="23">
        <f t="shared" si="13"/>
        <v>23.42115411857523</v>
      </c>
      <c r="K43" s="65">
        <f t="shared" si="14"/>
        <v>9.077966712626058</v>
      </c>
      <c r="L43" s="67">
        <f t="shared" si="9"/>
        <v>9.077966712626058</v>
      </c>
      <c r="M43" s="159">
        <f t="shared" si="16"/>
        <v>10.353123802916546</v>
      </c>
      <c r="N43" s="11">
        <f t="shared" si="6"/>
        <v>0.7473496352131771</v>
      </c>
      <c r="O43" s="210">
        <f t="shared" si="5"/>
        <v>23.63119546544066</v>
      </c>
      <c r="P43" s="122"/>
      <c r="Q43" s="149">
        <f>'Incentive effect'!P43/$Q$18</f>
        <v>5.3741313841284795</v>
      </c>
      <c r="R43" s="180">
        <v>0.008</v>
      </c>
      <c r="S43" s="180">
        <v>0.1203</v>
      </c>
      <c r="T43" s="180">
        <v>0.2397</v>
      </c>
      <c r="U43" s="180">
        <v>0.5133</v>
      </c>
      <c r="V43" s="180">
        <v>0.751</v>
      </c>
      <c r="W43" s="180">
        <v>0.8777</v>
      </c>
      <c r="AA43" s="180"/>
      <c r="AD43" s="287"/>
      <c r="AE43" s="575"/>
      <c r="AF43" s="575"/>
      <c r="AG43" s="287"/>
      <c r="AH43" s="12"/>
      <c r="AI43" s="574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</row>
    <row r="44" spans="1:50" ht="12.75" customHeight="1">
      <c r="A44" s="46">
        <v>2024</v>
      </c>
      <c r="B44" s="75">
        <f t="shared" si="15"/>
        <v>12.5284833867147</v>
      </c>
      <c r="C44" s="73"/>
      <c r="D44" s="22"/>
      <c r="E44" s="73"/>
      <c r="F44" s="67"/>
      <c r="G44" s="23">
        <f t="shared" si="10"/>
        <v>96.06728724480156</v>
      </c>
      <c r="H44" s="67">
        <f t="shared" si="11"/>
        <v>0</v>
      </c>
      <c r="I44" s="339">
        <f t="shared" si="12"/>
        <v>96.06728724480156</v>
      </c>
      <c r="J44" s="23">
        <f t="shared" si="13"/>
        <v>23.42115411857523</v>
      </c>
      <c r="K44" s="65">
        <f t="shared" si="14"/>
        <v>9.077966712626058</v>
      </c>
      <c r="L44" s="67">
        <f t="shared" si="9"/>
        <v>9.077966712626058</v>
      </c>
      <c r="M44" s="159">
        <f t="shared" si="16"/>
        <v>10.295553962957646</v>
      </c>
      <c r="N44" s="11">
        <f t="shared" si="6"/>
        <v>0.7451354105993733</v>
      </c>
      <c r="O44" s="210">
        <f t="shared" si="5"/>
        <v>23.561181683152185</v>
      </c>
      <c r="P44" s="122"/>
      <c r="Q44" s="149">
        <f>'Incentive effect'!P44/$Q$18</f>
        <v>5.487190172148918</v>
      </c>
      <c r="R44" s="180">
        <v>0.011</v>
      </c>
      <c r="S44" s="180">
        <v>0.146</v>
      </c>
      <c r="T44" s="180">
        <v>0.2553</v>
      </c>
      <c r="U44" s="180">
        <v>0.5373</v>
      </c>
      <c r="V44" s="180">
        <v>0.7687</v>
      </c>
      <c r="W44" s="180">
        <v>0.875</v>
      </c>
      <c r="AA44" s="180"/>
      <c r="AD44" s="287"/>
      <c r="AE44" s="575"/>
      <c r="AF44" s="575"/>
      <c r="AG44" s="287"/>
      <c r="AH44" s="12"/>
      <c r="AI44" s="574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</row>
    <row r="45" spans="1:50" ht="12.75" customHeight="1">
      <c r="A45" s="46">
        <v>2025</v>
      </c>
      <c r="B45" s="75">
        <f t="shared" si="15"/>
        <v>10.348604853174866</v>
      </c>
      <c r="C45" s="73"/>
      <c r="D45" s="22"/>
      <c r="E45" s="73"/>
      <c r="F45" s="67"/>
      <c r="G45" s="23">
        <f t="shared" si="10"/>
        <v>96.06728724480156</v>
      </c>
      <c r="H45" s="67">
        <f t="shared" si="11"/>
        <v>0</v>
      </c>
      <c r="I45" s="339">
        <f t="shared" si="12"/>
        <v>96.06728724480156</v>
      </c>
      <c r="J45" s="23">
        <f t="shared" si="13"/>
        <v>23.42115411857523</v>
      </c>
      <c r="K45" s="65">
        <f t="shared" si="14"/>
        <v>9.077966712626058</v>
      </c>
      <c r="L45" s="67">
        <f t="shared" si="9"/>
        <v>9.077966712626058</v>
      </c>
      <c r="M45" s="159">
        <f t="shared" si="16"/>
        <v>10.237984122998748</v>
      </c>
      <c r="N45" s="11">
        <f t="shared" si="6"/>
        <v>0.7429211859855693</v>
      </c>
      <c r="O45" s="210">
        <f t="shared" si="5"/>
        <v>23.491167900863704</v>
      </c>
      <c r="P45" s="122"/>
      <c r="Q45" s="149">
        <f>'Incentive effect'!P45/$Q$18</f>
        <v>5.612801640208176</v>
      </c>
      <c r="R45" s="180">
        <v>0.015</v>
      </c>
      <c r="S45" s="180">
        <v>0.1577</v>
      </c>
      <c r="T45" s="180">
        <v>0.277</v>
      </c>
      <c r="U45" s="180">
        <v>0.5517</v>
      </c>
      <c r="V45" s="180">
        <v>0.7793</v>
      </c>
      <c r="W45" s="180">
        <v>0.8843</v>
      </c>
      <c r="AA45" s="180"/>
      <c r="AD45" s="287"/>
      <c r="AE45" s="575"/>
      <c r="AF45" s="575"/>
      <c r="AG45" s="287"/>
      <c r="AH45" s="12"/>
      <c r="AI45" s="574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</row>
    <row r="46" spans="1:50" ht="12.75" customHeight="1">
      <c r="A46" s="46">
        <v>2026</v>
      </c>
      <c r="B46" s="75">
        <f t="shared" si="15"/>
        <v>8.548011686771066</v>
      </c>
      <c r="C46" s="73"/>
      <c r="D46" s="22"/>
      <c r="E46" s="73"/>
      <c r="F46" s="67"/>
      <c r="G46" s="23">
        <f t="shared" si="10"/>
        <v>96.06728724480156</v>
      </c>
      <c r="H46" s="67">
        <f t="shared" si="11"/>
        <v>0</v>
      </c>
      <c r="I46" s="339">
        <f t="shared" si="12"/>
        <v>96.06728724480156</v>
      </c>
      <c r="J46" s="23">
        <f t="shared" si="13"/>
        <v>23.42115411857523</v>
      </c>
      <c r="K46" s="65">
        <f t="shared" si="14"/>
        <v>9.077966712626058</v>
      </c>
      <c r="L46" s="67">
        <f t="shared" si="9"/>
        <v>9.077966712626058</v>
      </c>
      <c r="M46" s="159">
        <f t="shared" si="16"/>
        <v>10.180414283039852</v>
      </c>
      <c r="N46" s="11">
        <f t="shared" si="6"/>
        <v>0.7407069613717657</v>
      </c>
      <c r="O46" s="210">
        <f t="shared" si="5"/>
        <v>23.42115411857523</v>
      </c>
      <c r="P46" s="122"/>
      <c r="Q46" s="149">
        <f>'Incentive effect'!P46/$Q$18</f>
        <v>5.6914327854063425</v>
      </c>
      <c r="R46" s="180">
        <f aca="true" t="shared" si="17" ref="R46:R65">R45+((R45-R43)/3)</f>
        <v>0.017333333333333333</v>
      </c>
      <c r="S46" s="180">
        <f aca="true" t="shared" si="18" ref="S46:S65">S45+((S45-S43)/3)</f>
        <v>0.1701666666666667</v>
      </c>
      <c r="T46" s="180">
        <f aca="true" t="shared" si="19" ref="T46:T65">T45+((T45-T43)/3)</f>
        <v>0.2894333333333334</v>
      </c>
      <c r="U46" s="180">
        <f aca="true" t="shared" si="20" ref="U46:U65">U45+((U45-U43)/3)</f>
        <v>0.5645</v>
      </c>
      <c r="V46" s="180">
        <f aca="true" t="shared" si="21" ref="V46:V65">V45+((V45-V43)/3)</f>
        <v>0.7887333333333333</v>
      </c>
      <c r="W46" s="180">
        <f aca="true" t="shared" si="22" ref="W46:W65">W45+((W45-W43)/3)</f>
        <v>0.8865</v>
      </c>
      <c r="AA46" s="180"/>
      <c r="AD46" s="287"/>
      <c r="AE46" s="575"/>
      <c r="AF46" s="575"/>
      <c r="AG46" s="287"/>
      <c r="AH46" s="12"/>
      <c r="AI46" s="574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</row>
    <row r="47" spans="1:50" ht="12.75" customHeight="1">
      <c r="A47" s="46">
        <v>2027</v>
      </c>
      <c r="B47" s="75">
        <f t="shared" si="15"/>
        <v>7.060710582137834</v>
      </c>
      <c r="C47" s="73"/>
      <c r="D47" s="22"/>
      <c r="E47" s="73"/>
      <c r="F47" s="67"/>
      <c r="G47" s="23">
        <f t="shared" si="10"/>
        <v>96.06728724480156</v>
      </c>
      <c r="H47" s="67">
        <f t="shared" si="11"/>
        <v>0</v>
      </c>
      <c r="I47" s="339">
        <f t="shared" si="12"/>
        <v>96.06728724480156</v>
      </c>
      <c r="J47" s="23">
        <f t="shared" si="13"/>
        <v>23.42115411857523</v>
      </c>
      <c r="K47" s="65">
        <f t="shared" si="14"/>
        <v>9.077966712626058</v>
      </c>
      <c r="L47" s="67">
        <f t="shared" si="9"/>
        <v>9.077966712626058</v>
      </c>
      <c r="M47" s="159">
        <f t="shared" si="16"/>
        <v>10.180414283039852</v>
      </c>
      <c r="N47" s="11">
        <f t="shared" si="6"/>
        <v>0.7407069613717657</v>
      </c>
      <c r="O47" s="210">
        <f t="shared" si="5"/>
        <v>23.42115411857523</v>
      </c>
      <c r="P47" s="122"/>
      <c r="Q47" s="149">
        <f>'Incentive effect'!P47/$Q$18</f>
        <v>5.7879060140470155</v>
      </c>
      <c r="R47" s="180">
        <f t="shared" si="17"/>
        <v>0.019444444444444445</v>
      </c>
      <c r="S47" s="180">
        <f t="shared" si="18"/>
        <v>0.17822222222222225</v>
      </c>
      <c r="T47" s="180">
        <f t="shared" si="19"/>
        <v>0.30081111111111114</v>
      </c>
      <c r="U47" s="180">
        <f t="shared" si="20"/>
        <v>0.5735666666666667</v>
      </c>
      <c r="V47" s="180">
        <f t="shared" si="21"/>
        <v>0.7954111111111111</v>
      </c>
      <c r="W47" s="180">
        <f t="shared" si="22"/>
        <v>0.8903333333333333</v>
      </c>
      <c r="AA47" s="180"/>
      <c r="AD47" s="287"/>
      <c r="AE47" s="575"/>
      <c r="AF47" s="575"/>
      <c r="AG47" s="287"/>
      <c r="AH47" s="12"/>
      <c r="AI47" s="574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</row>
    <row r="48" spans="1:50" ht="12.75" customHeight="1">
      <c r="A48" s="46">
        <v>2028</v>
      </c>
      <c r="B48" s="75">
        <f t="shared" si="15"/>
        <v>5.832190660416019</v>
      </c>
      <c r="C48" s="73"/>
      <c r="D48" s="22"/>
      <c r="E48" s="73"/>
      <c r="F48" s="67"/>
      <c r="G48" s="23">
        <f t="shared" si="10"/>
        <v>96.06728724480156</v>
      </c>
      <c r="H48" s="67">
        <f t="shared" si="11"/>
        <v>0</v>
      </c>
      <c r="I48" s="339">
        <f t="shared" si="12"/>
        <v>96.06728724480156</v>
      </c>
      <c r="J48" s="23">
        <f t="shared" si="13"/>
        <v>23.42115411857523</v>
      </c>
      <c r="K48" s="65">
        <f t="shared" si="14"/>
        <v>9.077966712626058</v>
      </c>
      <c r="L48" s="67">
        <f t="shared" si="9"/>
        <v>9.077966712626058</v>
      </c>
      <c r="M48" s="159">
        <f t="shared" si="16"/>
        <v>10.180414283039852</v>
      </c>
      <c r="N48" s="11">
        <f t="shared" si="6"/>
        <v>0.7407069613717657</v>
      </c>
      <c r="O48" s="210">
        <f t="shared" si="5"/>
        <v>23.42115411857523</v>
      </c>
      <c r="P48" s="122"/>
      <c r="Q48" s="149">
        <f>'Incentive effect'!P48/$Q$18</f>
        <v>5.844779893828606</v>
      </c>
      <c r="R48" s="180">
        <f t="shared" si="17"/>
        <v>0.020925925925925928</v>
      </c>
      <c r="S48" s="180">
        <f t="shared" si="18"/>
        <v>0.185062962962963</v>
      </c>
      <c r="T48" s="180">
        <f t="shared" si="19"/>
        <v>0.30874814814814816</v>
      </c>
      <c r="U48" s="180">
        <f t="shared" si="20"/>
        <v>0.5808555555555556</v>
      </c>
      <c r="V48" s="180">
        <f t="shared" si="21"/>
        <v>0.8007814814814814</v>
      </c>
      <c r="W48" s="180">
        <f t="shared" si="22"/>
        <v>0.8923444444444444</v>
      </c>
      <c r="AA48" s="180"/>
      <c r="AD48" s="287"/>
      <c r="AE48" s="575"/>
      <c r="AF48" s="575"/>
      <c r="AG48" s="287"/>
      <c r="AH48" s="12"/>
      <c r="AI48" s="574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</row>
    <row r="49" spans="1:50" ht="12.75" customHeight="1">
      <c r="A49" s="46">
        <v>2029</v>
      </c>
      <c r="B49" s="75">
        <f t="shared" si="15"/>
        <v>4.817425598139301</v>
      </c>
      <c r="C49" s="73"/>
      <c r="D49" s="22"/>
      <c r="E49" s="73"/>
      <c r="F49" s="67"/>
      <c r="G49" s="23">
        <f t="shared" si="10"/>
        <v>96.06728724480156</v>
      </c>
      <c r="H49" s="67">
        <f t="shared" si="11"/>
        <v>0</v>
      </c>
      <c r="I49" s="339">
        <f t="shared" si="12"/>
        <v>96.06728724480156</v>
      </c>
      <c r="J49" s="23">
        <f t="shared" si="13"/>
        <v>23.42115411857523</v>
      </c>
      <c r="K49" s="65">
        <f t="shared" si="14"/>
        <v>9.077966712626058</v>
      </c>
      <c r="L49" s="67">
        <f t="shared" si="9"/>
        <v>9.077966712626058</v>
      </c>
      <c r="M49" s="159">
        <f t="shared" si="16"/>
        <v>10.180414283039852</v>
      </c>
      <c r="N49" s="11">
        <f t="shared" si="6"/>
        <v>0.7407069613717657</v>
      </c>
      <c r="O49" s="210">
        <f t="shared" si="5"/>
        <v>23.42115411857523</v>
      </c>
      <c r="P49" s="122"/>
      <c r="Q49" s="149">
        <f>'Incentive effect'!P49/$Q$18</f>
        <v>5.923367309570313</v>
      </c>
      <c r="R49" s="180">
        <f t="shared" si="17"/>
        <v>0.02212345679012346</v>
      </c>
      <c r="S49" s="180">
        <f t="shared" si="18"/>
        <v>0.19002839506172844</v>
      </c>
      <c r="T49" s="180">
        <f t="shared" si="19"/>
        <v>0.3151864197530864</v>
      </c>
      <c r="U49" s="180">
        <f t="shared" si="20"/>
        <v>0.5863074074074074</v>
      </c>
      <c r="V49" s="180">
        <f t="shared" si="21"/>
        <v>0.8047975308641975</v>
      </c>
      <c r="W49" s="180">
        <f t="shared" si="22"/>
        <v>0.8942925925925925</v>
      </c>
      <c r="AA49" s="180"/>
      <c r="AD49" s="287"/>
      <c r="AE49" s="575"/>
      <c r="AF49" s="575"/>
      <c r="AG49" s="287"/>
      <c r="AH49" s="12"/>
      <c r="AI49" s="574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</row>
    <row r="50" spans="1:50" ht="12.75" customHeight="1">
      <c r="A50" s="46">
        <v>2030</v>
      </c>
      <c r="B50" s="75"/>
      <c r="C50" s="73"/>
      <c r="D50" s="22"/>
      <c r="E50" s="73"/>
      <c r="F50" s="67"/>
      <c r="G50" s="23">
        <f t="shared" si="10"/>
        <v>96.06728724480156</v>
      </c>
      <c r="H50" s="67">
        <f t="shared" si="11"/>
        <v>0</v>
      </c>
      <c r="I50" s="339">
        <f t="shared" si="12"/>
        <v>96.06728724480156</v>
      </c>
      <c r="J50" s="23">
        <f t="shared" si="13"/>
        <v>23.42115411857523</v>
      </c>
      <c r="K50" s="65">
        <f t="shared" si="14"/>
        <v>9.077966712626058</v>
      </c>
      <c r="L50" s="67">
        <f t="shared" si="9"/>
        <v>9.077966712626058</v>
      </c>
      <c r="M50" s="159">
        <f t="shared" si="16"/>
        <v>10.180414283039852</v>
      </c>
      <c r="N50" s="11">
        <f t="shared" si="6"/>
        <v>0.7407069613717657</v>
      </c>
      <c r="O50" s="210">
        <f t="shared" si="5"/>
        <v>23.42115411857523</v>
      </c>
      <c r="P50" s="122"/>
      <c r="Q50" s="149">
        <f>'Incentive effect'!P50/$Q$18</f>
        <v>6.087279733797397</v>
      </c>
      <c r="R50" s="180">
        <f t="shared" si="17"/>
        <v>0.023016460905349798</v>
      </c>
      <c r="S50" s="180">
        <f t="shared" si="18"/>
        <v>0.1939637860082305</v>
      </c>
      <c r="T50" s="180">
        <f t="shared" si="19"/>
        <v>0.3199781893004115</v>
      </c>
      <c r="U50" s="180">
        <f t="shared" si="20"/>
        <v>0.5905543209876543</v>
      </c>
      <c r="V50" s="180">
        <f t="shared" si="21"/>
        <v>0.8079263374485596</v>
      </c>
      <c r="W50" s="180">
        <f t="shared" si="22"/>
        <v>0.8956123456790123</v>
      </c>
      <c r="AA50" s="180"/>
      <c r="AD50" s="287"/>
      <c r="AE50" s="575"/>
      <c r="AF50" s="575"/>
      <c r="AG50" s="287"/>
      <c r="AH50" s="12"/>
      <c r="AI50" s="574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</row>
    <row r="51" spans="1:50" ht="12.75" customHeight="1">
      <c r="A51" s="46">
        <v>2031</v>
      </c>
      <c r="B51" s="75"/>
      <c r="C51" s="73"/>
      <c r="D51" s="22"/>
      <c r="E51" s="73"/>
      <c r="F51" s="67"/>
      <c r="G51" s="23">
        <v>0</v>
      </c>
      <c r="H51" s="67">
        <v>0</v>
      </c>
      <c r="I51" s="339">
        <f t="shared" si="12"/>
        <v>96.06728724480156</v>
      </c>
      <c r="J51" s="23">
        <v>0</v>
      </c>
      <c r="K51" s="65">
        <v>0</v>
      </c>
      <c r="L51" s="67">
        <f t="shared" si="9"/>
        <v>9.077966712626058</v>
      </c>
      <c r="M51" s="159">
        <f t="shared" si="16"/>
        <v>10.180414283039852</v>
      </c>
      <c r="N51" s="11">
        <f t="shared" si="6"/>
        <v>0.7407069613717657</v>
      </c>
      <c r="O51" s="210">
        <f t="shared" si="5"/>
        <v>23.42115411857523</v>
      </c>
      <c r="P51" s="122"/>
      <c r="Q51" s="149">
        <f>'Incentive effect'!P51/$Q$18</f>
        <v>6.168849282230282</v>
      </c>
      <c r="R51" s="180">
        <f t="shared" si="17"/>
        <v>0.023713305898491088</v>
      </c>
      <c r="S51" s="180">
        <f t="shared" si="18"/>
        <v>0.19693072702331965</v>
      </c>
      <c r="T51" s="180">
        <f t="shared" si="19"/>
        <v>0.32372153635116596</v>
      </c>
      <c r="U51" s="180">
        <f t="shared" si="20"/>
        <v>0.5937872427983538</v>
      </c>
      <c r="V51" s="180">
        <f t="shared" si="21"/>
        <v>0.8103079561042523</v>
      </c>
      <c r="W51" s="180">
        <f t="shared" si="22"/>
        <v>0.8967016460905349</v>
      </c>
      <c r="AA51" s="180"/>
      <c r="AB51" s="8"/>
      <c r="AC51" s="8"/>
      <c r="AD51" s="287"/>
      <c r="AE51" s="575"/>
      <c r="AF51" s="575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</row>
    <row r="52" spans="1:50" ht="12.75" customHeight="1">
      <c r="A52" s="46">
        <v>2032</v>
      </c>
      <c r="B52" s="75"/>
      <c r="C52" s="73"/>
      <c r="D52" s="22"/>
      <c r="E52" s="73"/>
      <c r="F52" s="67"/>
      <c r="G52" s="23"/>
      <c r="H52" s="67"/>
      <c r="I52" s="339">
        <f t="shared" si="12"/>
        <v>76.85382979584125</v>
      </c>
      <c r="J52" s="23"/>
      <c r="K52" s="65"/>
      <c r="L52" s="67">
        <f t="shared" si="9"/>
        <v>7.262373370100846</v>
      </c>
      <c r="M52" s="159">
        <f t="shared" si="16"/>
        <v>10.180414283039852</v>
      </c>
      <c r="N52" s="11">
        <f t="shared" si="6"/>
        <v>0.6708764481977192</v>
      </c>
      <c r="O52" s="210">
        <f t="shared" si="5"/>
        <v>21.21311329201188</v>
      </c>
      <c r="P52" s="122"/>
      <c r="Q52" s="149">
        <f>'Incentive effect'!P52/$Q$18</f>
        <v>6.251511862612168</v>
      </c>
      <c r="R52" s="180">
        <f t="shared" si="17"/>
        <v>0.024243255601280298</v>
      </c>
      <c r="S52" s="180">
        <f t="shared" si="18"/>
        <v>0.19923150434385006</v>
      </c>
      <c r="T52" s="180">
        <f t="shared" si="19"/>
        <v>0.32656657521719246</v>
      </c>
      <c r="U52" s="180">
        <f t="shared" si="20"/>
        <v>0.5962805212620026</v>
      </c>
      <c r="V52" s="180">
        <f t="shared" si="21"/>
        <v>0.812144764517604</v>
      </c>
      <c r="W52" s="180">
        <f t="shared" si="22"/>
        <v>0.8975046639231824</v>
      </c>
      <c r="AA52" s="180"/>
      <c r="AB52" s="8"/>
      <c r="AC52" s="8"/>
      <c r="AD52" s="287"/>
      <c r="AE52" s="575"/>
      <c r="AF52" s="575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</row>
    <row r="53" spans="1:50" ht="12.75" customHeight="1">
      <c r="A53" s="46">
        <v>2033</v>
      </c>
      <c r="B53" s="75"/>
      <c r="C53" s="73"/>
      <c r="D53" s="22"/>
      <c r="E53" s="73"/>
      <c r="F53" s="67"/>
      <c r="G53" s="23"/>
      <c r="H53" s="67"/>
      <c r="I53" s="339">
        <f t="shared" si="12"/>
        <v>57.64037234688094</v>
      </c>
      <c r="J53" s="23"/>
      <c r="K53" s="65"/>
      <c r="L53" s="67">
        <f t="shared" si="9"/>
        <v>5.446780027575635</v>
      </c>
      <c r="M53" s="159">
        <f t="shared" si="16"/>
        <v>10.180414283039852</v>
      </c>
      <c r="N53" s="11">
        <f t="shared" si="6"/>
        <v>0.6010459350236725</v>
      </c>
      <c r="O53" s="210">
        <f t="shared" si="5"/>
        <v>19.005072465448528</v>
      </c>
      <c r="P53" s="122"/>
      <c r="Q53" s="149">
        <f>'Incentive effect'!P53/$Q$18</f>
        <v>6.335282121571172</v>
      </c>
      <c r="R53" s="180">
        <f t="shared" si="17"/>
        <v>0.024652187166590466</v>
      </c>
      <c r="S53" s="180">
        <f t="shared" si="18"/>
        <v>0.20098741045572324</v>
      </c>
      <c r="T53" s="180">
        <f t="shared" si="19"/>
        <v>0.32876270385611944</v>
      </c>
      <c r="U53" s="180">
        <f t="shared" si="20"/>
        <v>0.5981892546867854</v>
      </c>
      <c r="V53" s="180">
        <f t="shared" si="21"/>
        <v>0.8135509068739522</v>
      </c>
      <c r="W53" s="180">
        <f t="shared" si="22"/>
        <v>0.8981354366712391</v>
      </c>
      <c r="AA53" s="180"/>
      <c r="AB53" s="8"/>
      <c r="AC53" s="8"/>
      <c r="AD53" s="287"/>
      <c r="AE53" s="575"/>
      <c r="AF53" s="575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</row>
    <row r="54" spans="1:50" ht="12.75" customHeight="1">
      <c r="A54" s="46">
        <v>2034</v>
      </c>
      <c r="B54" s="75"/>
      <c r="C54" s="73"/>
      <c r="D54" s="22"/>
      <c r="E54" s="73"/>
      <c r="F54" s="67"/>
      <c r="G54" s="23"/>
      <c r="H54" s="67"/>
      <c r="I54" s="339">
        <f t="shared" si="12"/>
        <v>38.426914897920625</v>
      </c>
      <c r="J54" s="23"/>
      <c r="K54" s="65"/>
      <c r="L54" s="67">
        <f t="shared" si="9"/>
        <v>3.631186685050423</v>
      </c>
      <c r="M54" s="159">
        <f t="shared" si="16"/>
        <v>10.180414283039852</v>
      </c>
      <c r="N54" s="11">
        <f t="shared" si="6"/>
        <v>0.531215421849626</v>
      </c>
      <c r="O54" s="210">
        <f t="shared" si="5"/>
        <v>16.797031638885173</v>
      </c>
      <c r="P54" s="122"/>
      <c r="Q54" s="149">
        <f>'Incentive effect'!P54/$Q$18</f>
        <v>6.420174902000226</v>
      </c>
      <c r="R54" s="180">
        <f t="shared" si="17"/>
        <v>0.02496514758929026</v>
      </c>
      <c r="S54" s="180">
        <f t="shared" si="18"/>
        <v>0.20233963826652443</v>
      </c>
      <c r="T54" s="180">
        <f t="shared" si="19"/>
        <v>0.33044309302443725</v>
      </c>
      <c r="U54" s="180">
        <f t="shared" si="20"/>
        <v>0.5996565919829293</v>
      </c>
      <c r="V54" s="180">
        <f t="shared" si="21"/>
        <v>0.8146318904638521</v>
      </c>
      <c r="W54" s="180">
        <f t="shared" si="22"/>
        <v>0.8986133668648071</v>
      </c>
      <c r="AA54" s="180"/>
      <c r="AB54" s="8"/>
      <c r="AC54" s="8"/>
      <c r="AD54" s="287"/>
      <c r="AE54" s="575"/>
      <c r="AF54" s="575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</row>
    <row r="55" spans="1:50" ht="12.75" customHeight="1">
      <c r="A55" s="46">
        <v>2035</v>
      </c>
      <c r="B55" s="75"/>
      <c r="C55" s="73"/>
      <c r="D55" s="22"/>
      <c r="E55" s="73"/>
      <c r="F55" s="67"/>
      <c r="G55" s="23"/>
      <c r="H55" s="67"/>
      <c r="I55" s="339">
        <f t="shared" si="12"/>
        <v>19.213457448960312</v>
      </c>
      <c r="J55" s="23"/>
      <c r="K55" s="65"/>
      <c r="L55" s="67">
        <f t="shared" si="9"/>
        <v>1.8155933425252115</v>
      </c>
      <c r="M55" s="159">
        <f t="shared" si="16"/>
        <v>10.180414283039852</v>
      </c>
      <c r="N55" s="11">
        <f t="shared" si="6"/>
        <v>0.46138490867557935</v>
      </c>
      <c r="O55" s="210">
        <f t="shared" si="5"/>
        <v>14.58899081232182</v>
      </c>
      <c r="P55" s="122"/>
      <c r="Q55" s="149">
        <f>'Incentive effect'!P55/$Q$18</f>
        <v>6.506205245687029</v>
      </c>
      <c r="R55" s="180">
        <f t="shared" si="17"/>
        <v>0.025205778251960246</v>
      </c>
      <c r="S55" s="180">
        <f t="shared" si="18"/>
        <v>0.2033756829074159</v>
      </c>
      <c r="T55" s="180">
        <f t="shared" si="19"/>
        <v>0.3317352656268522</v>
      </c>
      <c r="U55" s="180">
        <f t="shared" si="20"/>
        <v>0.6007819488899049</v>
      </c>
      <c r="V55" s="180">
        <f t="shared" si="21"/>
        <v>0.8154609324459348</v>
      </c>
      <c r="W55" s="180">
        <f t="shared" si="22"/>
        <v>0.8989829345120153</v>
      </c>
      <c r="AA55" s="180"/>
      <c r="AB55" s="8"/>
      <c r="AC55" s="8"/>
      <c r="AD55" s="287"/>
      <c r="AE55" s="575"/>
      <c r="AF55" s="575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</row>
    <row r="56" spans="1:50" ht="12.75" customHeight="1">
      <c r="A56" s="46">
        <v>2036</v>
      </c>
      <c r="B56" s="75"/>
      <c r="C56" s="73"/>
      <c r="D56" s="22"/>
      <c r="E56" s="73"/>
      <c r="F56" s="67"/>
      <c r="G56" s="13"/>
      <c r="H56" s="22"/>
      <c r="I56" s="339">
        <f t="shared" si="12"/>
        <v>0</v>
      </c>
      <c r="J56" s="67"/>
      <c r="K56" s="69"/>
      <c r="L56" s="67">
        <f t="shared" si="9"/>
        <v>0</v>
      </c>
      <c r="M56" s="159">
        <f t="shared" si="16"/>
        <v>10.180414283039852</v>
      </c>
      <c r="N56" s="11">
        <f t="shared" si="6"/>
        <v>0.39155439550153276</v>
      </c>
      <c r="O56" s="210">
        <f t="shared" si="5"/>
        <v>12.380949985758466</v>
      </c>
      <c r="P56" s="122"/>
      <c r="Q56" s="149">
        <f>'Incentive effect'!P56/$Q$18</f>
        <v>6.593388395979236</v>
      </c>
      <c r="R56" s="180">
        <f t="shared" si="17"/>
        <v>0.025390308613750173</v>
      </c>
      <c r="S56" s="180">
        <f t="shared" si="18"/>
        <v>0.2041717737246468</v>
      </c>
      <c r="T56" s="180">
        <f t="shared" si="19"/>
        <v>0.33272611955042974</v>
      </c>
      <c r="U56" s="180">
        <f t="shared" si="20"/>
        <v>0.6016461802909447</v>
      </c>
      <c r="V56" s="180">
        <f t="shared" si="21"/>
        <v>0.8160976076365957</v>
      </c>
      <c r="W56" s="180">
        <f t="shared" si="22"/>
        <v>0.899265433792274</v>
      </c>
      <c r="AA56" s="180"/>
      <c r="AB56" s="8"/>
      <c r="AC56" s="8"/>
      <c r="AD56" s="287"/>
      <c r="AE56" s="575"/>
      <c r="AF56" s="575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</row>
    <row r="57" spans="1:50" ht="12.75" customHeight="1">
      <c r="A57" s="46">
        <v>2037</v>
      </c>
      <c r="B57" s="75"/>
      <c r="C57" s="73"/>
      <c r="D57" s="22"/>
      <c r="E57" s="73"/>
      <c r="F57" s="67"/>
      <c r="G57" s="10"/>
      <c r="H57" s="22"/>
      <c r="I57" s="339">
        <f t="shared" si="12"/>
        <v>0</v>
      </c>
      <c r="J57" s="67"/>
      <c r="K57" s="8"/>
      <c r="L57" s="67">
        <f t="shared" si="9"/>
        <v>0</v>
      </c>
      <c r="M57" s="159">
        <f t="shared" si="16"/>
        <v>9.049257140479869</v>
      </c>
      <c r="N57" s="11">
        <f t="shared" si="6"/>
        <v>0.34804835155691805</v>
      </c>
      <c r="O57" s="210">
        <f t="shared" si="5"/>
        <v>11.005288876229748</v>
      </c>
      <c r="P57" s="122"/>
      <c r="Q57" s="149">
        <f>'Incentive effect'!P57/$Q$18</f>
        <v>6.681739800485359</v>
      </c>
      <c r="R57" s="180">
        <f t="shared" si="17"/>
        <v>0.02553202895523681</v>
      </c>
      <c r="S57" s="180">
        <f t="shared" si="18"/>
        <v>0.2047824855440209</v>
      </c>
      <c r="T57" s="180">
        <f t="shared" si="19"/>
        <v>0.3334871283924272</v>
      </c>
      <c r="U57" s="180">
        <f t="shared" si="20"/>
        <v>0.6023093763936166</v>
      </c>
      <c r="V57" s="180">
        <f t="shared" si="21"/>
        <v>0.8165861800275102</v>
      </c>
      <c r="W57" s="180">
        <f t="shared" si="22"/>
        <v>0.8994827894347629</v>
      </c>
      <c r="AA57" s="180"/>
      <c r="AB57" s="8"/>
      <c r="AC57" s="8"/>
      <c r="AD57" s="287"/>
      <c r="AE57" s="575"/>
      <c r="AF57" s="575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</row>
    <row r="58" spans="1:50" ht="12.75" customHeight="1">
      <c r="A58" s="46">
        <v>2038</v>
      </c>
      <c r="B58" s="75"/>
      <c r="C58" s="73"/>
      <c r="D58" s="22"/>
      <c r="E58" s="73"/>
      <c r="F58" s="67"/>
      <c r="G58" s="10"/>
      <c r="H58" s="22"/>
      <c r="I58" s="339">
        <f t="shared" si="12"/>
        <v>0</v>
      </c>
      <c r="J58" s="67"/>
      <c r="K58" s="8"/>
      <c r="L58" s="67">
        <f t="shared" si="9"/>
        <v>0</v>
      </c>
      <c r="M58" s="159">
        <f t="shared" si="16"/>
        <v>7.918099997919882</v>
      </c>
      <c r="N58" s="11">
        <f t="shared" si="6"/>
        <v>0.30454230761230316</v>
      </c>
      <c r="O58" s="210">
        <f t="shared" si="5"/>
        <v>9.629627766701025</v>
      </c>
      <c r="P58" s="122"/>
      <c r="Q58" s="149">
        <f>'Incentive effect'!P58/$Q$18</f>
        <v>6.771275113811863</v>
      </c>
      <c r="R58" s="180">
        <f t="shared" si="17"/>
        <v>0.025640779189662333</v>
      </c>
      <c r="S58" s="180">
        <f t="shared" si="18"/>
        <v>0.20525141975622258</v>
      </c>
      <c r="T58" s="180">
        <f t="shared" si="19"/>
        <v>0.3340710826476189</v>
      </c>
      <c r="U58" s="180">
        <f t="shared" si="20"/>
        <v>0.6028185188948538</v>
      </c>
      <c r="V58" s="180">
        <f t="shared" si="21"/>
        <v>0.8169612625547019</v>
      </c>
      <c r="W58" s="180">
        <f t="shared" si="22"/>
        <v>0.8996494077423455</v>
      </c>
      <c r="AA58" s="180"/>
      <c r="AB58" s="8"/>
      <c r="AC58" s="8"/>
      <c r="AD58" s="287"/>
      <c r="AE58" s="575"/>
      <c r="AF58" s="575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</row>
    <row r="59" spans="1:50" ht="12.75" customHeight="1">
      <c r="A59" s="46">
        <v>2039</v>
      </c>
      <c r="B59" s="75"/>
      <c r="C59" s="73"/>
      <c r="D59" s="22"/>
      <c r="E59" s="73"/>
      <c r="F59" s="67"/>
      <c r="G59" s="10"/>
      <c r="H59" s="22"/>
      <c r="I59" s="339">
        <f t="shared" si="12"/>
        <v>0</v>
      </c>
      <c r="J59" s="67"/>
      <c r="K59" s="8"/>
      <c r="L59" s="67">
        <f t="shared" si="9"/>
        <v>0</v>
      </c>
      <c r="M59" s="159">
        <f t="shared" si="16"/>
        <v>6.7869428553599</v>
      </c>
      <c r="N59" s="11">
        <f t="shared" si="6"/>
        <v>0.26103626366768845</v>
      </c>
      <c r="O59" s="210">
        <f t="shared" si="5"/>
        <v>8.25396665717231</v>
      </c>
      <c r="P59" s="122"/>
      <c r="Q59" s="149">
        <f>'Incentive effect'!P59/$Q$18</f>
        <v>6.862010200336942</v>
      </c>
      <c r="R59" s="180">
        <f t="shared" si="17"/>
        <v>0.025724269381633053</v>
      </c>
      <c r="S59" s="180">
        <f t="shared" si="18"/>
        <v>0.20561130176674783</v>
      </c>
      <c r="T59" s="180">
        <f t="shared" si="19"/>
        <v>0.3345194036800153</v>
      </c>
      <c r="U59" s="180">
        <f t="shared" si="20"/>
        <v>0.6032092984294902</v>
      </c>
      <c r="V59" s="180">
        <f t="shared" si="21"/>
        <v>0.817249147527404</v>
      </c>
      <c r="W59" s="180">
        <f t="shared" si="22"/>
        <v>0.899777399059036</v>
      </c>
      <c r="AA59" s="180"/>
      <c r="AB59" s="8"/>
      <c r="AC59" s="8"/>
      <c r="AD59" s="287"/>
      <c r="AE59" s="575"/>
      <c r="AF59" s="575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</row>
    <row r="60" spans="1:50" ht="12.75" customHeight="1">
      <c r="A60" s="46">
        <v>2040</v>
      </c>
      <c r="B60" s="75"/>
      <c r="C60" s="73"/>
      <c r="D60" s="22"/>
      <c r="E60" s="73"/>
      <c r="F60" s="67"/>
      <c r="G60" s="10"/>
      <c r="H60" s="22"/>
      <c r="I60" s="339">
        <f t="shared" si="12"/>
        <v>0</v>
      </c>
      <c r="J60" s="67"/>
      <c r="K60" s="8"/>
      <c r="L60" s="67">
        <f t="shared" si="9"/>
        <v>0</v>
      </c>
      <c r="M60" s="159">
        <f t="shared" si="16"/>
        <v>5.655785712799917</v>
      </c>
      <c r="N60" s="11">
        <f t="shared" si="6"/>
        <v>0.2175302197230737</v>
      </c>
      <c r="O60" s="210">
        <f t="shared" si="5"/>
        <v>6.878305547643591</v>
      </c>
      <c r="P60" s="122"/>
      <c r="Q60" s="149">
        <f>'Incentive effect'!P60/$Q$18</f>
        <v>6.953961137021459</v>
      </c>
      <c r="R60" s="180">
        <f t="shared" si="17"/>
        <v>0.025788349523765134</v>
      </c>
      <c r="S60" s="180">
        <f t="shared" si="18"/>
        <v>0.20588757384099013</v>
      </c>
      <c r="T60" s="180">
        <f t="shared" si="19"/>
        <v>0.3348634954425447</v>
      </c>
      <c r="U60" s="180">
        <f t="shared" si="20"/>
        <v>0.6035092724414481</v>
      </c>
      <c r="V60" s="180">
        <f t="shared" si="21"/>
        <v>0.8174701366940352</v>
      </c>
      <c r="W60" s="180">
        <f t="shared" si="22"/>
        <v>0.899875602267127</v>
      </c>
      <c r="AA60" s="180"/>
      <c r="AB60" s="8"/>
      <c r="AC60" s="8"/>
      <c r="AD60" s="287"/>
      <c r="AE60" s="575"/>
      <c r="AF60" s="575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</row>
    <row r="61" spans="1:50" ht="12.75" customHeight="1">
      <c r="A61" s="46">
        <v>2041</v>
      </c>
      <c r="B61" s="75"/>
      <c r="C61" s="73"/>
      <c r="D61" s="22"/>
      <c r="E61" s="73"/>
      <c r="F61" s="67"/>
      <c r="G61" s="10"/>
      <c r="H61" s="22"/>
      <c r="I61" s="339">
        <f t="shared" si="12"/>
        <v>0</v>
      </c>
      <c r="J61" s="67"/>
      <c r="K61" s="8"/>
      <c r="L61" s="67">
        <f t="shared" si="9"/>
        <v>0</v>
      </c>
      <c r="M61" s="159">
        <f t="shared" si="16"/>
        <v>4.524628570239934</v>
      </c>
      <c r="N61" s="11">
        <f t="shared" si="6"/>
        <v>0.17402417577845902</v>
      </c>
      <c r="O61" s="210">
        <f t="shared" si="5"/>
        <v>5.502644438114874</v>
      </c>
      <c r="P61" s="122"/>
      <c r="Q61" s="149">
        <f>'Incentive effect'!P61/$Q$18</f>
        <v>7.047144216257546</v>
      </c>
      <c r="R61" s="180">
        <f t="shared" si="17"/>
        <v>0.025837539635132734</v>
      </c>
      <c r="S61" s="180">
        <f t="shared" si="18"/>
        <v>0.20609962520257932</v>
      </c>
      <c r="T61" s="180">
        <f t="shared" si="19"/>
        <v>0.33512763304085325</v>
      </c>
      <c r="U61" s="180">
        <f t="shared" si="20"/>
        <v>0.6037395236236462</v>
      </c>
      <c r="V61" s="180">
        <f t="shared" si="21"/>
        <v>0.8176397614071463</v>
      </c>
      <c r="W61" s="180">
        <f t="shared" si="22"/>
        <v>0.8999510004420542</v>
      </c>
      <c r="AA61" s="180"/>
      <c r="AB61" s="8"/>
      <c r="AC61" s="8"/>
      <c r="AD61" s="287"/>
      <c r="AE61" s="575"/>
      <c r="AF61" s="575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</row>
    <row r="62" spans="1:50" ht="12.75" customHeight="1">
      <c r="A62" s="46">
        <v>2042</v>
      </c>
      <c r="B62" s="75"/>
      <c r="C62" s="73"/>
      <c r="D62" s="22"/>
      <c r="E62" s="73"/>
      <c r="F62" s="67"/>
      <c r="G62" s="10"/>
      <c r="H62" s="22"/>
      <c r="I62" s="333"/>
      <c r="J62" s="67"/>
      <c r="K62" s="8"/>
      <c r="L62" s="67"/>
      <c r="M62" s="159">
        <f t="shared" si="16"/>
        <v>3.39347142767995</v>
      </c>
      <c r="N62" s="11">
        <f t="shared" si="6"/>
        <v>0.13051813183384423</v>
      </c>
      <c r="O62" s="210">
        <f t="shared" si="5"/>
        <v>4.126983328586155</v>
      </c>
      <c r="P62" s="122"/>
      <c r="Q62" s="149">
        <f>'Incentive effect'!P62/$Q$18</f>
        <v>7.141575948755398</v>
      </c>
      <c r="R62" s="180">
        <f t="shared" si="17"/>
        <v>0.025875296386299294</v>
      </c>
      <c r="S62" s="180">
        <f t="shared" si="18"/>
        <v>0.2062623996811898</v>
      </c>
      <c r="T62" s="180">
        <f t="shared" si="19"/>
        <v>0.33533037616113254</v>
      </c>
      <c r="U62" s="180">
        <f t="shared" si="20"/>
        <v>0.6039162653550316</v>
      </c>
      <c r="V62" s="180">
        <f t="shared" si="21"/>
        <v>0.8177699660337271</v>
      </c>
      <c r="W62" s="180">
        <f t="shared" si="22"/>
        <v>0.900008867569727</v>
      </c>
      <c r="AA62" s="180"/>
      <c r="AB62" s="8"/>
      <c r="AC62" s="8"/>
      <c r="AD62" s="287"/>
      <c r="AE62" s="575"/>
      <c r="AF62" s="575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</row>
    <row r="63" spans="1:50" ht="12.75" customHeight="1">
      <c r="A63" s="46">
        <v>2043</v>
      </c>
      <c r="B63" s="75"/>
      <c r="C63" s="73"/>
      <c r="D63" s="22"/>
      <c r="E63" s="73"/>
      <c r="F63" s="67"/>
      <c r="G63" s="10"/>
      <c r="H63" s="22"/>
      <c r="I63" s="333"/>
      <c r="J63" s="67"/>
      <c r="K63" s="8"/>
      <c r="L63" s="67"/>
      <c r="M63" s="159">
        <f t="shared" si="16"/>
        <v>2.262314285119967</v>
      </c>
      <c r="N63" s="11">
        <f t="shared" si="6"/>
        <v>0.08701208788922951</v>
      </c>
      <c r="O63" s="210">
        <f t="shared" si="5"/>
        <v>2.751322219057437</v>
      </c>
      <c r="P63" s="122"/>
      <c r="Q63" s="149">
        <f>'Incentive effect'!P63/$Q$18</f>
        <v>7.237273066468721</v>
      </c>
      <c r="R63" s="180">
        <f t="shared" si="17"/>
        <v>0.02590427867381068</v>
      </c>
      <c r="S63" s="180">
        <f t="shared" si="18"/>
        <v>0.20638734162792305</v>
      </c>
      <c r="T63" s="180">
        <f t="shared" si="19"/>
        <v>0.3354860030673285</v>
      </c>
      <c r="U63" s="180">
        <f t="shared" si="20"/>
        <v>0.6040519296595595</v>
      </c>
      <c r="V63" s="180">
        <f t="shared" si="21"/>
        <v>0.8178699091469577</v>
      </c>
      <c r="W63" s="180">
        <f t="shared" si="22"/>
        <v>0.9000532893372603</v>
      </c>
      <c r="AA63" s="180"/>
      <c r="AB63" s="8"/>
      <c r="AC63" s="8"/>
      <c r="AD63" s="287"/>
      <c r="AE63" s="575"/>
      <c r="AF63" s="575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</row>
    <row r="64" spans="1:50" ht="12.75" customHeight="1">
      <c r="A64" s="46">
        <v>2044</v>
      </c>
      <c r="B64" s="75"/>
      <c r="C64" s="73"/>
      <c r="D64" s="22"/>
      <c r="E64" s="73"/>
      <c r="F64" s="67"/>
      <c r="G64" s="10"/>
      <c r="H64" s="22"/>
      <c r="I64" s="333"/>
      <c r="J64" s="67"/>
      <c r="K64" s="8"/>
      <c r="L64" s="67"/>
      <c r="M64" s="159">
        <f t="shared" si="16"/>
        <v>1.1311571425599836</v>
      </c>
      <c r="N64" s="11">
        <f t="shared" si="6"/>
        <v>0.043506043944614756</v>
      </c>
      <c r="O64" s="210">
        <f t="shared" si="5"/>
        <v>1.3756611095287186</v>
      </c>
      <c r="P64" s="122"/>
      <c r="Q64" s="149">
        <f>'Incentive effect'!P64/$Q$18</f>
        <v>7.3342525255594015</v>
      </c>
      <c r="R64" s="180">
        <f t="shared" si="17"/>
        <v>0.025926525020036662</v>
      </c>
      <c r="S64" s="180">
        <f t="shared" si="18"/>
        <v>0.20648324710303761</v>
      </c>
      <c r="T64" s="180">
        <f t="shared" si="19"/>
        <v>0.33560545974282024</v>
      </c>
      <c r="U64" s="180">
        <f t="shared" si="20"/>
        <v>0.6041560650048639</v>
      </c>
      <c r="V64" s="180">
        <f t="shared" si="21"/>
        <v>0.8179466250602281</v>
      </c>
      <c r="W64" s="180">
        <f t="shared" si="22"/>
        <v>0.9000873856356623</v>
      </c>
      <c r="AA64" s="180"/>
      <c r="AB64" s="8"/>
      <c r="AC64" s="8"/>
      <c r="AD64" s="287"/>
      <c r="AE64" s="575"/>
      <c r="AF64" s="575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</row>
    <row r="65" spans="1:50" ht="12.75" customHeight="1">
      <c r="A65" s="46">
        <v>2045</v>
      </c>
      <c r="B65" s="75"/>
      <c r="C65" s="73"/>
      <c r="D65" s="22"/>
      <c r="E65" s="73"/>
      <c r="F65" s="67"/>
      <c r="G65" s="10"/>
      <c r="H65" s="22"/>
      <c r="I65" s="333"/>
      <c r="J65" s="67"/>
      <c r="K65" s="8"/>
      <c r="L65" s="67"/>
      <c r="M65" s="68"/>
      <c r="N65" s="11">
        <f t="shared" si="6"/>
        <v>0</v>
      </c>
      <c r="O65" s="69"/>
      <c r="P65" s="122"/>
      <c r="Q65" s="149">
        <f>'Incentive effect'!P65/$Q$18</f>
        <v>7.432531509401898</v>
      </c>
      <c r="R65" s="180">
        <f t="shared" si="17"/>
        <v>0.02594360123128245</v>
      </c>
      <c r="S65" s="180">
        <f t="shared" si="18"/>
        <v>0.20655686291032022</v>
      </c>
      <c r="T65" s="180">
        <f t="shared" si="19"/>
        <v>0.3356971542700495</v>
      </c>
      <c r="U65" s="180">
        <f t="shared" si="20"/>
        <v>0.6042359982214746</v>
      </c>
      <c r="V65" s="180">
        <f t="shared" si="21"/>
        <v>0.8180055114023951</v>
      </c>
      <c r="W65" s="180">
        <f t="shared" si="22"/>
        <v>0.9001135583243074</v>
      </c>
      <c r="AA65" s="180"/>
      <c r="AB65" s="8"/>
      <c r="AC65" s="8"/>
      <c r="AD65" s="287"/>
      <c r="AE65" s="575"/>
      <c r="AF65" s="575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</row>
    <row r="66" spans="1:50" ht="13.5" customHeight="1" thickBot="1">
      <c r="A66" s="46"/>
      <c r="B66" s="76"/>
      <c r="C66" s="77"/>
      <c r="D66" s="77"/>
      <c r="E66" s="77"/>
      <c r="F66" s="78"/>
      <c r="G66" s="76"/>
      <c r="H66" s="77"/>
      <c r="I66" s="334"/>
      <c r="J66" s="77"/>
      <c r="K66" s="77"/>
      <c r="L66" s="77"/>
      <c r="M66" s="335"/>
      <c r="N66" s="79"/>
      <c r="O66" s="336"/>
      <c r="P66" s="571"/>
      <c r="Q66" s="572"/>
      <c r="R66" s="8"/>
      <c r="S66" s="8"/>
      <c r="T66" s="8"/>
      <c r="U66" s="8"/>
      <c r="Y66" s="133"/>
      <c r="Z66" s="133"/>
      <c r="AA66" s="8"/>
      <c r="AB66" s="8"/>
      <c r="AC66" s="8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</row>
    <row r="67" spans="1:50" ht="13.5" customHeight="1" thickTop="1">
      <c r="A67" t="s">
        <v>85</v>
      </c>
      <c r="B67" s="62">
        <f>SUM(B23:B66)</f>
        <v>3069.889633993176</v>
      </c>
      <c r="C67" s="82">
        <f>SUM(C23:C66)</f>
        <v>4213.511218556997</v>
      </c>
      <c r="D67" s="82">
        <f>SUM(D23:D66)</f>
        <v>1434.0101206013308</v>
      </c>
      <c r="E67" s="82">
        <f>SUM(E23:E66)</f>
        <v>1179.1354565349334</v>
      </c>
      <c r="F67" s="83">
        <f>SUM(F23:F66)</f>
        <v>45.35136371288206</v>
      </c>
      <c r="G67" s="62">
        <f>SUM(G26:G65)</f>
        <v>2243.08419252982</v>
      </c>
      <c r="H67" s="62">
        <f aca="true" t="shared" si="23" ref="H67:O67">SUM(H26:H65)</f>
        <v>21.227307724178733</v>
      </c>
      <c r="I67" s="588">
        <f t="shared" si="23"/>
        <v>2264.311500253999</v>
      </c>
      <c r="J67" s="62">
        <f t="shared" si="23"/>
        <v>542.1811720489627</v>
      </c>
      <c r="K67" s="62">
        <f t="shared" si="23"/>
        <v>210.14774110424884</v>
      </c>
      <c r="L67" s="62">
        <f t="shared" si="23"/>
        <v>210.14774110424887</v>
      </c>
      <c r="M67" s="588">
        <f t="shared" si="23"/>
        <v>235.6685293977442</v>
      </c>
      <c r="N67" s="62">
        <f t="shared" si="23"/>
        <v>17.14677963469204</v>
      </c>
      <c r="O67" s="588">
        <f t="shared" si="23"/>
        <v>542.1811720489626</v>
      </c>
      <c r="P67" s="94"/>
      <c r="Q67" s="149" t="s">
        <v>272</v>
      </c>
      <c r="R67" s="719"/>
      <c r="S67" s="719"/>
      <c r="T67" s="8"/>
      <c r="U67" s="8"/>
      <c r="Y67" s="249"/>
      <c r="Z67" s="249"/>
      <c r="AA67" s="249"/>
      <c r="AB67" s="8"/>
      <c r="AC67" s="8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</row>
    <row r="68" spans="2:50" ht="12.75" customHeight="1">
      <c r="B68" s="10"/>
      <c r="C68" s="8"/>
      <c r="D68" s="8"/>
      <c r="E68" s="82">
        <f>SUM(E24:E32)</f>
        <v>567.7318864797827</v>
      </c>
      <c r="F68" s="9"/>
      <c r="G68" s="10"/>
      <c r="H68" s="82"/>
      <c r="I68" s="82"/>
      <c r="J68" s="179">
        <f>J26+2*(S94-R94)*S96+3*U94*S96+5*T94*T96+19*U94</f>
        <v>542.1811720489624</v>
      </c>
      <c r="K68" s="148"/>
      <c r="L68" s="662" t="s">
        <v>86</v>
      </c>
      <c r="M68" s="663"/>
      <c r="N68" s="84">
        <v>0.07</v>
      </c>
      <c r="O68" s="85">
        <f>NPV(N68,O26:O65)</f>
        <v>154.51635682549002</v>
      </c>
      <c r="P68" s="191"/>
      <c r="Q68" s="573">
        <f>AVERAGE(Q26:Q45)</f>
        <v>5.296638344555367</v>
      </c>
      <c r="R68" s="127"/>
      <c r="S68" s="127"/>
      <c r="T68" s="127"/>
      <c r="U68" s="127"/>
      <c r="Y68" s="127"/>
      <c r="Z68" s="127"/>
      <c r="AA68" s="127"/>
      <c r="AB68" s="8"/>
      <c r="AC68" s="8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</row>
    <row r="69" spans="1:50" ht="12.75" customHeight="1">
      <c r="A69" t="s">
        <v>87</v>
      </c>
      <c r="B69" s="86"/>
      <c r="C69" s="87"/>
      <c r="D69" s="88">
        <f>E69+F69</f>
        <v>1434.0101206013305</v>
      </c>
      <c r="E69" s="88">
        <f>E67</f>
        <v>1179.1354565349334</v>
      </c>
      <c r="F69" s="89">
        <f>F67*C15</f>
        <v>254.8746640663972</v>
      </c>
      <c r="G69" s="90"/>
      <c r="H69" s="91"/>
      <c r="I69" s="88">
        <f>G67+H67</f>
        <v>2264.311500253999</v>
      </c>
      <c r="J69" s="88">
        <f>L69+M69+N69</f>
        <v>542.1811720489624</v>
      </c>
      <c r="K69" s="87"/>
      <c r="L69" s="88">
        <f>L67</f>
        <v>210.14774110424887</v>
      </c>
      <c r="M69" s="88">
        <f>M67</f>
        <v>235.6685293977442</v>
      </c>
      <c r="N69" s="92">
        <f>N67*C15</f>
        <v>96.36490154696928</v>
      </c>
      <c r="O69" s="88">
        <f>K67+M67+N67*C15</f>
        <v>542.1811720489623</v>
      </c>
      <c r="P69" s="93"/>
      <c r="Q69" s="223"/>
      <c r="R69" s="220"/>
      <c r="S69" s="220"/>
      <c r="T69" s="220"/>
      <c r="U69" s="8"/>
      <c r="Y69" s="220"/>
      <c r="Z69" s="220"/>
      <c r="AA69" s="220"/>
      <c r="AB69" s="8"/>
      <c r="AC69" s="8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</row>
    <row r="70" spans="12:50" ht="6" customHeight="1">
      <c r="L70" s="8"/>
      <c r="M70" s="22"/>
      <c r="N70" s="22"/>
      <c r="O70" s="69"/>
      <c r="P70" s="94"/>
      <c r="R70" s="70"/>
      <c r="S70" s="70"/>
      <c r="W70" s="219"/>
      <c r="X70" s="219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</row>
    <row r="71" spans="1:50" ht="15" customHeight="1">
      <c r="A71" s="8"/>
      <c r="B71" s="695"/>
      <c r="C71" s="695"/>
      <c r="D71" s="695"/>
      <c r="E71" s="695"/>
      <c r="F71" s="695"/>
      <c r="G71" s="8"/>
      <c r="H71" s="12"/>
      <c r="I71" s="8"/>
      <c r="J71" s="82">
        <f>(2*J23+J25+J26+J27+J28)-(2*K23+K25+K26+K27+K28)+L67</f>
        <v>224.44107487208265</v>
      </c>
      <c r="L71" s="103">
        <f>(L26+L27)/L67</f>
        <v>0.002397798057588244</v>
      </c>
      <c r="M71" s="82">
        <f>NPV(N68,M26:M65)</f>
        <v>52.57223704728233</v>
      </c>
      <c r="O71" s="156">
        <f>NPV(N68,O26:O65)</f>
        <v>154.51635682549002</v>
      </c>
      <c r="R71" s="71"/>
      <c r="U71" s="71"/>
      <c r="W71" s="219"/>
      <c r="X71" s="219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</row>
    <row r="72" spans="1:50" ht="12.75" customHeight="1">
      <c r="A72" s="254"/>
      <c r="B72" s="253">
        <f>SUM(B26:B35)</f>
        <v>1685.268274700649</v>
      </c>
      <c r="C72" s="664" t="s">
        <v>223</v>
      </c>
      <c r="D72" s="664"/>
      <c r="E72" s="664"/>
      <c r="F72" s="664"/>
      <c r="G72" s="253">
        <f>SUM(G26:G35)</f>
        <v>802.0748838577967</v>
      </c>
      <c r="H72" s="34"/>
      <c r="I72" s="95"/>
      <c r="K72" s="3"/>
      <c r="L72" s="4"/>
      <c r="M72" s="351">
        <f>SUM(M26:M45)</f>
        <v>82.96231515214643</v>
      </c>
      <c r="N72" s="4"/>
      <c r="O72" s="351">
        <f>SUM(O26:O45)</f>
        <v>268.14528920005137</v>
      </c>
      <c r="P72" s="97">
        <f>O67/I67</f>
        <v>0.23944637122063084</v>
      </c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</row>
    <row r="73" spans="1:50" ht="12.75" customHeight="1" thickBot="1">
      <c r="A73" s="254"/>
      <c r="B73" s="252">
        <f>SUM(B36:B45)</f>
        <v>283.1472207650617</v>
      </c>
      <c r="C73" s="664" t="s">
        <v>222</v>
      </c>
      <c r="D73" s="664"/>
      <c r="E73" s="664"/>
      <c r="F73" s="664"/>
      <c r="G73" s="252">
        <f>SUM(G36:G45)</f>
        <v>960.6728724480158</v>
      </c>
      <c r="H73" s="106"/>
      <c r="I73" s="12"/>
      <c r="J73" s="96" t="s">
        <v>88</v>
      </c>
      <c r="K73" s="4"/>
      <c r="Q73" s="98"/>
      <c r="R73" s="98"/>
      <c r="U73" s="22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</row>
    <row r="74" spans="1:50" ht="12.75" customHeight="1">
      <c r="A74" s="8"/>
      <c r="B74" s="34"/>
      <c r="C74" s="34"/>
      <c r="D74" s="34"/>
      <c r="E74" s="34"/>
      <c r="F74" s="34"/>
      <c r="G74" s="345">
        <f>G72+G73</f>
        <v>1762.7477563058126</v>
      </c>
      <c r="H74" s="34"/>
      <c r="I74" s="34"/>
      <c r="J74" s="716" t="s">
        <v>89</v>
      </c>
      <c r="K74" s="716"/>
      <c r="L74" s="716"/>
      <c r="M74" s="716"/>
      <c r="N74" s="717" t="s">
        <v>90</v>
      </c>
      <c r="O74" s="717"/>
      <c r="P74" s="717" t="s">
        <v>172</v>
      </c>
      <c r="Q74" s="717"/>
      <c r="R74" s="662" t="s">
        <v>171</v>
      </c>
      <c r="S74" s="663"/>
      <c r="T74" s="663"/>
      <c r="U74" s="709"/>
      <c r="W74" s="108" t="s">
        <v>113</v>
      </c>
      <c r="X74" s="109" t="s">
        <v>109</v>
      </c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</row>
    <row r="75" spans="1:50" ht="12.75" customHeight="1" thickBot="1">
      <c r="A75" s="12"/>
      <c r="B75" s="34"/>
      <c r="C75" s="34"/>
      <c r="D75" s="34"/>
      <c r="E75" s="34"/>
      <c r="F75" s="34"/>
      <c r="G75" s="34"/>
      <c r="H75" s="12"/>
      <c r="I75" s="12"/>
      <c r="J75" s="8"/>
      <c r="K75" s="8"/>
      <c r="L75" s="8"/>
      <c r="M75" s="8"/>
      <c r="N75" s="270" t="s">
        <v>196</v>
      </c>
      <c r="O75" s="270" t="s">
        <v>197</v>
      </c>
      <c r="P75" s="270" t="s">
        <v>196</v>
      </c>
      <c r="Q75" s="270" t="s">
        <v>197</v>
      </c>
      <c r="R75" s="56" t="s">
        <v>207</v>
      </c>
      <c r="S75" s="177" t="s">
        <v>179</v>
      </c>
      <c r="T75" s="177" t="s">
        <v>215</v>
      </c>
      <c r="U75" s="231" t="s">
        <v>174</v>
      </c>
      <c r="V75" s="73" t="s">
        <v>106</v>
      </c>
      <c r="W75" s="110">
        <f>'Incentive effect'!X56</f>
        <v>0.772250260441744</v>
      </c>
      <c r="X75" s="111">
        <v>1</v>
      </c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</row>
    <row r="76" spans="1:50" ht="12.75" customHeight="1">
      <c r="A76" s="12"/>
      <c r="B76" s="12"/>
      <c r="C76" s="22"/>
      <c r="D76" s="22"/>
      <c r="E76" s="29"/>
      <c r="F76" s="225"/>
      <c r="G76" s="82"/>
      <c r="H76" s="94"/>
      <c r="I76" s="94"/>
      <c r="J76" s="8" t="s">
        <v>91</v>
      </c>
      <c r="K76" s="8"/>
      <c r="L76" s="8"/>
      <c r="M76" s="8"/>
      <c r="N76" s="264">
        <f>'Incentive effect'!N76</f>
        <v>5.68</v>
      </c>
      <c r="O76" s="264">
        <f>'Incentive effect'!O76</f>
        <v>0.69</v>
      </c>
      <c r="P76" s="264">
        <f>'Incentive effect'!P76</f>
        <v>3.92</v>
      </c>
      <c r="Q76" s="264">
        <f>'Incentive effect'!Q76</f>
        <v>0.46</v>
      </c>
      <c r="R76" s="75">
        <v>14.28</v>
      </c>
      <c r="S76" s="29">
        <f>R76</f>
        <v>14.28</v>
      </c>
      <c r="T76" s="29">
        <v>1.66</v>
      </c>
      <c r="U76" s="11">
        <f>S76</f>
        <v>14.28</v>
      </c>
      <c r="V76" s="73" t="s">
        <v>107</v>
      </c>
      <c r="W76" s="110">
        <f>'Incentive effect'!X57</f>
        <v>0.00972552941897417</v>
      </c>
      <c r="X76" s="111">
        <f>10/25</f>
        <v>0.4</v>
      </c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</row>
    <row r="77" spans="1:50" ht="12.75" customHeight="1">
      <c r="A77" s="12"/>
      <c r="B77" s="22"/>
      <c r="C77" s="22"/>
      <c r="D77" s="22"/>
      <c r="E77" s="29"/>
      <c r="F77" s="225"/>
      <c r="G77" s="82"/>
      <c r="H77" s="94"/>
      <c r="I77" s="94"/>
      <c r="J77" s="8" t="s">
        <v>92</v>
      </c>
      <c r="K77" s="8"/>
      <c r="L77" s="8"/>
      <c r="M77" s="170">
        <f>N77+P77</f>
        <v>0.5445724293776216</v>
      </c>
      <c r="N77" s="318">
        <f>((N11/(1+I8))*N12)/1000</f>
        <v>0.5231810747663551</v>
      </c>
      <c r="O77" s="319">
        <f>($O$76/$N$76)*N77</f>
        <v>0.06355544746281426</v>
      </c>
      <c r="P77" s="318">
        <f>((P11/(1+I8))*P12)/1000</f>
        <v>0.021391354611266473</v>
      </c>
      <c r="Q77" s="320">
        <f>(Q76/P76)*P77</f>
        <v>0.0025102099798935146</v>
      </c>
      <c r="R77" s="232">
        <f>(R11*R12)/1000</f>
        <v>0.24785360109158802</v>
      </c>
      <c r="S77" s="15">
        <f>R77</f>
        <v>0.24785360109158802</v>
      </c>
      <c r="T77" s="15">
        <f>S77</f>
        <v>0.24785360109158802</v>
      </c>
      <c r="U77" s="229">
        <f>S77</f>
        <v>0.24785360109158802</v>
      </c>
      <c r="V77" s="73" t="s">
        <v>108</v>
      </c>
      <c r="W77" s="110">
        <f>'Incentive effect'!X58</f>
        <v>0.218024210139282</v>
      </c>
      <c r="X77" s="130">
        <f>'Incentive effect'!Z64</f>
        <v>0.3895846673495055</v>
      </c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</row>
    <row r="78" spans="1:50" ht="12.75" customHeight="1">
      <c r="A78" s="12"/>
      <c r="B78" s="22"/>
      <c r="C78" s="22"/>
      <c r="D78" s="22"/>
      <c r="E78" s="29"/>
      <c r="F78" s="225"/>
      <c r="G78" s="82"/>
      <c r="H78" s="94"/>
      <c r="I78" s="94"/>
      <c r="J78" s="8" t="s">
        <v>198</v>
      </c>
      <c r="K78" s="8"/>
      <c r="L78" s="8"/>
      <c r="M78" s="12">
        <v>25</v>
      </c>
      <c r="N78" s="271">
        <f>IF(N77*$M$78&gt;N76,(N77/N79)*N76,N77*$M$78)</f>
        <v>5.092137366327358</v>
      </c>
      <c r="O78" s="272">
        <f>IF(O77*$M$78&gt;O76,(O77/O79)*O76,O77*$M$78)</f>
        <v>0.6185871096418797</v>
      </c>
      <c r="P78" s="271">
        <f>P77*M78</f>
        <v>0.5347838652816618</v>
      </c>
      <c r="Q78" s="272">
        <f>IF(Q77*$M$78&gt;Q76,(Q77/Q79)*Q76,Q77*$M$78)</f>
        <v>0.06275524949733786</v>
      </c>
      <c r="R78" s="136">
        <f>R77*M78</f>
        <v>6.1963400272897005</v>
      </c>
      <c r="S78" s="26">
        <f>R78</f>
        <v>6.1963400272897005</v>
      </c>
      <c r="T78" s="26">
        <f>T77*M78</f>
        <v>6.1963400272897005</v>
      </c>
      <c r="U78" s="166">
        <f>S78</f>
        <v>6.1963400272897005</v>
      </c>
      <c r="V78" s="184" t="s">
        <v>111</v>
      </c>
      <c r="W78" s="112">
        <f>W75*X75+W76*X76+W77*X77</f>
        <v>0.8610793615905845</v>
      </c>
      <c r="X78" s="113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</row>
    <row r="79" spans="1:50" ht="12.75" customHeight="1">
      <c r="A79" s="12"/>
      <c r="B79" s="22"/>
      <c r="C79" s="22"/>
      <c r="D79" s="22"/>
      <c r="E79" s="29"/>
      <c r="F79" s="225"/>
      <c r="G79" s="82"/>
      <c r="H79" s="94"/>
      <c r="I79" s="94"/>
      <c r="J79" s="16" t="s">
        <v>93</v>
      </c>
      <c r="K79" s="12"/>
      <c r="L79" s="8"/>
      <c r="M79" s="12" t="s">
        <v>141</v>
      </c>
      <c r="N79" s="321">
        <f>N77+((O11-N11)*O12)/1000</f>
        <v>0.583579799775939</v>
      </c>
      <c r="O79" s="322">
        <f>($O$76/$N$76)*(IF(I8=0,N77,N79))</f>
        <v>0.0708926165220771</v>
      </c>
      <c r="P79" s="321">
        <f>P77+((($Q$11-$P$11)*$Q$12)/1000)</f>
        <v>0.023663900028753314</v>
      </c>
      <c r="Q79" s="323">
        <f>(Q76/P76)*(IF(I8=0,P77,P79))</f>
        <v>0.0027768862278639093</v>
      </c>
      <c r="R79" s="233">
        <f>R77+(((S11-$R$11)*S12)/1000)</f>
        <v>0.2715242396828638</v>
      </c>
      <c r="S79" s="204">
        <f>S77+(((T11-$R$11)*T12)/1000)</f>
        <v>0.27684649568044595</v>
      </c>
      <c r="T79" s="204">
        <f>T77+(((U11-$R$11)*U12)/1000)</f>
        <v>0.2825967415289361</v>
      </c>
      <c r="U79" s="230">
        <f>U77+(((V11-$R$11)*V12)/1000)</f>
        <v>0.27127475521016325</v>
      </c>
      <c r="V79" s="185">
        <f>T15*K6</f>
        <v>40</v>
      </c>
      <c r="W79" s="118" t="s">
        <v>131</v>
      </c>
      <c r="X79" s="109" t="s">
        <v>110</v>
      </c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</row>
    <row r="80" spans="1:50" ht="12.75" customHeight="1">
      <c r="A80" s="12"/>
      <c r="B80" s="22"/>
      <c r="C80" s="22"/>
      <c r="D80" s="22"/>
      <c r="E80" s="29"/>
      <c r="F80" s="225"/>
      <c r="G80" s="82"/>
      <c r="H80" s="94"/>
      <c r="I80" s="94"/>
      <c r="J80" s="8" t="s">
        <v>199</v>
      </c>
      <c r="K80" s="8"/>
      <c r="L80" s="8"/>
      <c r="M80" s="12">
        <f>M78</f>
        <v>25</v>
      </c>
      <c r="N80" s="271">
        <f>IF(N79*$M$80&gt;N76,N76,N79*$M$80)</f>
        <v>5.68</v>
      </c>
      <c r="O80" s="319">
        <f>IF(O79*$M$80&gt;O76,O76,O79*$M$80)</f>
        <v>0.69</v>
      </c>
      <c r="P80" s="318">
        <f aca="true" t="shared" si="24" ref="P80:U80">P79*$M$80</f>
        <v>0.5915975007188329</v>
      </c>
      <c r="Q80" s="319">
        <f t="shared" si="24"/>
        <v>0.06942215569659774</v>
      </c>
      <c r="R80" s="75">
        <f t="shared" si="24"/>
        <v>6.788105992071595</v>
      </c>
      <c r="S80" s="29">
        <f t="shared" si="24"/>
        <v>6.921162392011149</v>
      </c>
      <c r="T80" s="29">
        <f t="shared" si="24"/>
        <v>7.064918538223402</v>
      </c>
      <c r="U80" s="11">
        <f t="shared" si="24"/>
        <v>6.781868880254081</v>
      </c>
      <c r="V80" s="73" t="s">
        <v>106</v>
      </c>
      <c r="W80" s="132">
        <f>'Incentive effect'!Z56</f>
        <v>0.804435866312203</v>
      </c>
      <c r="X80" s="111">
        <v>1</v>
      </c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</row>
    <row r="81" spans="1:50" ht="12.75" customHeight="1">
      <c r="A81" s="12"/>
      <c r="B81" s="22"/>
      <c r="C81" s="22"/>
      <c r="D81" s="22"/>
      <c r="E81" s="29"/>
      <c r="F81" s="225"/>
      <c r="G81" s="82"/>
      <c r="H81" s="94"/>
      <c r="I81" s="94"/>
      <c r="J81" s="8" t="s">
        <v>115</v>
      </c>
      <c r="K81" s="8"/>
      <c r="L81" s="8"/>
      <c r="M81" s="8"/>
      <c r="N81" s="271">
        <f aca="true" t="shared" si="25" ref="N81:U81">N80-N78</f>
        <v>0.5878626336726418</v>
      </c>
      <c r="O81" s="272">
        <f t="shared" si="25"/>
        <v>0.07141289035812026</v>
      </c>
      <c r="P81" s="318">
        <f t="shared" si="25"/>
        <v>0.056813635437171106</v>
      </c>
      <c r="Q81" s="319">
        <f t="shared" si="25"/>
        <v>0.006666906199259873</v>
      </c>
      <c r="R81" s="136">
        <f t="shared" si="25"/>
        <v>0.5917659647818949</v>
      </c>
      <c r="S81" s="26">
        <f t="shared" si="25"/>
        <v>0.7248223647214482</v>
      </c>
      <c r="T81" s="26">
        <f t="shared" si="25"/>
        <v>0.8685785109337019</v>
      </c>
      <c r="U81" s="166">
        <f t="shared" si="25"/>
        <v>0.585528852964381</v>
      </c>
      <c r="V81" s="73" t="s">
        <v>107</v>
      </c>
      <c r="W81" s="132">
        <f>'Incentive effect'!Z57</f>
        <v>0.0377787664204228</v>
      </c>
      <c r="X81" s="111">
        <v>0</v>
      </c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</row>
    <row r="82" spans="1:50" ht="12.75" customHeight="1">
      <c r="A82" s="12"/>
      <c r="B82" s="22"/>
      <c r="C82" s="22"/>
      <c r="D82" s="22"/>
      <c r="E82" s="29"/>
      <c r="F82" s="225"/>
      <c r="G82" s="82"/>
      <c r="H82" s="94"/>
      <c r="I82" s="94"/>
      <c r="J82" s="8" t="s">
        <v>187</v>
      </c>
      <c r="K82" s="8"/>
      <c r="L82" s="8"/>
      <c r="M82" s="8"/>
      <c r="N82" s="271">
        <f aca="true" t="shared" si="26" ref="N82:U82">N76/N79</f>
        <v>9.733030516444867</v>
      </c>
      <c r="O82" s="272">
        <f t="shared" si="26"/>
        <v>9.733030516444867</v>
      </c>
      <c r="P82" s="324">
        <f t="shared" si="26"/>
        <v>165.65316770426355</v>
      </c>
      <c r="Q82" s="325">
        <f t="shared" si="26"/>
        <v>165.65316770426358</v>
      </c>
      <c r="R82" s="23">
        <f t="shared" si="26"/>
        <v>52.591989638489814</v>
      </c>
      <c r="S82" s="22">
        <f t="shared" si="26"/>
        <v>51.58093103147997</v>
      </c>
      <c r="T82" s="22">
        <f t="shared" si="26"/>
        <v>5.874094623380597</v>
      </c>
      <c r="U82" s="67">
        <f t="shared" si="26"/>
        <v>52.64035714984585</v>
      </c>
      <c r="V82" s="73" t="s">
        <v>108</v>
      </c>
      <c r="W82" s="132">
        <f>'Incentive effect'!Z58</f>
        <v>0.157785367267375</v>
      </c>
      <c r="X82" s="111">
        <f>'Incentive effect'!AA63</f>
        <v>0.2632</v>
      </c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</row>
    <row r="83" spans="1:50" ht="13.5" customHeight="1" thickBot="1">
      <c r="A83" s="12"/>
      <c r="B83" s="22"/>
      <c r="C83" s="22"/>
      <c r="D83" s="22"/>
      <c r="E83" s="29"/>
      <c r="F83" s="225"/>
      <c r="G83" s="82"/>
      <c r="H83" s="94"/>
      <c r="I83" s="94"/>
      <c r="J83" s="38" t="s">
        <v>200</v>
      </c>
      <c r="K83" s="38"/>
      <c r="L83" s="38"/>
      <c r="M83" s="38"/>
      <c r="N83" s="326"/>
      <c r="O83" s="327">
        <f>O76/N76</f>
        <v>0.12147887323943661</v>
      </c>
      <c r="P83" s="326"/>
      <c r="Q83" s="327">
        <f>Q76/P76</f>
        <v>0.11734693877551021</v>
      </c>
      <c r="R83" s="86"/>
      <c r="S83" s="234"/>
      <c r="T83" s="144">
        <f>T76/S76</f>
        <v>0.11624649859943978</v>
      </c>
      <c r="U83" s="93"/>
      <c r="V83" s="184" t="s">
        <v>112</v>
      </c>
      <c r="W83" s="112">
        <f>W80*X80+W81*X81+W82*X82</f>
        <v>0.8459649749769761</v>
      </c>
      <c r="X83" s="113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</row>
    <row r="84" spans="1:50" ht="13.5" customHeight="1" thickBot="1">
      <c r="A84" s="12"/>
      <c r="B84" s="22"/>
      <c r="C84" s="22"/>
      <c r="D84" s="22"/>
      <c r="E84" s="29"/>
      <c r="F84" s="225"/>
      <c r="G84" s="82"/>
      <c r="H84" s="94"/>
      <c r="I84" s="94"/>
      <c r="R84" s="710" t="s">
        <v>178</v>
      </c>
      <c r="S84" s="711"/>
      <c r="T84" s="711"/>
      <c r="U84" s="712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</row>
    <row r="85" spans="1:50" ht="15" customHeight="1" thickBot="1">
      <c r="A85" s="12"/>
      <c r="B85" s="22"/>
      <c r="C85" s="22"/>
      <c r="D85" s="22"/>
      <c r="E85" s="29"/>
      <c r="F85" s="225"/>
      <c r="G85" s="82"/>
      <c r="H85" s="94"/>
      <c r="I85" s="94"/>
      <c r="J85" s="693" t="s">
        <v>94</v>
      </c>
      <c r="K85" s="693"/>
      <c r="L85" s="693"/>
      <c r="M85" s="693"/>
      <c r="N85" s="693"/>
      <c r="O85" s="162"/>
      <c r="P85" s="305" t="s">
        <v>163</v>
      </c>
      <c r="Q85" s="306" t="s">
        <v>164</v>
      </c>
      <c r="R85" s="18" t="s">
        <v>228</v>
      </c>
      <c r="S85" s="17" t="s">
        <v>229</v>
      </c>
      <c r="T85" s="177" t="s">
        <v>216</v>
      </c>
      <c r="U85" s="117" t="s">
        <v>217</v>
      </c>
      <c r="V85" s="171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</row>
    <row r="86" spans="1:50" ht="12.75" customHeight="1">
      <c r="A86" s="12"/>
      <c r="B86" s="22"/>
      <c r="C86" s="22"/>
      <c r="D86" s="22"/>
      <c r="E86" s="29"/>
      <c r="F86" s="225"/>
      <c r="G86" s="82"/>
      <c r="H86" s="94"/>
      <c r="I86" s="94"/>
      <c r="J86" s="8" t="s">
        <v>95</v>
      </c>
      <c r="K86" s="8"/>
      <c r="L86" s="8"/>
      <c r="M86" s="8"/>
      <c r="N86" s="8"/>
      <c r="O86" s="8"/>
      <c r="P86" s="307">
        <f>(($N$11/(1+I8))*$H$5*$W$78)+(($P$11/(1+I8))*$H$6*$W$78)</f>
        <v>260.254045999973</v>
      </c>
      <c r="Q86" s="307">
        <f>($N$11*(I8/(1+I8))*$H$5*$W$78)+($P$11*(I8/(1+I8))*$H$6*$W$78)</f>
        <v>30.624533888606532</v>
      </c>
      <c r="R86" s="235">
        <f>$R$11*$H$6*$W$78</f>
        <v>59.08682740749502</v>
      </c>
      <c r="S86" s="157">
        <f>$R$11*$H$7</f>
        <v>96.06728724480156</v>
      </c>
      <c r="T86" s="157">
        <f>$R$11*$H$7</f>
        <v>96.06728724480156</v>
      </c>
      <c r="U86" s="236">
        <f>$R$11*$H$7</f>
        <v>96.06728724480156</v>
      </c>
      <c r="V86" s="161" t="s">
        <v>6</v>
      </c>
      <c r="W86" s="8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</row>
    <row r="87" spans="1:50" ht="12.75" customHeight="1">
      <c r="A87" s="12"/>
      <c r="B87" s="22"/>
      <c r="C87" s="22"/>
      <c r="D87" s="22"/>
      <c r="E87" s="29"/>
      <c r="F87" s="225"/>
      <c r="G87" s="82"/>
      <c r="H87" s="94"/>
      <c r="I87" s="94"/>
      <c r="J87" s="8" t="s">
        <v>96</v>
      </c>
      <c r="K87" s="8"/>
      <c r="L87" s="8"/>
      <c r="M87" s="8"/>
      <c r="N87" s="8"/>
      <c r="O87" s="8"/>
      <c r="P87" s="308">
        <f>($Q$15/(1+I8))*$K$6*$W$83</f>
        <v>7.568993481622401</v>
      </c>
      <c r="Q87" s="308">
        <f>$Q$15*(I8/(1+I8))*$K$6*$W$83</f>
        <v>0.8906562681473593</v>
      </c>
      <c r="R87" s="23">
        <f>$S$15*$K$6*$W$83</f>
        <v>33.838598999079046</v>
      </c>
      <c r="S87" s="22">
        <f>T15*$K$6*$W$83</f>
        <v>33.838598999079046</v>
      </c>
      <c r="T87" s="22">
        <f>V15*$K$6*$W$83</f>
        <v>33.838598999079046</v>
      </c>
      <c r="U87" s="67">
        <v>0</v>
      </c>
      <c r="V87" s="161" t="s">
        <v>6</v>
      </c>
      <c r="W87" s="8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</row>
    <row r="88" spans="1:50" ht="12.75" customHeight="1">
      <c r="A88" s="12"/>
      <c r="B88" s="22"/>
      <c r="C88" s="22"/>
      <c r="D88" s="22"/>
      <c r="E88" s="29"/>
      <c r="F88" s="225"/>
      <c r="G88" s="82"/>
      <c r="H88" s="94"/>
      <c r="I88" s="94"/>
      <c r="J88" s="8" t="s">
        <v>140</v>
      </c>
      <c r="K88" s="8"/>
      <c r="L88" s="8"/>
      <c r="M88" s="8"/>
      <c r="N88" s="8"/>
      <c r="O88" s="8"/>
      <c r="P88" s="309">
        <f>(N79-N77+P79-P77)*1000</f>
        <v>62.67127042707073</v>
      </c>
      <c r="Q88" s="309">
        <f>((O79-O77+Q79-Q77)*1000)</f>
        <v>7.60384530723323</v>
      </c>
      <c r="R88" s="62">
        <f>(R79-R77)*1000</f>
        <v>23.6706385912758</v>
      </c>
      <c r="S88" s="82">
        <f>(S79-S77)*1000</f>
        <v>28.992894588857926</v>
      </c>
      <c r="T88" s="22">
        <f>(T79-T77)*1000</f>
        <v>34.74314043734808</v>
      </c>
      <c r="U88" s="67">
        <f>(U79-U77)*1000</f>
        <v>23.42115411857523</v>
      </c>
      <c r="V88" s="161" t="s">
        <v>81</v>
      </c>
      <c r="W88" s="8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</row>
    <row r="89" spans="1:50" ht="12.75" customHeight="1">
      <c r="A89" s="12"/>
      <c r="B89" s="22"/>
      <c r="C89" s="22"/>
      <c r="D89" s="22"/>
      <c r="E89" s="29"/>
      <c r="F89" s="225"/>
      <c r="G89" s="82"/>
      <c r="H89" s="94"/>
      <c r="I89" s="94"/>
      <c r="J89" s="8" t="s">
        <v>97</v>
      </c>
      <c r="K89" s="8"/>
      <c r="L89" s="8"/>
      <c r="M89" s="12"/>
      <c r="N89" s="12"/>
      <c r="O89" s="12"/>
      <c r="P89" s="307">
        <f>((($O$11-$N$11)/(1+I8))*$H$5*$W$78)+((($Q$11-$P$11)/(1+I8))*$H$6*$W$78)</f>
        <v>26.76215484820964</v>
      </c>
      <c r="Q89" s="307">
        <f>(($O$11-$N$11)*(I8/(1+I8))*$H$5*O83*$W$78)+(($Q$11-$P$11)*(I8/(1+I8))*$H$6*Q83*$W$78)</f>
        <v>0.38188360724583226</v>
      </c>
      <c r="R89" s="235">
        <f>(S11-$R$11)*$H$7</f>
        <v>9.17466612064954</v>
      </c>
      <c r="S89" s="157">
        <f>(T11-$R$11)*$H$7</f>
        <v>11.237556042192985</v>
      </c>
      <c r="T89" s="157">
        <f>(U11-$R$11)*$H$7</f>
        <v>13.466333502848087</v>
      </c>
      <c r="U89" s="236">
        <f>((V11-$R$11)*$H$7)</f>
        <v>9.077966712626058</v>
      </c>
      <c r="V89" s="161" t="s">
        <v>6</v>
      </c>
      <c r="W89" s="8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  <c r="AW89" s="287"/>
      <c r="AX89" s="287"/>
    </row>
    <row r="90" spans="1:50" ht="12.75" customHeight="1">
      <c r="A90" s="12"/>
      <c r="B90" s="22"/>
      <c r="C90" s="22"/>
      <c r="D90" s="22"/>
      <c r="E90" s="29"/>
      <c r="F90" s="225"/>
      <c r="G90" s="82"/>
      <c r="H90" s="94"/>
      <c r="I90" s="94"/>
      <c r="J90" s="8" t="s">
        <v>98</v>
      </c>
      <c r="K90" s="8"/>
      <c r="L90" s="8"/>
      <c r="M90" s="8"/>
      <c r="N90" s="30">
        <f>1/2</f>
        <v>0.5</v>
      </c>
      <c r="O90" s="100">
        <f>(60/45)*O12</f>
        <v>36.666666666666664</v>
      </c>
      <c r="P90" s="308">
        <f>$N$90*(N79-N77)*1000</f>
        <v>30.19936250479194</v>
      </c>
      <c r="Q90" s="308">
        <f>$N$90*(O79-O77)*1000</f>
        <v>3.6685845296314175</v>
      </c>
      <c r="R90" s="13">
        <v>0</v>
      </c>
      <c r="S90" s="12">
        <v>0</v>
      </c>
      <c r="T90" s="12">
        <v>0</v>
      </c>
      <c r="U90" s="31">
        <v>0</v>
      </c>
      <c r="V90" s="161" t="s">
        <v>81</v>
      </c>
      <c r="W90" s="8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  <c r="AW90" s="287"/>
      <c r="AX90" s="287"/>
    </row>
    <row r="91" spans="1:50" ht="12.75" customHeight="1">
      <c r="A91" s="12"/>
      <c r="B91" s="22"/>
      <c r="C91" s="22"/>
      <c r="D91" s="22"/>
      <c r="E91" s="29"/>
      <c r="F91" s="225"/>
      <c r="G91" s="82"/>
      <c r="H91" s="94"/>
      <c r="I91" s="94"/>
      <c r="J91" s="32" t="s">
        <v>186</v>
      </c>
      <c r="K91" s="8"/>
      <c r="L91" s="8"/>
      <c r="M91" s="8"/>
      <c r="N91" s="30">
        <f>1/4</f>
        <v>0.25</v>
      </c>
      <c r="O91" s="8"/>
      <c r="P91" s="307">
        <f>$N$91*(P79-P77)*1000</f>
        <v>0.5681363543717103</v>
      </c>
      <c r="Q91" s="310">
        <f>$N$91*(Q79-Q77)*1000</f>
        <v>0.06666906199259866</v>
      </c>
      <c r="R91" s="13">
        <v>0</v>
      </c>
      <c r="S91" s="12">
        <v>0</v>
      </c>
      <c r="T91" s="12">
        <v>0</v>
      </c>
      <c r="U91" s="31">
        <v>0</v>
      </c>
      <c r="V91" s="161" t="s">
        <v>81</v>
      </c>
      <c r="W91" s="8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87"/>
      <c r="AX91" s="287"/>
    </row>
    <row r="92" spans="1:50" ht="12.75" customHeight="1">
      <c r="A92" s="12"/>
      <c r="B92" s="22"/>
      <c r="C92" s="22"/>
      <c r="D92" s="22"/>
      <c r="E92" s="29"/>
      <c r="F92" s="225"/>
      <c r="G92" s="82"/>
      <c r="H92" s="94"/>
      <c r="I92" s="94"/>
      <c r="J92" s="32" t="s">
        <v>99</v>
      </c>
      <c r="K92" s="8"/>
      <c r="L92" s="8"/>
      <c r="M92" s="8"/>
      <c r="N92" s="30">
        <f>1-C13</f>
        <v>0.33365777618348746</v>
      </c>
      <c r="O92" s="8"/>
      <c r="P92" s="308">
        <f>1/3*(P90+P91)</f>
        <v>10.255832953054549</v>
      </c>
      <c r="Q92" s="308">
        <f>1/3*(Q90+Q91)</f>
        <v>1.2450845305413387</v>
      </c>
      <c r="R92" s="13">
        <v>0</v>
      </c>
      <c r="S92" s="12">
        <v>0</v>
      </c>
      <c r="T92" s="12">
        <v>0</v>
      </c>
      <c r="U92" s="31">
        <v>0</v>
      </c>
      <c r="V92" s="161" t="s">
        <v>81</v>
      </c>
      <c r="W92" s="8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87"/>
      <c r="AX92" s="287"/>
    </row>
    <row r="93" spans="1:50" ht="13.5" customHeight="1" thickBot="1">
      <c r="A93" s="12"/>
      <c r="B93" s="22"/>
      <c r="C93" s="22"/>
      <c r="D93" s="22"/>
      <c r="E93" s="29"/>
      <c r="F93" s="225"/>
      <c r="G93" s="82"/>
      <c r="H93" s="94"/>
      <c r="I93" s="94"/>
      <c r="J93" s="32" t="s">
        <v>100</v>
      </c>
      <c r="K93" s="8"/>
      <c r="L93" s="8"/>
      <c r="M93" s="8"/>
      <c r="N93" s="8"/>
      <c r="O93" s="8"/>
      <c r="P93" s="312">
        <f aca="true" t="shared" si="27" ref="P93:U93">P88-P90-P91</f>
        <v>31.90377156790708</v>
      </c>
      <c r="Q93" s="312">
        <f t="shared" si="27"/>
        <v>3.8685917156092136</v>
      </c>
      <c r="R93" s="237">
        <f t="shared" si="27"/>
        <v>23.6706385912758</v>
      </c>
      <c r="S93" s="80">
        <f t="shared" si="27"/>
        <v>28.992894588857926</v>
      </c>
      <c r="T93" s="80">
        <f t="shared" si="27"/>
        <v>34.74314043734808</v>
      </c>
      <c r="U93" s="79">
        <f t="shared" si="27"/>
        <v>23.42115411857523</v>
      </c>
      <c r="V93" s="161" t="s">
        <v>81</v>
      </c>
      <c r="W93" s="8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</row>
    <row r="94" spans="1:50" ht="13.5" customHeight="1" thickTop="1">
      <c r="A94" s="8"/>
      <c r="B94" s="82"/>
      <c r="C94" s="82"/>
      <c r="D94" s="82"/>
      <c r="E94" s="8"/>
      <c r="F94" s="8"/>
      <c r="G94" s="8"/>
      <c r="H94" s="94"/>
      <c r="I94" s="94"/>
      <c r="J94" s="32" t="s">
        <v>101</v>
      </c>
      <c r="K94" s="8"/>
      <c r="L94" s="8"/>
      <c r="M94" s="8"/>
      <c r="N94" s="8"/>
      <c r="O94" s="8"/>
      <c r="P94" s="308">
        <f aca="true" t="shared" si="28" ref="P94:U94">P92+P93</f>
        <v>42.15960452096163</v>
      </c>
      <c r="Q94" s="308">
        <f t="shared" si="28"/>
        <v>5.113676246150552</v>
      </c>
      <c r="R94" s="23">
        <f t="shared" si="28"/>
        <v>23.6706385912758</v>
      </c>
      <c r="S94" s="22">
        <f t="shared" si="28"/>
        <v>28.992894588857926</v>
      </c>
      <c r="T94" s="22">
        <f t="shared" si="28"/>
        <v>34.74314043734808</v>
      </c>
      <c r="U94" s="67">
        <f t="shared" si="28"/>
        <v>23.42115411857523</v>
      </c>
      <c r="V94" s="161" t="s">
        <v>81</v>
      </c>
      <c r="W94" s="8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7"/>
    </row>
    <row r="95" spans="1:50" ht="13.5" customHeight="1" thickBot="1">
      <c r="A95" s="8"/>
      <c r="B95" s="8"/>
      <c r="C95" s="22"/>
      <c r="D95" s="22"/>
      <c r="E95" s="8"/>
      <c r="F95" s="8"/>
      <c r="G95" s="12"/>
      <c r="H95" s="94"/>
      <c r="I95" s="94"/>
      <c r="J95" s="38" t="s">
        <v>102</v>
      </c>
      <c r="K95" s="38"/>
      <c r="L95" s="38"/>
      <c r="M95" s="38"/>
      <c r="N95" s="38"/>
      <c r="O95" s="38"/>
      <c r="P95" s="313">
        <f aca="true" t="shared" si="29" ref="P95:U95">P94-P89</f>
        <v>15.39744967275199</v>
      </c>
      <c r="Q95" s="313">
        <f t="shared" si="29"/>
        <v>4.73179263890472</v>
      </c>
      <c r="R95" s="332">
        <f t="shared" si="29"/>
        <v>14.49597247062626</v>
      </c>
      <c r="S95" s="92">
        <f t="shared" si="29"/>
        <v>17.75533854666494</v>
      </c>
      <c r="T95" s="92">
        <f t="shared" si="29"/>
        <v>21.276806934499994</v>
      </c>
      <c r="U95" s="89">
        <f t="shared" si="29"/>
        <v>14.343187405949173</v>
      </c>
      <c r="V95" s="102" t="s">
        <v>81</v>
      </c>
      <c r="W95" s="8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  <c r="AW95" s="287"/>
      <c r="AX95" s="287"/>
    </row>
    <row r="96" spans="1:50" ht="12.75" customHeight="1">
      <c r="A96" s="8"/>
      <c r="B96" s="8"/>
      <c r="C96" s="22"/>
      <c r="D96" s="82"/>
      <c r="E96" s="8"/>
      <c r="F96" s="8"/>
      <c r="G96" s="8"/>
      <c r="H96" s="8"/>
      <c r="I96" s="8"/>
      <c r="S96" s="245">
        <f>1/(1+I8)</f>
        <v>0.8947171225177969</v>
      </c>
      <c r="T96" s="245">
        <f>I8/(1+I8)</f>
        <v>0.10528287748220305</v>
      </c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  <c r="AX96" s="287"/>
    </row>
    <row r="97" spans="1:50" ht="12.75" customHeight="1">
      <c r="A97" s="8"/>
      <c r="B97" s="8"/>
      <c r="C97" s="8"/>
      <c r="D97" s="8"/>
      <c r="E97" s="8"/>
      <c r="F97" s="8"/>
      <c r="G97" s="8"/>
      <c r="H97" s="8"/>
      <c r="I97" s="8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</row>
    <row r="98" spans="4:50" ht="12.75" customHeight="1">
      <c r="D98" s="70"/>
      <c r="L98" s="35"/>
      <c r="M98" s="32"/>
      <c r="N98" s="34"/>
      <c r="O98" s="32"/>
      <c r="P98" s="189"/>
      <c r="Q98" s="34"/>
      <c r="R98" s="190"/>
      <c r="S98" s="32"/>
      <c r="T98" s="32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</row>
    <row r="99" ht="12.75">
      <c r="J99" s="22"/>
    </row>
    <row r="100" ht="12.75">
      <c r="J100" s="22"/>
    </row>
    <row r="101" ht="12.75">
      <c r="J101" s="22"/>
    </row>
    <row r="102" ht="12.75">
      <c r="J102" s="22"/>
    </row>
    <row r="103" ht="12.75">
      <c r="J103" s="22"/>
    </row>
  </sheetData>
  <mergeCells count="36">
    <mergeCell ref="Y3:AE3"/>
    <mergeCell ref="R74:U74"/>
    <mergeCell ref="U3:V3"/>
    <mergeCell ref="R67:S67"/>
    <mergeCell ref="J85:N85"/>
    <mergeCell ref="J74:M74"/>
    <mergeCell ref="N74:O74"/>
    <mergeCell ref="P74:Q74"/>
    <mergeCell ref="R84:U84"/>
    <mergeCell ref="L68:M68"/>
    <mergeCell ref="R21:W21"/>
    <mergeCell ref="B71:F71"/>
    <mergeCell ref="C73:F73"/>
    <mergeCell ref="F8:H8"/>
    <mergeCell ref="C20:F20"/>
    <mergeCell ref="C72:F72"/>
    <mergeCell ref="B18:F18"/>
    <mergeCell ref="G18:P18"/>
    <mergeCell ref="G20:H20"/>
    <mergeCell ref="M20:N20"/>
    <mergeCell ref="D21:E21"/>
    <mergeCell ref="A1:R1"/>
    <mergeCell ref="A3:Q3"/>
    <mergeCell ref="A4:E4"/>
    <mergeCell ref="F4:K4"/>
    <mergeCell ref="L4:V4"/>
    <mergeCell ref="AG12:AH12"/>
    <mergeCell ref="F9:H9"/>
    <mergeCell ref="J6:J7"/>
    <mergeCell ref="R5:V5"/>
    <mergeCell ref="T6:V6"/>
    <mergeCell ref="U7:V7"/>
    <mergeCell ref="K8:K9"/>
    <mergeCell ref="N5:O5"/>
    <mergeCell ref="P5:Q5"/>
    <mergeCell ref="Y4:Y5"/>
  </mergeCells>
  <printOptions/>
  <pageMargins left="0.56" right="0.21" top="1" bottom="0.49" header="0.5" footer="0.5"/>
  <pageSetup fitToHeight="1" fitToWidth="1" horizontalDpi="600" verticalDpi="600" orientation="landscape" scale="37" r:id="rId1"/>
  <headerFooter alignWithMargins="0">
    <oddHeader>&amp;L&amp;28DGEAII ultra-deep wells.xls&amp;R&amp;28Price threhsold effects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117"/>
  <sheetViews>
    <sheetView workbookViewId="0" topLeftCell="A1">
      <selection activeCell="A1" sqref="A1:O1"/>
    </sheetView>
  </sheetViews>
  <sheetFormatPr defaultColWidth="9.140625" defaultRowHeight="12.75"/>
  <cols>
    <col min="3" max="3" width="9.8515625" style="0" customWidth="1"/>
    <col min="5" max="5" width="11.57421875" style="0" customWidth="1"/>
    <col min="6" max="6" width="11.421875" style="0" customWidth="1"/>
    <col min="8" max="8" width="13.00390625" style="0" customWidth="1"/>
    <col min="86" max="86" width="9.28125" style="0" bestFit="1" customWidth="1"/>
    <col min="92" max="92" width="11.00390625" style="0" customWidth="1"/>
    <col min="93" max="93" width="11.140625" style="0" customWidth="1"/>
    <col min="94" max="95" width="11.00390625" style="0" customWidth="1"/>
    <col min="96" max="96" width="11.28125" style="0" customWidth="1"/>
    <col min="97" max="97" width="9.7109375" style="0" customWidth="1"/>
    <col min="98" max="98" width="20.421875" style="0" customWidth="1"/>
    <col min="99" max="99" width="10.7109375" style="0" customWidth="1"/>
    <col min="111" max="111" width="9.28125" style="0" bestFit="1" customWidth="1"/>
    <col min="115" max="115" width="9.28125" style="0" bestFit="1" customWidth="1"/>
  </cols>
  <sheetData>
    <row r="1" spans="1:91" ht="17.25" thickBot="1">
      <c r="A1" s="728" t="s">
        <v>271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379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</row>
    <row r="2" spans="2:63" ht="15.75">
      <c r="B2" s="761" t="s">
        <v>243</v>
      </c>
      <c r="C2" s="762"/>
      <c r="D2" s="763"/>
      <c r="E2" s="761" t="s">
        <v>244</v>
      </c>
      <c r="F2" s="762"/>
      <c r="G2" s="763"/>
      <c r="H2" s="729" t="s">
        <v>245</v>
      </c>
      <c r="I2" s="730"/>
      <c r="J2" s="730"/>
      <c r="K2" s="730"/>
      <c r="L2" s="730"/>
      <c r="M2" s="730"/>
      <c r="N2" s="730"/>
      <c r="O2" s="7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W2" s="8"/>
      <c r="AX2" s="8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2:63" ht="12.75" customHeight="1">
      <c r="B3" s="389" t="s">
        <v>39</v>
      </c>
      <c r="C3" s="382"/>
      <c r="D3" s="14">
        <v>26</v>
      </c>
      <c r="E3" s="767" t="s">
        <v>246</v>
      </c>
      <c r="F3" s="665"/>
      <c r="G3" s="543">
        <v>1.118</v>
      </c>
      <c r="H3" s="738" t="s">
        <v>247</v>
      </c>
      <c r="I3" s="739"/>
      <c r="J3" s="383">
        <v>9.34</v>
      </c>
      <c r="K3" s="384">
        <v>7.34</v>
      </c>
      <c r="L3" s="383">
        <v>6.5</v>
      </c>
      <c r="M3" s="384">
        <v>5.34</v>
      </c>
      <c r="N3" s="384">
        <v>4.22</v>
      </c>
      <c r="O3" s="385">
        <v>3.5</v>
      </c>
      <c r="Q3" s="115"/>
      <c r="R3" s="115"/>
      <c r="S3" s="115"/>
      <c r="U3" s="8"/>
      <c r="V3" s="8"/>
      <c r="W3" s="8"/>
      <c r="X3" s="8"/>
      <c r="Y3" s="8"/>
      <c r="Z3" s="8"/>
      <c r="AA3" s="8"/>
      <c r="AB3" s="8"/>
      <c r="AC3" s="8"/>
      <c r="AD3" s="8"/>
      <c r="AY3" s="382"/>
      <c r="AZ3" s="382"/>
      <c r="BA3" s="382"/>
      <c r="BB3" s="8"/>
      <c r="BC3" s="8"/>
      <c r="BD3" s="8"/>
      <c r="BE3" s="8"/>
      <c r="BF3" s="8"/>
      <c r="BG3" s="8"/>
      <c r="BH3" s="8"/>
      <c r="BI3" s="386"/>
      <c r="BJ3" s="298"/>
      <c r="BK3" s="387"/>
    </row>
    <row r="4" spans="2:63" ht="12.75" customHeight="1">
      <c r="B4" s="381" t="s">
        <v>43</v>
      </c>
      <c r="C4" s="382"/>
      <c r="D4" s="14">
        <v>5.62</v>
      </c>
      <c r="E4" s="767"/>
      <c r="F4" s="665"/>
      <c r="G4" s="161"/>
      <c r="H4" s="738"/>
      <c r="I4" s="739"/>
      <c r="J4" s="391">
        <v>1.055258</v>
      </c>
      <c r="K4" s="139">
        <v>1.112814</v>
      </c>
      <c r="L4" s="391">
        <v>1.150236</v>
      </c>
      <c r="M4" s="391">
        <v>1.247768</v>
      </c>
      <c r="N4" s="392">
        <v>1.433469</v>
      </c>
      <c r="O4" s="393">
        <v>1.642212</v>
      </c>
      <c r="Q4" s="382"/>
      <c r="R4" s="382"/>
      <c r="S4" s="382"/>
      <c r="U4" s="8"/>
      <c r="V4" s="8"/>
      <c r="W4" s="8"/>
      <c r="X4" s="8"/>
      <c r="Y4" s="8"/>
      <c r="Z4" s="8"/>
      <c r="AA4" s="8"/>
      <c r="AB4" s="8"/>
      <c r="AC4" s="8"/>
      <c r="AD4" s="8"/>
      <c r="AY4" s="16"/>
      <c r="AZ4" s="16"/>
      <c r="BA4" s="16"/>
      <c r="BB4" s="8"/>
      <c r="BC4" s="388"/>
      <c r="BD4" s="8"/>
      <c r="BE4" s="388"/>
      <c r="BF4" s="388"/>
      <c r="BG4" s="388"/>
      <c r="BH4" s="388"/>
      <c r="BI4" s="29"/>
      <c r="BJ4" s="29"/>
      <c r="BK4" s="29"/>
    </row>
    <row r="5" spans="2:63" ht="12.75" customHeight="1">
      <c r="B5" s="389" t="s">
        <v>19</v>
      </c>
      <c r="C5" s="390"/>
      <c r="D5" s="14">
        <v>8</v>
      </c>
      <c r="E5" s="757" t="s">
        <v>248</v>
      </c>
      <c r="F5" s="758"/>
      <c r="G5" s="544">
        <v>0.79</v>
      </c>
      <c r="H5" s="740" t="s">
        <v>249</v>
      </c>
      <c r="I5" s="741"/>
      <c r="J5" s="8"/>
      <c r="K5" s="8"/>
      <c r="L5" s="8"/>
      <c r="M5" s="8"/>
      <c r="N5" s="8"/>
      <c r="O5" s="161"/>
      <c r="Q5" s="8"/>
      <c r="R5" s="394"/>
      <c r="S5" s="8"/>
      <c r="U5" s="8"/>
      <c r="V5" s="8"/>
      <c r="W5" s="123"/>
      <c r="X5" s="123"/>
      <c r="Y5" s="123"/>
      <c r="Z5" s="8"/>
      <c r="AA5" s="8"/>
      <c r="AB5" s="8"/>
      <c r="AC5" s="8"/>
      <c r="AD5" s="8"/>
      <c r="AY5" s="8"/>
      <c r="AZ5" s="8"/>
      <c r="BA5" s="8"/>
      <c r="BB5" s="8"/>
      <c r="BC5" s="388"/>
      <c r="BD5" s="8"/>
      <c r="BE5" s="388"/>
      <c r="BF5" s="388"/>
      <c r="BG5" s="388"/>
      <c r="BH5" s="388"/>
      <c r="BI5" s="395"/>
      <c r="BJ5" s="395"/>
      <c r="BK5" s="395"/>
    </row>
    <row r="6" spans="2:115" ht="13.5" customHeight="1" thickBot="1">
      <c r="B6" s="396" t="s">
        <v>30</v>
      </c>
      <c r="C6" s="397"/>
      <c r="D6" s="398">
        <f>1/6</f>
        <v>0.16666666666666666</v>
      </c>
      <c r="E6" s="759"/>
      <c r="F6" s="760"/>
      <c r="G6" s="102"/>
      <c r="H6" s="742"/>
      <c r="I6" s="743"/>
      <c r="J6" s="399">
        <v>0.991283</v>
      </c>
      <c r="K6" s="400">
        <v>0.93164</v>
      </c>
      <c r="L6" s="401">
        <v>0.872354</v>
      </c>
      <c r="M6" s="402">
        <v>0.755586</v>
      </c>
      <c r="N6" s="400">
        <v>0.611284</v>
      </c>
      <c r="O6" s="403">
        <v>0.504426</v>
      </c>
      <c r="Q6" s="8"/>
      <c r="R6" s="169"/>
      <c r="S6" s="8"/>
      <c r="U6" s="8"/>
      <c r="V6" s="8"/>
      <c r="W6" s="391"/>
      <c r="X6" s="391"/>
      <c r="Y6" s="391"/>
      <c r="Z6" s="8"/>
      <c r="AA6" s="8"/>
      <c r="AB6" s="8"/>
      <c r="AC6" s="8"/>
      <c r="AD6" s="8"/>
      <c r="AY6" s="129"/>
      <c r="AZ6" s="129"/>
      <c r="BA6" s="129"/>
      <c r="BB6" s="8"/>
      <c r="BC6" s="176"/>
      <c r="BD6" s="8"/>
      <c r="BE6" s="176"/>
      <c r="BF6" s="176"/>
      <c r="BG6" s="176"/>
      <c r="BH6" s="176"/>
      <c r="BI6" s="395"/>
      <c r="BJ6" s="395"/>
      <c r="BK6" s="395"/>
      <c r="CF6" t="s">
        <v>318</v>
      </c>
      <c r="CH6" s="151">
        <f>DH12/DH10</f>
        <v>1.0618560564383657</v>
      </c>
      <c r="CM6" s="723" t="s">
        <v>297</v>
      </c>
      <c r="CZ6" t="s">
        <v>321</v>
      </c>
      <c r="DB6" s="151"/>
      <c r="DC6" t="str">
        <f>CZ6</f>
        <v>Inflation</v>
      </c>
      <c r="DF6" t="str">
        <f>DC6</f>
        <v>Inflation</v>
      </c>
      <c r="DK6" t="str">
        <f>DF6</f>
        <v>Inflation</v>
      </c>
    </row>
    <row r="7" spans="2:115" ht="12.75" customHeight="1">
      <c r="B7" s="764" t="s">
        <v>270</v>
      </c>
      <c r="C7" s="765"/>
      <c r="D7" s="766" t="s">
        <v>261</v>
      </c>
      <c r="E7" s="745"/>
      <c r="F7" s="745"/>
      <c r="G7" s="745"/>
      <c r="H7" s="745"/>
      <c r="I7" s="746"/>
      <c r="J7" s="744" t="s">
        <v>250</v>
      </c>
      <c r="K7" s="745"/>
      <c r="L7" s="745"/>
      <c r="M7" s="745"/>
      <c r="N7" s="745"/>
      <c r="O7" s="746"/>
      <c r="P7" s="754" t="s">
        <v>251</v>
      </c>
      <c r="Q7" s="755"/>
      <c r="R7" s="755"/>
      <c r="S7" s="755"/>
      <c r="T7" s="755"/>
      <c r="U7" s="755"/>
      <c r="V7" s="756"/>
      <c r="W7" s="749" t="s">
        <v>252</v>
      </c>
      <c r="X7" s="750"/>
      <c r="Y7" s="750"/>
      <c r="Z7" s="750"/>
      <c r="AA7" s="750"/>
      <c r="AB7" s="750"/>
      <c r="AC7" s="751"/>
      <c r="AD7" s="732" t="s">
        <v>253</v>
      </c>
      <c r="AE7" s="733"/>
      <c r="AF7" s="733"/>
      <c r="AG7" s="733"/>
      <c r="AH7" s="733"/>
      <c r="AI7" s="733"/>
      <c r="AJ7" s="734"/>
      <c r="AK7" s="735" t="s">
        <v>254</v>
      </c>
      <c r="AL7" s="736"/>
      <c r="AM7" s="736"/>
      <c r="AN7" s="736"/>
      <c r="AO7" s="736"/>
      <c r="AP7" s="736"/>
      <c r="AQ7" s="737"/>
      <c r="AR7" s="725" t="s">
        <v>255</v>
      </c>
      <c r="AS7" s="726"/>
      <c r="AT7" s="726"/>
      <c r="AU7" s="726"/>
      <c r="AV7" s="726"/>
      <c r="AW7" s="726"/>
      <c r="AX7" s="727"/>
      <c r="AY7" s="725" t="s">
        <v>256</v>
      </c>
      <c r="AZ7" s="726"/>
      <c r="BA7" s="726"/>
      <c r="BB7" s="726"/>
      <c r="BC7" s="726"/>
      <c r="BD7" s="726"/>
      <c r="BE7" s="727"/>
      <c r="BF7" s="725" t="s">
        <v>257</v>
      </c>
      <c r="BG7" s="726"/>
      <c r="BH7" s="726"/>
      <c r="BI7" s="726"/>
      <c r="BJ7" s="726"/>
      <c r="BK7" s="726"/>
      <c r="BL7" s="727"/>
      <c r="BM7" s="725" t="s">
        <v>258</v>
      </c>
      <c r="BN7" s="726"/>
      <c r="BO7" s="726"/>
      <c r="BP7" s="726"/>
      <c r="BQ7" s="726"/>
      <c r="BR7" s="727"/>
      <c r="BS7" s="725" t="s">
        <v>259</v>
      </c>
      <c r="BT7" s="726"/>
      <c r="BU7" s="726"/>
      <c r="BV7" s="726"/>
      <c r="BW7" s="726"/>
      <c r="BX7" s="727"/>
      <c r="BY7" s="720" t="s">
        <v>317</v>
      </c>
      <c r="BZ7" s="721"/>
      <c r="CA7" s="721"/>
      <c r="CB7" s="721"/>
      <c r="CC7" s="721"/>
      <c r="CD7" s="721"/>
      <c r="CE7" s="722"/>
      <c r="CF7" s="720" t="s">
        <v>316</v>
      </c>
      <c r="CG7" s="721"/>
      <c r="CH7" s="721"/>
      <c r="CI7" s="721"/>
      <c r="CJ7" s="721"/>
      <c r="CK7" s="722"/>
      <c r="CL7" s="638"/>
      <c r="CM7" s="723"/>
      <c r="CZ7" t="s">
        <v>320</v>
      </c>
      <c r="DC7" t="str">
        <f>CZ7</f>
        <v>factor</v>
      </c>
      <c r="DF7" t="str">
        <f>DC7</f>
        <v>factor</v>
      </c>
      <c r="DH7" t="s">
        <v>310</v>
      </c>
      <c r="DK7" t="str">
        <f>DF7</f>
        <v>factor</v>
      </c>
    </row>
    <row r="8" spans="1:117" ht="13.5" customHeight="1" thickBot="1">
      <c r="A8" s="541"/>
      <c r="B8" s="405" t="s">
        <v>263</v>
      </c>
      <c r="C8" s="404" t="s">
        <v>262</v>
      </c>
      <c r="D8" s="752" t="s">
        <v>264</v>
      </c>
      <c r="E8" s="753"/>
      <c r="F8" s="753"/>
      <c r="G8" s="753"/>
      <c r="H8" s="753"/>
      <c r="I8" s="753"/>
      <c r="J8" s="407">
        <f>$J$3</f>
        <v>9.34</v>
      </c>
      <c r="K8" s="406">
        <f>$K$3</f>
        <v>7.34</v>
      </c>
      <c r="L8" s="406">
        <f>$L$3</f>
        <v>6.5</v>
      </c>
      <c r="M8" s="406">
        <f>$M$3</f>
        <v>5.34</v>
      </c>
      <c r="N8" s="406">
        <f>$N$3</f>
        <v>4.22</v>
      </c>
      <c r="O8" s="406">
        <f>$O$3</f>
        <v>3.5</v>
      </c>
      <c r="P8" s="545" t="s">
        <v>265</v>
      </c>
      <c r="Q8" s="409">
        <f>$J$8</f>
        <v>9.34</v>
      </c>
      <c r="R8" s="406">
        <f>K$8</f>
        <v>7.34</v>
      </c>
      <c r="S8" s="406">
        <f>$L$8</f>
        <v>6.5</v>
      </c>
      <c r="T8" s="406">
        <f>$M$8</f>
        <v>5.34</v>
      </c>
      <c r="U8" s="406">
        <f>$N$8</f>
        <v>4.22</v>
      </c>
      <c r="V8" s="406">
        <f>$O$8</f>
        <v>3.5</v>
      </c>
      <c r="W8" s="408" t="s">
        <v>265</v>
      </c>
      <c r="X8" s="406">
        <f>$J$8</f>
        <v>9.34</v>
      </c>
      <c r="Y8" s="406">
        <f>$K$8</f>
        <v>7.34</v>
      </c>
      <c r="Z8" s="406">
        <f>$L$8</f>
        <v>6.5</v>
      </c>
      <c r="AA8" s="406">
        <f>$M$8</f>
        <v>5.34</v>
      </c>
      <c r="AB8" s="406">
        <f>$N$8</f>
        <v>4.22</v>
      </c>
      <c r="AC8" s="406">
        <f>$O$8</f>
        <v>3.5</v>
      </c>
      <c r="AD8" s="546" t="s">
        <v>265</v>
      </c>
      <c r="AE8" s="406">
        <f>$J$8</f>
        <v>9.34</v>
      </c>
      <c r="AF8" s="406">
        <f>$K$8</f>
        <v>7.34</v>
      </c>
      <c r="AG8" s="406">
        <f>$L$8</f>
        <v>6.5</v>
      </c>
      <c r="AH8" s="406">
        <f>$M$8</f>
        <v>5.34</v>
      </c>
      <c r="AI8" s="406">
        <f>$N$8</f>
        <v>4.22</v>
      </c>
      <c r="AJ8" s="406">
        <f>$O$8</f>
        <v>3.5</v>
      </c>
      <c r="AK8" s="409" t="s">
        <v>265</v>
      </c>
      <c r="AL8" s="406">
        <f>$J$8</f>
        <v>9.34</v>
      </c>
      <c r="AM8" s="406">
        <f>$K$8</f>
        <v>7.34</v>
      </c>
      <c r="AN8" s="406">
        <f>$L$8</f>
        <v>6.5</v>
      </c>
      <c r="AO8" s="406">
        <f>$M$8</f>
        <v>5.34</v>
      </c>
      <c r="AP8" s="406">
        <f>$N$8</f>
        <v>4.22</v>
      </c>
      <c r="AQ8" s="406">
        <f>$O$8</f>
        <v>3.5</v>
      </c>
      <c r="AR8" s="409" t="s">
        <v>265</v>
      </c>
      <c r="AS8" s="406">
        <f>$J$8</f>
        <v>9.34</v>
      </c>
      <c r="AT8" s="406">
        <f>$K$8</f>
        <v>7.34</v>
      </c>
      <c r="AU8" s="406">
        <f>$L$8</f>
        <v>6.5</v>
      </c>
      <c r="AV8" s="406">
        <f>$M$8</f>
        <v>5.34</v>
      </c>
      <c r="AW8" s="406">
        <f>$N$8</f>
        <v>4.22</v>
      </c>
      <c r="AX8" s="406">
        <f>$O$8</f>
        <v>3.5</v>
      </c>
      <c r="AY8" s="409" t="s">
        <v>265</v>
      </c>
      <c r="AZ8" s="406">
        <f>$J$8</f>
        <v>9.34</v>
      </c>
      <c r="BA8" s="406">
        <f>$K$8</f>
        <v>7.34</v>
      </c>
      <c r="BB8" s="406">
        <f>$L$8</f>
        <v>6.5</v>
      </c>
      <c r="BC8" s="406">
        <f>$M$8</f>
        <v>5.34</v>
      </c>
      <c r="BD8" s="406">
        <f>$N$8</f>
        <v>4.22</v>
      </c>
      <c r="BE8" s="410">
        <f>$O$8</f>
        <v>3.5</v>
      </c>
      <c r="BF8" s="409" t="s">
        <v>265</v>
      </c>
      <c r="BG8" s="406">
        <f>$J$8</f>
        <v>9.34</v>
      </c>
      <c r="BH8" s="406">
        <f>$K$8</f>
        <v>7.34</v>
      </c>
      <c r="BI8" s="406">
        <f>$L$8</f>
        <v>6.5</v>
      </c>
      <c r="BJ8" s="406">
        <f>$M$8</f>
        <v>5.34</v>
      </c>
      <c r="BK8" s="406">
        <f>$N$8</f>
        <v>4.22</v>
      </c>
      <c r="BL8" s="410">
        <f>$O$8</f>
        <v>3.5</v>
      </c>
      <c r="BM8" s="406">
        <f>$J$8</f>
        <v>9.34</v>
      </c>
      <c r="BN8" s="406">
        <f>$K$8</f>
        <v>7.34</v>
      </c>
      <c r="BO8" s="406">
        <f>$L$8</f>
        <v>6.5</v>
      </c>
      <c r="BP8" s="406">
        <f>$M$8</f>
        <v>5.34</v>
      </c>
      <c r="BQ8" s="406">
        <f>$N$8</f>
        <v>4.22</v>
      </c>
      <c r="BR8" s="410">
        <f>$O$8</f>
        <v>3.5</v>
      </c>
      <c r="BS8" s="406">
        <f>$J$8</f>
        <v>9.34</v>
      </c>
      <c r="BT8" s="406">
        <f>$K$8</f>
        <v>7.34</v>
      </c>
      <c r="BU8" s="406">
        <f>$L$8</f>
        <v>6.5</v>
      </c>
      <c r="BV8" s="406">
        <f>$M$8</f>
        <v>5.34</v>
      </c>
      <c r="BW8" s="406">
        <f>$N$8</f>
        <v>4.22</v>
      </c>
      <c r="BX8" s="410">
        <f>$O$8</f>
        <v>3.5</v>
      </c>
      <c r="BY8" s="409" t="s">
        <v>265</v>
      </c>
      <c r="BZ8" s="406">
        <f>$J$8</f>
        <v>9.34</v>
      </c>
      <c r="CA8" s="406">
        <f>$K$8</f>
        <v>7.34</v>
      </c>
      <c r="CB8" s="406">
        <f>$L$8</f>
        <v>6.5</v>
      </c>
      <c r="CC8" s="406">
        <f>$M$8</f>
        <v>5.34</v>
      </c>
      <c r="CD8" s="406">
        <f>$N$8</f>
        <v>4.22</v>
      </c>
      <c r="CE8" s="410">
        <f>$O$8</f>
        <v>3.5</v>
      </c>
      <c r="CF8" s="423">
        <f aca="true" t="shared" si="0" ref="CF8:CK8">BZ8</f>
        <v>9.34</v>
      </c>
      <c r="CG8" s="423">
        <f t="shared" si="0"/>
        <v>7.34</v>
      </c>
      <c r="CH8" s="423">
        <f t="shared" si="0"/>
        <v>6.5</v>
      </c>
      <c r="CI8" s="423">
        <f t="shared" si="0"/>
        <v>5.34</v>
      </c>
      <c r="CJ8" s="423">
        <f t="shared" si="0"/>
        <v>4.22</v>
      </c>
      <c r="CK8" s="423">
        <f t="shared" si="0"/>
        <v>3.5</v>
      </c>
      <c r="CL8" s="411"/>
      <c r="CM8" s="723"/>
      <c r="CR8" s="768" t="s">
        <v>293</v>
      </c>
      <c r="CT8" s="619"/>
      <c r="CU8" s="619"/>
      <c r="CW8" t="s">
        <v>260</v>
      </c>
      <c r="CZ8" s="641">
        <f>CH6</f>
        <v>1.0618560564383657</v>
      </c>
      <c r="DC8" s="151">
        <f>CZ8</f>
        <v>1.0618560564383657</v>
      </c>
      <c r="DF8" s="151">
        <f>DC8</f>
        <v>1.0618560564383657</v>
      </c>
      <c r="DH8" t="s">
        <v>311</v>
      </c>
      <c r="DK8" s="151">
        <f>DF8</f>
        <v>1.0618560564383657</v>
      </c>
      <c r="DM8" t="s">
        <v>292</v>
      </c>
    </row>
    <row r="9" spans="1:112" ht="12.75">
      <c r="A9" s="412">
        <v>2003</v>
      </c>
      <c r="B9" s="413">
        <v>5.39714653015137</v>
      </c>
      <c r="C9" s="413">
        <v>5.265508809903777</v>
      </c>
      <c r="D9" s="414"/>
      <c r="E9" s="413"/>
      <c r="F9" s="413"/>
      <c r="G9" s="413"/>
      <c r="H9" s="415"/>
      <c r="I9" s="542"/>
      <c r="P9" s="124"/>
      <c r="Q9" s="10"/>
      <c r="R9" s="8"/>
      <c r="T9" s="8"/>
      <c r="U9" s="8"/>
      <c r="W9" s="10"/>
      <c r="AD9" s="416"/>
      <c r="AE9" s="8"/>
      <c r="AF9" s="8"/>
      <c r="AI9" s="417"/>
      <c r="AJ9" s="417"/>
      <c r="AK9" s="418"/>
      <c r="AL9" s="417"/>
      <c r="AM9" s="417"/>
      <c r="AN9" s="8"/>
      <c r="AO9" s="8"/>
      <c r="AP9" s="8"/>
      <c r="AQ9" s="8"/>
      <c r="AR9" s="10"/>
      <c r="AS9" s="8"/>
      <c r="AT9" s="8"/>
      <c r="AU9" s="8"/>
      <c r="AV9" s="8"/>
      <c r="AW9" s="8"/>
      <c r="AX9" s="419"/>
      <c r="AY9" s="10"/>
      <c r="AZ9" s="8"/>
      <c r="BA9" s="8"/>
      <c r="BB9" s="8"/>
      <c r="BC9" s="8"/>
      <c r="BD9" s="8"/>
      <c r="BE9" s="8"/>
      <c r="BF9" s="416"/>
      <c r="BG9" s="8"/>
      <c r="BH9" s="8"/>
      <c r="BI9" s="8"/>
      <c r="BJ9" s="8"/>
      <c r="BK9" s="8"/>
      <c r="BL9" s="9"/>
      <c r="BM9" s="8"/>
      <c r="BN9" s="8"/>
      <c r="BO9" s="8"/>
      <c r="BP9" s="8"/>
      <c r="BQ9" s="8"/>
      <c r="BS9" s="10"/>
      <c r="BT9" s="8"/>
      <c r="BW9" s="32"/>
      <c r="BX9" s="32"/>
      <c r="BY9" s="10"/>
      <c r="BZ9" s="8"/>
      <c r="CA9" s="8"/>
      <c r="CD9" s="420"/>
      <c r="CE9" s="421"/>
      <c r="CF9" s="420"/>
      <c r="CG9" s="420"/>
      <c r="CH9" s="420"/>
      <c r="CI9" s="420"/>
      <c r="CJ9" s="420"/>
      <c r="CK9" s="420"/>
      <c r="CL9" s="12"/>
      <c r="CM9" s="12" t="s">
        <v>298</v>
      </c>
      <c r="CO9" s="768" t="s">
        <v>260</v>
      </c>
      <c r="CP9" s="768" t="s">
        <v>292</v>
      </c>
      <c r="CQ9" s="768" t="s">
        <v>295</v>
      </c>
      <c r="CR9" s="768"/>
      <c r="CS9" s="768" t="s">
        <v>294</v>
      </c>
      <c r="CT9" s="768" t="s">
        <v>285</v>
      </c>
      <c r="CU9" s="619"/>
      <c r="DH9" s="87" t="s">
        <v>312</v>
      </c>
    </row>
    <row r="10" spans="1:112" ht="12.75">
      <c r="A10" s="412">
        <v>2004</v>
      </c>
      <c r="B10" s="413">
        <v>5.809999294281011</v>
      </c>
      <c r="C10" s="413">
        <v>5.668291994420499</v>
      </c>
      <c r="D10" s="414">
        <v>9.34</v>
      </c>
      <c r="E10" s="413">
        <v>7.34</v>
      </c>
      <c r="F10" s="413">
        <v>6.5</v>
      </c>
      <c r="G10" s="413">
        <v>5.34</v>
      </c>
      <c r="H10" s="422">
        <v>4.22</v>
      </c>
      <c r="I10" s="422">
        <v>3.5</v>
      </c>
      <c r="J10" s="425"/>
      <c r="K10" s="425"/>
      <c r="L10" s="425"/>
      <c r="M10" s="425"/>
      <c r="N10" s="425"/>
      <c r="O10" s="425"/>
      <c r="P10" s="424"/>
      <c r="Q10" s="426" t="s">
        <v>231</v>
      </c>
      <c r="R10" s="425"/>
      <c r="S10" s="427"/>
      <c r="T10" s="425"/>
      <c r="U10" s="428"/>
      <c r="V10" s="428"/>
      <c r="W10" s="429"/>
      <c r="X10" s="430"/>
      <c r="Y10" s="430"/>
      <c r="Z10" s="430"/>
      <c r="AA10" s="430"/>
      <c r="AB10" s="430"/>
      <c r="AC10" s="430"/>
      <c r="AD10" s="431"/>
      <c r="AE10" s="432"/>
      <c r="AF10" s="432"/>
      <c r="AG10" s="432"/>
      <c r="AH10" s="432"/>
      <c r="AI10" s="417"/>
      <c r="AJ10" s="417"/>
      <c r="AK10" s="418"/>
      <c r="AL10" s="417"/>
      <c r="AM10" s="417"/>
      <c r="AN10" s="433"/>
      <c r="AO10" s="433"/>
      <c r="AP10" s="432"/>
      <c r="AQ10" s="433"/>
      <c r="AR10" s="434"/>
      <c r="AS10" s="432"/>
      <c r="AT10" s="432"/>
      <c r="AU10" s="432"/>
      <c r="AV10" s="432"/>
      <c r="AW10" s="419"/>
      <c r="AX10" s="419"/>
      <c r="AY10" s="435"/>
      <c r="AZ10" s="436"/>
      <c r="BA10" s="436"/>
      <c r="BB10" s="436"/>
      <c r="BC10" s="436"/>
      <c r="BD10" s="432"/>
      <c r="BE10" s="436"/>
      <c r="BF10" s="437"/>
      <c r="BG10" s="432"/>
      <c r="BH10" s="432"/>
      <c r="BI10" s="432"/>
      <c r="BJ10" s="432"/>
      <c r="BK10" s="436"/>
      <c r="BL10" s="438"/>
      <c r="BM10" s="436"/>
      <c r="BN10" s="436"/>
      <c r="BO10" s="436"/>
      <c r="BP10" s="436"/>
      <c r="BQ10" s="432"/>
      <c r="BR10" s="436"/>
      <c r="BS10" s="439"/>
      <c r="BT10" s="432"/>
      <c r="BU10" s="432"/>
      <c r="BV10" s="432"/>
      <c r="BW10" s="440"/>
      <c r="BX10" s="440"/>
      <c r="BY10" s="439"/>
      <c r="BZ10" s="8" t="s">
        <v>231</v>
      </c>
      <c r="CA10" s="8"/>
      <c r="CD10" s="8"/>
      <c r="CE10" s="9"/>
      <c r="CF10" s="8"/>
      <c r="CG10" s="8"/>
      <c r="CH10" s="8"/>
      <c r="CI10" s="8"/>
      <c r="CJ10" s="8"/>
      <c r="CK10" s="8"/>
      <c r="CL10" s="12"/>
      <c r="CM10" s="12"/>
      <c r="CO10" s="768"/>
      <c r="CP10" s="768"/>
      <c r="CQ10" s="768"/>
      <c r="CR10" s="768"/>
      <c r="CS10" s="768"/>
      <c r="CT10" s="768"/>
      <c r="CU10" s="768" t="s">
        <v>287</v>
      </c>
      <c r="CW10" s="46">
        <v>2004</v>
      </c>
      <c r="DH10" s="245">
        <v>1.09429001808167</v>
      </c>
    </row>
    <row r="11" spans="1:128" ht="12.75">
      <c r="A11" s="412">
        <v>2005</v>
      </c>
      <c r="B11" s="413">
        <v>7.93536979675292</v>
      </c>
      <c r="C11" s="413">
        <v>7.741824191954069</v>
      </c>
      <c r="D11" s="414">
        <f aca="true" t="shared" si="1" ref="D11:I26">D10</f>
        <v>9.34</v>
      </c>
      <c r="E11" s="413">
        <f t="shared" si="1"/>
        <v>7.34</v>
      </c>
      <c r="F11" s="413">
        <f t="shared" si="1"/>
        <v>6.5</v>
      </c>
      <c r="G11" s="413">
        <f t="shared" si="1"/>
        <v>5.34</v>
      </c>
      <c r="H11" s="422">
        <f t="shared" si="1"/>
        <v>4.22</v>
      </c>
      <c r="I11" s="422">
        <f t="shared" si="1"/>
        <v>3.5</v>
      </c>
      <c r="J11" s="425"/>
      <c r="K11" s="425"/>
      <c r="L11" s="425"/>
      <c r="M11" s="425"/>
      <c r="N11" s="425"/>
      <c r="O11" s="425"/>
      <c r="P11" s="424"/>
      <c r="Q11" s="426"/>
      <c r="R11" s="425"/>
      <c r="S11" s="425"/>
      <c r="T11" s="425"/>
      <c r="U11" s="428"/>
      <c r="V11" s="428"/>
      <c r="W11" s="429"/>
      <c r="X11" s="430"/>
      <c r="Y11" s="430"/>
      <c r="Z11" s="430"/>
      <c r="AA11" s="430"/>
      <c r="AB11" s="430"/>
      <c r="AC11" s="430"/>
      <c r="AD11" s="431"/>
      <c r="AE11" s="432"/>
      <c r="AF11" s="432"/>
      <c r="AG11" s="432"/>
      <c r="AH11" s="432"/>
      <c r="AI11" s="417"/>
      <c r="AJ11" s="417"/>
      <c r="AK11" s="418"/>
      <c r="AL11" s="417"/>
      <c r="AM11" s="417"/>
      <c r="AN11" s="433"/>
      <c r="AO11" s="433"/>
      <c r="AP11" s="432"/>
      <c r="AQ11" s="433"/>
      <c r="AR11" s="434"/>
      <c r="AS11" s="432"/>
      <c r="AT11" s="432"/>
      <c r="AU11" s="432"/>
      <c r="AV11" s="432"/>
      <c r="AW11" s="419"/>
      <c r="AX11" s="419"/>
      <c r="AY11" s="435"/>
      <c r="AZ11" s="436"/>
      <c r="BA11" s="436"/>
      <c r="BB11" s="436"/>
      <c r="BC11" s="436"/>
      <c r="BD11" s="432"/>
      <c r="BE11" s="436"/>
      <c r="BF11" s="437"/>
      <c r="BG11" s="432"/>
      <c r="BH11" s="432"/>
      <c r="BI11" s="432"/>
      <c r="BJ11" s="432"/>
      <c r="BK11" s="436"/>
      <c r="BL11" s="438"/>
      <c r="BM11" s="436"/>
      <c r="BN11" s="436"/>
      <c r="BO11" s="436"/>
      <c r="BP11" s="436"/>
      <c r="BQ11" s="432"/>
      <c r="BR11" s="436"/>
      <c r="BS11" s="439"/>
      <c r="BT11" s="432"/>
      <c r="BU11" s="432"/>
      <c r="BV11" s="432"/>
      <c r="BW11" s="440"/>
      <c r="BX11" s="440"/>
      <c r="BY11" s="439"/>
      <c r="BZ11" s="8"/>
      <c r="CA11" s="8"/>
      <c r="CD11" s="8"/>
      <c r="CE11" s="9"/>
      <c r="CF11" s="8"/>
      <c r="CG11" s="8"/>
      <c r="CH11" s="8"/>
      <c r="CI11" s="8"/>
      <c r="CJ11" s="8"/>
      <c r="CK11" s="8"/>
      <c r="CL11" s="12"/>
      <c r="CM11" s="12"/>
      <c r="CO11" s="768"/>
      <c r="CP11" s="768"/>
      <c r="CQ11" s="768"/>
      <c r="CR11" s="768"/>
      <c r="CS11" s="768"/>
      <c r="CT11" s="46" t="s">
        <v>286</v>
      </c>
      <c r="CU11" s="768"/>
      <c r="CW11" s="46">
        <v>2005</v>
      </c>
      <c r="CX11" s="691" t="s">
        <v>301</v>
      </c>
      <c r="CY11" s="691"/>
      <c r="CZ11" s="691"/>
      <c r="DA11" s="691" t="s">
        <v>302</v>
      </c>
      <c r="DB11" s="691"/>
      <c r="DC11" s="691"/>
      <c r="DD11" s="691" t="s">
        <v>303</v>
      </c>
      <c r="DE11" s="691"/>
      <c r="DF11" s="691"/>
      <c r="DG11" s="46" t="s">
        <v>315</v>
      </c>
      <c r="DH11" s="245">
        <v>1.12743496894836</v>
      </c>
      <c r="DI11" s="691" t="s">
        <v>305</v>
      </c>
      <c r="DJ11" s="691"/>
      <c r="DK11" s="691"/>
      <c r="DM11" s="691" t="s">
        <v>301</v>
      </c>
      <c r="DN11" s="691"/>
      <c r="DO11" s="691"/>
      <c r="DP11" s="691" t="s">
        <v>302</v>
      </c>
      <c r="DQ11" s="691"/>
      <c r="DR11" s="691"/>
      <c r="DS11" s="691" t="s">
        <v>303</v>
      </c>
      <c r="DT11" s="691"/>
      <c r="DU11" s="691"/>
      <c r="DV11" s="691" t="s">
        <v>305</v>
      </c>
      <c r="DW11" s="691"/>
      <c r="DX11" s="691"/>
    </row>
    <row r="12" spans="1:128" ht="12.75">
      <c r="A12" s="412">
        <v>2006</v>
      </c>
      <c r="B12" s="413">
        <v>7.16958362579346</v>
      </c>
      <c r="C12" s="413">
        <v>6.994715732481425</v>
      </c>
      <c r="D12" s="441">
        <f aca="true" t="shared" si="2" ref="D12:I12">D11</f>
        <v>9.34</v>
      </c>
      <c r="E12" s="414">
        <f t="shared" si="2"/>
        <v>7.34</v>
      </c>
      <c r="F12" s="414">
        <f t="shared" si="2"/>
        <v>6.5</v>
      </c>
      <c r="G12" s="414">
        <f t="shared" si="2"/>
        <v>5.34</v>
      </c>
      <c r="H12" s="413">
        <f t="shared" si="2"/>
        <v>4.22</v>
      </c>
      <c r="I12" s="422">
        <f t="shared" si="2"/>
        <v>3.5</v>
      </c>
      <c r="J12" s="443">
        <v>0.1563</v>
      </c>
      <c r="K12" s="444">
        <v>0.451</v>
      </c>
      <c r="L12" s="445">
        <v>0.6273</v>
      </c>
      <c r="M12" s="446">
        <v>0.8063</v>
      </c>
      <c r="N12" s="447">
        <v>0.9123</v>
      </c>
      <c r="O12" s="447">
        <v>0.9597</v>
      </c>
      <c r="P12" s="442">
        <v>0</v>
      </c>
      <c r="Q12" s="448">
        <v>0</v>
      </c>
      <c r="R12" s="449">
        <v>0</v>
      </c>
      <c r="S12" s="449">
        <v>0</v>
      </c>
      <c r="T12" s="449">
        <v>0</v>
      </c>
      <c r="U12" s="450">
        <v>0</v>
      </c>
      <c r="V12" s="450">
        <v>0</v>
      </c>
      <c r="W12" s="451">
        <v>0</v>
      </c>
      <c r="X12" s="452">
        <v>0</v>
      </c>
      <c r="Y12" s="452">
        <v>0</v>
      </c>
      <c r="Z12" s="452">
        <v>0</v>
      </c>
      <c r="AA12" s="452">
        <v>0</v>
      </c>
      <c r="AB12" s="452">
        <v>0</v>
      </c>
      <c r="AC12" s="452">
        <v>0</v>
      </c>
      <c r="AD12" s="439">
        <f aca="true" t="shared" si="3" ref="AD12:AD50">W12*$B12*$D$6</f>
        <v>0</v>
      </c>
      <c r="AE12" s="432">
        <f aca="true" t="shared" si="4" ref="AE12:AE50">X12*$B12*$D$6*J$6</f>
        <v>0</v>
      </c>
      <c r="AF12" s="432">
        <f aca="true" t="shared" si="5" ref="AF12:AF50">Y12*$B12*$D$6*K$6</f>
        <v>0</v>
      </c>
      <c r="AG12" s="432">
        <f aca="true" t="shared" si="6" ref="AG12:AG50">Z12*$B12*$D$6*L$6</f>
        <v>0</v>
      </c>
      <c r="AH12" s="432">
        <f aca="true" t="shared" si="7" ref="AH12:AH50">AA12*$B12*$D$6*M$6</f>
        <v>0</v>
      </c>
      <c r="AI12" s="432">
        <f aca="true" t="shared" si="8" ref="AI12:AI50">AB12*$B12*$D$6*N$6</f>
        <v>0</v>
      </c>
      <c r="AJ12" s="453">
        <f aca="true" t="shared" si="9" ref="AJ12:AJ50">AC12*$B12*$D$6*O$6</f>
        <v>0</v>
      </c>
      <c r="AK12" s="433">
        <f aca="true" t="shared" si="10" ref="AK12:AK50">P12/($D$3+$D$4)</f>
        <v>0</v>
      </c>
      <c r="AL12" s="433">
        <f aca="true" t="shared" si="11" ref="AL12:AL50">Q12/($D$3+$D$4)</f>
        <v>0</v>
      </c>
      <c r="AM12" s="433">
        <f aca="true" t="shared" si="12" ref="AM12:AM50">R12/($D$3+$D$4)</f>
        <v>0</v>
      </c>
      <c r="AN12" s="433">
        <f aca="true" t="shared" si="13" ref="AN12:AN50">S12/($D$3+$D$4)</f>
        <v>0</v>
      </c>
      <c r="AO12" s="433">
        <f aca="true" t="shared" si="14" ref="AO12:AO50">T12/($D$3+$D$4)</f>
        <v>0</v>
      </c>
      <c r="AP12" s="433">
        <f aca="true" t="shared" si="15" ref="AP12:AP50">U12/($D$3+$D$4)</f>
        <v>0</v>
      </c>
      <c r="AQ12" s="433">
        <f aca="true" t="shared" si="16" ref="AQ12:AQ50">V12/($D$3+$D$4)</f>
        <v>0</v>
      </c>
      <c r="AR12" s="439">
        <f aca="true" t="shared" si="17" ref="AR12:AR50">AK12*($B12*$D$5*$D$6)</f>
        <v>0</v>
      </c>
      <c r="AS12" s="432">
        <f aca="true" t="shared" si="18" ref="AS12:AS50">AL12*($B12*$D$5*$D$6)</f>
        <v>0</v>
      </c>
      <c r="AT12" s="432">
        <f aca="true" t="shared" si="19" ref="AT12:AT50">AM12*($B12*$D$5*$D$6)</f>
        <v>0</v>
      </c>
      <c r="AU12" s="432">
        <f aca="true" t="shared" si="20" ref="AU12:AU50">AN12*($B12*$D$5*$D$6)</f>
        <v>0</v>
      </c>
      <c r="AV12" s="432">
        <f aca="true" t="shared" si="21" ref="AV12:AV50">AO12*($B12*$D$5*$D$6)</f>
        <v>0</v>
      </c>
      <c r="AW12" s="432">
        <f aca="true" t="shared" si="22" ref="AW12:AW50">AP12*($B12*$D$5*$D$6)</f>
        <v>0</v>
      </c>
      <c r="AX12" s="432">
        <f aca="true" t="shared" si="23" ref="AX12:AX50">AQ12*($B12*$D$5*$D$6)</f>
        <v>0</v>
      </c>
      <c r="AY12" s="454">
        <v>0</v>
      </c>
      <c r="AZ12" s="455">
        <v>0</v>
      </c>
      <c r="BA12" s="455">
        <v>0</v>
      </c>
      <c r="BB12" s="455">
        <v>0</v>
      </c>
      <c r="BC12" s="455">
        <v>0</v>
      </c>
      <c r="BD12" s="456">
        <v>0</v>
      </c>
      <c r="BE12" s="456">
        <v>0</v>
      </c>
      <c r="BF12" s="439">
        <f aca="true" t="shared" si="24" ref="BF12:BF50">AY12*$B12*$D$6</f>
        <v>0</v>
      </c>
      <c r="BG12" s="432">
        <f aca="true" t="shared" si="25" ref="BG12:BG50">AZ12*$B12*$D$6</f>
        <v>0</v>
      </c>
      <c r="BH12" s="432">
        <f aca="true" t="shared" si="26" ref="BH12:BH50">BA12*$B12*$D$6</f>
        <v>0</v>
      </c>
      <c r="BI12" s="432">
        <f aca="true" t="shared" si="27" ref="BI12:BI50">BB12*$B12*$D$6</f>
        <v>0</v>
      </c>
      <c r="BJ12" s="432">
        <f aca="true" t="shared" si="28" ref="BJ12:BJ50">BC12*$B12*$D$6</f>
        <v>0</v>
      </c>
      <c r="BK12" s="432">
        <f aca="true" t="shared" si="29" ref="BK12:BK50">BD12*$B12*$D$6</f>
        <v>0</v>
      </c>
      <c r="BL12" s="453">
        <f aca="true" t="shared" si="30" ref="BL12:BL50">BE12*$B12*$D$6</f>
        <v>0</v>
      </c>
      <c r="BM12" s="436">
        <f aca="true" t="shared" si="31" ref="BM12:BM50">Q12-(AL12*$D$4)-AZ12</f>
        <v>0</v>
      </c>
      <c r="BN12" s="436">
        <f aca="true" t="shared" si="32" ref="BN12:BN50">R12-(AM12*$D$4)-BA12</f>
        <v>0</v>
      </c>
      <c r="BO12" s="436">
        <f aca="true" t="shared" si="33" ref="BO12:BO50">S12-(AN12*$D$4)-BB12</f>
        <v>0</v>
      </c>
      <c r="BP12" s="436">
        <f aca="true" t="shared" si="34" ref="BP12:BP50">T12-(AO12*$D$4)-BC12</f>
        <v>0</v>
      </c>
      <c r="BQ12" s="436">
        <f aca="true" t="shared" si="35" ref="BQ12:BQ50">U12-(AP12*$D$4)-BD12</f>
        <v>0</v>
      </c>
      <c r="BR12" s="436">
        <f aca="true" t="shared" si="36" ref="BR12:BR50">V12-(AQ12*$D$4)-BE12</f>
        <v>0</v>
      </c>
      <c r="BS12" s="439">
        <f aca="true" t="shared" si="37" ref="BS12:BS50">BM12*J$4*D12*$D$6</f>
        <v>0</v>
      </c>
      <c r="BT12" s="432">
        <f aca="true" t="shared" si="38" ref="BT12:BT50">BN12*K$4*E12*$D$6</f>
        <v>0</v>
      </c>
      <c r="BU12" s="432">
        <f aca="true" t="shared" si="39" ref="BU12:BU50">BO12*L$4*F12*$D$6</f>
        <v>0</v>
      </c>
      <c r="BV12" s="432">
        <f aca="true" t="shared" si="40" ref="BV12:BV50">BP12*M$4*G12*$D$6</f>
        <v>0</v>
      </c>
      <c r="BW12" s="432">
        <f aca="true" t="shared" si="41" ref="BW12:BW50">BQ12*N$4*H12*$D$6</f>
        <v>0</v>
      </c>
      <c r="BX12" s="453">
        <f aca="true" t="shared" si="42" ref="BX12:BX50">BR12*O$4*I12*$D$6</f>
        <v>0</v>
      </c>
      <c r="BY12" s="432">
        <f>-AD12+AR12+BF12</f>
        <v>0</v>
      </c>
      <c r="BZ12" s="432">
        <f aca="true" t="shared" si="43" ref="BZ12:BZ50">-((1-J12)*AE12)+AS12+BG12+(J12*BS12)</f>
        <v>0</v>
      </c>
      <c r="CA12" s="432">
        <f aca="true" t="shared" si="44" ref="CA12:CA50">-((1-K12)*AF12)+AT12+BH12+(K12*BT12)</f>
        <v>0</v>
      </c>
      <c r="CB12" s="432">
        <f aca="true" t="shared" si="45" ref="CB12:CB50">-((1-L12)*AG12)+AU12+BI12+(L12*BU12)</f>
        <v>0</v>
      </c>
      <c r="CC12" s="432">
        <f aca="true" t="shared" si="46" ref="CC12:CC50">-((1-M12)*AH12)+AV12+BJ12+(M12*BV12)</f>
        <v>0</v>
      </c>
      <c r="CD12" s="432">
        <f aca="true" t="shared" si="47" ref="CD12:CD50">-((1-N12)*AI12)+AW12+BK12+(N12*BW12)</f>
        <v>0</v>
      </c>
      <c r="CE12" s="453">
        <f aca="true" t="shared" si="48" ref="CE12:CE50">-((1-O12)*AJ12)+AX12+BL12+(O12*BX12)</f>
        <v>0</v>
      </c>
      <c r="CF12" s="432">
        <f aca="true" t="shared" si="49" ref="CF12:CK12">BZ12*$CH$6</f>
        <v>0</v>
      </c>
      <c r="CG12" s="432">
        <f t="shared" si="49"/>
        <v>0</v>
      </c>
      <c r="CH12" s="432">
        <f t="shared" si="49"/>
        <v>0</v>
      </c>
      <c r="CI12" s="432">
        <f t="shared" si="49"/>
        <v>0</v>
      </c>
      <c r="CJ12" s="432">
        <f t="shared" si="49"/>
        <v>0</v>
      </c>
      <c r="CK12" s="432">
        <f t="shared" si="49"/>
        <v>0</v>
      </c>
      <c r="CL12" s="12">
        <f>A12</f>
        <v>2006</v>
      </c>
      <c r="CM12" s="128">
        <f>-AG12+AU12+BI12</f>
        <v>0</v>
      </c>
      <c r="CO12" s="532"/>
      <c r="CP12" s="70"/>
      <c r="CQ12" s="70"/>
      <c r="CR12" s="179"/>
      <c r="CS12" s="532"/>
      <c r="CT12" s="532"/>
      <c r="CU12" s="532"/>
      <c r="CW12" s="46">
        <v>2006</v>
      </c>
      <c r="CX12" s="17" t="s">
        <v>299</v>
      </c>
      <c r="CY12" s="17" t="s">
        <v>197</v>
      </c>
      <c r="CZ12" s="17" t="s">
        <v>300</v>
      </c>
      <c r="DA12" s="17" t="s">
        <v>299</v>
      </c>
      <c r="DB12" s="17" t="s">
        <v>197</v>
      </c>
      <c r="DC12" s="17" t="s">
        <v>300</v>
      </c>
      <c r="DD12" s="17" t="s">
        <v>299</v>
      </c>
      <c r="DE12" s="17" t="s">
        <v>197</v>
      </c>
      <c r="DF12" s="17" t="s">
        <v>300</v>
      </c>
      <c r="DG12" s="17"/>
      <c r="DH12" s="245">
        <v>1.16197848320007</v>
      </c>
      <c r="DI12" s="17" t="s">
        <v>299</v>
      </c>
      <c r="DJ12" s="17" t="s">
        <v>197</v>
      </c>
      <c r="DK12" s="17" t="s">
        <v>300</v>
      </c>
      <c r="DM12" s="17" t="s">
        <v>299</v>
      </c>
      <c r="DN12" s="17" t="s">
        <v>197</v>
      </c>
      <c r="DO12" s="17" t="s">
        <v>300</v>
      </c>
      <c r="DP12" s="17" t="s">
        <v>299</v>
      </c>
      <c r="DQ12" s="17" t="s">
        <v>197</v>
      </c>
      <c r="DR12" s="17" t="s">
        <v>300</v>
      </c>
      <c r="DS12" s="17" t="s">
        <v>299</v>
      </c>
      <c r="DT12" s="17" t="s">
        <v>197</v>
      </c>
      <c r="DU12" s="17" t="s">
        <v>300</v>
      </c>
      <c r="DV12" s="17" t="s">
        <v>299</v>
      </c>
      <c r="DW12" s="17" t="s">
        <v>197</v>
      </c>
      <c r="DX12" s="17" t="s">
        <v>300</v>
      </c>
    </row>
    <row r="13" spans="1:128" ht="12.75">
      <c r="A13" s="412">
        <v>2007</v>
      </c>
      <c r="B13" s="413">
        <v>6.45482761383057</v>
      </c>
      <c r="C13" s="413">
        <v>6.297392793981045</v>
      </c>
      <c r="D13" s="441">
        <f t="shared" si="1"/>
        <v>9.34</v>
      </c>
      <c r="E13" s="414">
        <f t="shared" si="1"/>
        <v>7.34</v>
      </c>
      <c r="F13" s="414">
        <f t="shared" si="1"/>
        <v>6.5</v>
      </c>
      <c r="G13" s="414">
        <f t="shared" si="1"/>
        <v>5.34</v>
      </c>
      <c r="H13" s="413">
        <f t="shared" si="1"/>
        <v>4.22</v>
      </c>
      <c r="I13" s="422">
        <f t="shared" si="1"/>
        <v>3.5</v>
      </c>
      <c r="J13" s="443">
        <v>0.0747</v>
      </c>
      <c r="K13" s="444">
        <v>0.33</v>
      </c>
      <c r="L13" s="445">
        <v>0.5123</v>
      </c>
      <c r="M13" s="446">
        <v>0.7217</v>
      </c>
      <c r="N13" s="447">
        <v>0.8777</v>
      </c>
      <c r="O13" s="447">
        <v>0.9347</v>
      </c>
      <c r="P13" s="457">
        <v>0.8441477643904978</v>
      </c>
      <c r="Q13" s="458">
        <v>0.6128100058607846</v>
      </c>
      <c r="R13" s="459">
        <v>0.6128100058607846</v>
      </c>
      <c r="S13" s="459">
        <v>0.6128100058607846</v>
      </c>
      <c r="T13" s="459">
        <v>0.6128100058607846</v>
      </c>
      <c r="U13" s="460">
        <v>0.6128100058607846</v>
      </c>
      <c r="V13" s="460">
        <v>0.6128100058607846</v>
      </c>
      <c r="W13" s="451">
        <v>10.4215707459071</v>
      </c>
      <c r="X13" s="452">
        <v>10.347349390228153</v>
      </c>
      <c r="Y13" s="452">
        <v>10.347349390228153</v>
      </c>
      <c r="Z13" s="452">
        <v>10.347349390228153</v>
      </c>
      <c r="AA13" s="452">
        <v>10.347349390228153</v>
      </c>
      <c r="AB13" s="452">
        <v>10.347349390228153</v>
      </c>
      <c r="AC13" s="452">
        <v>10.347349390228153</v>
      </c>
      <c r="AD13" s="439">
        <f t="shared" si="3"/>
        <v>11.211573771695</v>
      </c>
      <c r="AE13" s="432">
        <f t="shared" si="4"/>
        <v>11.034690839290343</v>
      </c>
      <c r="AF13" s="432">
        <f t="shared" si="5"/>
        <v>10.37076129976652</v>
      </c>
      <c r="AG13" s="432">
        <f t="shared" si="6"/>
        <v>9.71080578645885</v>
      </c>
      <c r="AH13" s="432">
        <f t="shared" si="7"/>
        <v>8.410976393720091</v>
      </c>
      <c r="AI13" s="432">
        <f t="shared" si="8"/>
        <v>6.804646054663259</v>
      </c>
      <c r="AJ13" s="453">
        <f t="shared" si="9"/>
        <v>5.615132067532553</v>
      </c>
      <c r="AK13" s="433">
        <f t="shared" si="10"/>
        <v>0.026696640240053693</v>
      </c>
      <c r="AL13" s="433">
        <f t="shared" si="11"/>
        <v>0.019380455593320196</v>
      </c>
      <c r="AM13" s="433">
        <f t="shared" si="12"/>
        <v>0.019380455593320196</v>
      </c>
      <c r="AN13" s="433">
        <f t="shared" si="13"/>
        <v>0.019380455593320196</v>
      </c>
      <c r="AO13" s="433">
        <f t="shared" si="14"/>
        <v>0.019380455593320196</v>
      </c>
      <c r="AP13" s="433">
        <f t="shared" si="15"/>
        <v>0.019380455593320196</v>
      </c>
      <c r="AQ13" s="433">
        <f t="shared" si="16"/>
        <v>0.019380455593320196</v>
      </c>
      <c r="AR13" s="439">
        <f t="shared" si="17"/>
        <v>0.22976294749066525</v>
      </c>
      <c r="AS13" s="432">
        <f t="shared" si="18"/>
        <v>0.16679666657650707</v>
      </c>
      <c r="AT13" s="432">
        <f t="shared" si="19"/>
        <v>0.16679666657650707</v>
      </c>
      <c r="AU13" s="432">
        <f t="shared" si="20"/>
        <v>0.16679666657650707</v>
      </c>
      <c r="AV13" s="432">
        <f t="shared" si="21"/>
        <v>0.16679666657650707</v>
      </c>
      <c r="AW13" s="432">
        <f t="shared" si="22"/>
        <v>0.16679666657650707</v>
      </c>
      <c r="AX13" s="432">
        <f t="shared" si="23"/>
        <v>0.16679666657650707</v>
      </c>
      <c r="AY13" s="454">
        <v>0</v>
      </c>
      <c r="AZ13" s="455">
        <v>0</v>
      </c>
      <c r="BA13" s="455">
        <v>0</v>
      </c>
      <c r="BB13" s="455">
        <v>0</v>
      </c>
      <c r="BC13" s="455">
        <v>0</v>
      </c>
      <c r="BD13" s="456">
        <v>0</v>
      </c>
      <c r="BE13" s="456">
        <v>0</v>
      </c>
      <c r="BF13" s="439">
        <f t="shared" si="24"/>
        <v>0</v>
      </c>
      <c r="BG13" s="432">
        <f t="shared" si="25"/>
        <v>0</v>
      </c>
      <c r="BH13" s="432">
        <f t="shared" si="26"/>
        <v>0</v>
      </c>
      <c r="BI13" s="432">
        <f t="shared" si="27"/>
        <v>0</v>
      </c>
      <c r="BJ13" s="432">
        <f t="shared" si="28"/>
        <v>0</v>
      </c>
      <c r="BK13" s="432">
        <f t="shared" si="29"/>
        <v>0</v>
      </c>
      <c r="BL13" s="453">
        <f t="shared" si="30"/>
        <v>0</v>
      </c>
      <c r="BM13" s="436">
        <f t="shared" si="31"/>
        <v>0.503891845426325</v>
      </c>
      <c r="BN13" s="436">
        <f t="shared" si="32"/>
        <v>0.503891845426325</v>
      </c>
      <c r="BO13" s="436">
        <f t="shared" si="33"/>
        <v>0.503891845426325</v>
      </c>
      <c r="BP13" s="436">
        <f t="shared" si="34"/>
        <v>0.503891845426325</v>
      </c>
      <c r="BQ13" s="436">
        <f t="shared" si="35"/>
        <v>0.503891845426325</v>
      </c>
      <c r="BR13" s="436">
        <f t="shared" si="36"/>
        <v>0.503891845426325</v>
      </c>
      <c r="BS13" s="439">
        <f t="shared" si="37"/>
        <v>0.8277355525891901</v>
      </c>
      <c r="BT13" s="432">
        <f t="shared" si="38"/>
        <v>0.685969364426613</v>
      </c>
      <c r="BU13" s="432">
        <f t="shared" si="39"/>
        <v>0.6278940857754439</v>
      </c>
      <c r="BV13" s="432">
        <f t="shared" si="40"/>
        <v>0.5595787069636842</v>
      </c>
      <c r="BW13" s="432">
        <f t="shared" si="41"/>
        <v>0.5080270489725716</v>
      </c>
      <c r="BX13" s="453">
        <f t="shared" si="42"/>
        <v>0.48270672056906605</v>
      </c>
      <c r="BY13" s="432">
        <f aca="true" t="shared" si="50" ref="BY13:BY50">-AD13+AR13+BF13</f>
        <v>-10.981810824204336</v>
      </c>
      <c r="BZ13" s="432">
        <f t="shared" si="43"/>
        <v>-9.981770921240434</v>
      </c>
      <c r="CA13" s="432">
        <f t="shared" si="44"/>
        <v>-6.555243514006278</v>
      </c>
      <c r="CB13" s="432">
        <f t="shared" si="45"/>
        <v>-4.247493175336714</v>
      </c>
      <c r="CC13" s="432">
        <f t="shared" si="46"/>
        <v>-1.7701301109801035</v>
      </c>
      <c r="CD13" s="432">
        <f t="shared" si="47"/>
        <v>-0.21951620502558317</v>
      </c>
      <c r="CE13" s="453">
        <f t="shared" si="48"/>
        <v>0.25131451428253726</v>
      </c>
      <c r="CF13" s="432">
        <f aca="true" t="shared" si="51" ref="CF13:CF50">BZ13*$CH$6</f>
        <v>-10.59920390669952</v>
      </c>
      <c r="CG13" s="432">
        <f aca="true" t="shared" si="52" ref="CG13:CG50">CA13*$CH$6</f>
        <v>-6.960725026775881</v>
      </c>
      <c r="CH13" s="432">
        <f aca="true" t="shared" si="53" ref="CH13:CH50">CB13*$CH$6</f>
        <v>-4.510226352911915</v>
      </c>
      <c r="CI13" s="432">
        <f aca="true" t="shared" si="54" ref="CI13:CI50">CC13*$CH$6</f>
        <v>-1.8796233790281394</v>
      </c>
      <c r="CJ13" s="432">
        <f aca="true" t="shared" si="55" ref="CJ13:CJ50">CD13*$CH$6</f>
        <v>-0.2330946117927815</v>
      </c>
      <c r="CK13" s="432">
        <f aca="true" t="shared" si="56" ref="CK13:CK50">CE13*$CH$6</f>
        <v>0.26685983906177835</v>
      </c>
      <c r="CL13" s="12">
        <f aca="true" t="shared" si="57" ref="CL13:CL61">A13</f>
        <v>2007</v>
      </c>
      <c r="CM13" s="128">
        <f aca="true" t="shared" si="58" ref="CM13:CM51">-AG13+AU13+BI13</f>
        <v>-9.544009119882343</v>
      </c>
      <c r="CO13" s="532">
        <f aca="true" t="shared" si="59" ref="CO13:CO28">CB13</f>
        <v>-4.247493175336714</v>
      </c>
      <c r="CP13" s="206">
        <f aca="true" t="shared" si="60" ref="CP13:CP28">S13</f>
        <v>0.6128100058607846</v>
      </c>
      <c r="CQ13" s="611">
        <f>C13</f>
        <v>6.297392793981045</v>
      </c>
      <c r="CR13" s="610">
        <f>CP13*B13</f>
        <v>3.955582947861866</v>
      </c>
      <c r="CS13" s="532">
        <f>CR13*(1/6)</f>
        <v>0.6592638246436443</v>
      </c>
      <c r="CT13" s="532">
        <f aca="true" t="shared" si="61" ref="CT13:CT28">CR13-(CS13*0.5)</f>
        <v>3.625951035540044</v>
      </c>
      <c r="CU13" s="532">
        <f aca="true" t="shared" si="62" ref="CU13:CU28">CR13-CT13</f>
        <v>0.3296319123218221</v>
      </c>
      <c r="CW13" s="625">
        <f>CL13</f>
        <v>2007</v>
      </c>
      <c r="CX13" s="532">
        <f>CB13</f>
        <v>-4.247493175336714</v>
      </c>
      <c r="CY13" s="532">
        <v>-2.971550263221159</v>
      </c>
      <c r="CZ13" s="532">
        <f>(CX13+CY13)*$CZ$8</f>
        <v>-7.665584996924323</v>
      </c>
      <c r="DA13" s="532">
        <f>CC13</f>
        <v>-1.7701301109801035</v>
      </c>
      <c r="DB13" s="532">
        <v>-1.4446898085890794</v>
      </c>
      <c r="DC13" s="532">
        <f>(DA13+DB13)*$DC$8</f>
        <v>-3.4136760019532364</v>
      </c>
      <c r="DD13" s="532">
        <f>CD13</f>
        <v>-0.21951620502558317</v>
      </c>
      <c r="DE13" s="532">
        <v>-0.48373121734114594</v>
      </c>
      <c r="DF13" s="532">
        <f>(DD13+DE13)*$DF$8</f>
        <v>-0.7467475346147807</v>
      </c>
      <c r="DG13" s="532">
        <f aca="true" t="shared" si="63" ref="DG13:DG28">DF13*(DH13/$DH$10)</f>
        <v>-0.8105688048171545</v>
      </c>
      <c r="DH13" s="633">
        <v>1.18781423568726</v>
      </c>
      <c r="DI13" s="532">
        <f>CE13</f>
        <v>0.25131451428253726</v>
      </c>
      <c r="DJ13" s="532">
        <v>-0.18774225819013635</v>
      </c>
      <c r="DK13" s="532">
        <f>(DI13+DJ13)*$DK$8</f>
        <v>0.06750458515316671</v>
      </c>
      <c r="DM13" s="206">
        <f>S13</f>
        <v>0.6128100058607846</v>
      </c>
      <c r="DN13" s="206">
        <v>0.04470290738025868</v>
      </c>
      <c r="DO13" s="206">
        <f>DM13+DN13</f>
        <v>0.6575129132410433</v>
      </c>
      <c r="DP13" s="206">
        <f>T13</f>
        <v>0.6128100058607846</v>
      </c>
      <c r="DQ13" s="206">
        <v>0.04470290738025868</v>
      </c>
      <c r="DR13" s="206">
        <f>DP13+DQ13</f>
        <v>0.6575129132410433</v>
      </c>
      <c r="DS13" s="206">
        <f>U13</f>
        <v>0.6128100058607846</v>
      </c>
      <c r="DT13" s="206">
        <v>0.04470290738025868</v>
      </c>
      <c r="DU13" s="206">
        <f>DS13+DT13</f>
        <v>0.6575129132410433</v>
      </c>
      <c r="DV13" s="206">
        <f>V13</f>
        <v>0.6128100058607846</v>
      </c>
      <c r="DW13" s="206">
        <v>0.04470290738025868</v>
      </c>
      <c r="DX13" s="206">
        <f>DV13+DW13</f>
        <v>0.6575129132410433</v>
      </c>
    </row>
    <row r="14" spans="1:128" ht="12.75">
      <c r="A14" s="412">
        <v>2008</v>
      </c>
      <c r="B14" s="413">
        <v>6.09526426315308</v>
      </c>
      <c r="C14" s="413">
        <v>5.946599281124957</v>
      </c>
      <c r="D14" s="441">
        <f t="shared" si="1"/>
        <v>9.34</v>
      </c>
      <c r="E14" s="414">
        <f t="shared" si="1"/>
        <v>7.34</v>
      </c>
      <c r="F14" s="414">
        <f t="shared" si="1"/>
        <v>6.5</v>
      </c>
      <c r="G14" s="414">
        <f t="shared" si="1"/>
        <v>5.34</v>
      </c>
      <c r="H14" s="413">
        <f t="shared" si="1"/>
        <v>4.22</v>
      </c>
      <c r="I14" s="422">
        <f t="shared" si="1"/>
        <v>3.5</v>
      </c>
      <c r="J14" s="443">
        <v>0.035</v>
      </c>
      <c r="K14" s="444">
        <v>0.2387</v>
      </c>
      <c r="L14" s="445">
        <v>0.4253</v>
      </c>
      <c r="M14" s="446">
        <v>0.666</v>
      </c>
      <c r="N14" s="447">
        <v>0.856</v>
      </c>
      <c r="O14" s="447">
        <v>0.925</v>
      </c>
      <c r="P14" s="457">
        <v>1.6882955287809955</v>
      </c>
      <c r="Q14" s="458">
        <v>1.4065880938235316</v>
      </c>
      <c r="R14" s="449">
        <v>1.350277325632445</v>
      </c>
      <c r="S14" s="459">
        <v>1.2915538696500324</v>
      </c>
      <c r="T14" s="449">
        <v>1.179176629809008</v>
      </c>
      <c r="U14" s="450">
        <v>1.082793311224541</v>
      </c>
      <c r="V14" s="450">
        <v>1.043330840189858</v>
      </c>
      <c r="W14" s="451">
        <v>20.8431414918142</v>
      </c>
      <c r="X14" s="452">
        <v>20.768920136135254</v>
      </c>
      <c r="Y14" s="452">
        <v>20.768920136135254</v>
      </c>
      <c r="Z14" s="452">
        <v>20.768920136135254</v>
      </c>
      <c r="AA14" s="452">
        <v>20.768920136135254</v>
      </c>
      <c r="AB14" s="452">
        <v>20.546256069098416</v>
      </c>
      <c r="AC14" s="452">
        <v>20.546256069098416</v>
      </c>
      <c r="AD14" s="439">
        <f t="shared" si="3"/>
        <v>21.17407591114971</v>
      </c>
      <c r="AE14" s="432">
        <f t="shared" si="4"/>
        <v>20.914758955316387</v>
      </c>
      <c r="AF14" s="432">
        <f t="shared" si="5"/>
        <v>19.656370615788788</v>
      </c>
      <c r="AG14" s="432">
        <f t="shared" si="6"/>
        <v>18.405514503634247</v>
      </c>
      <c r="AH14" s="432">
        <f t="shared" si="7"/>
        <v>15.941864291036651</v>
      </c>
      <c r="AI14" s="432">
        <f t="shared" si="8"/>
        <v>12.759011063339658</v>
      </c>
      <c r="AJ14" s="453">
        <f t="shared" si="9"/>
        <v>10.528619945289211</v>
      </c>
      <c r="AK14" s="433">
        <f t="shared" si="10"/>
        <v>0.053393280480107386</v>
      </c>
      <c r="AL14" s="433">
        <f t="shared" si="11"/>
        <v>0.04448412693939063</v>
      </c>
      <c r="AM14" s="433">
        <f t="shared" si="12"/>
        <v>0.04270326773031135</v>
      </c>
      <c r="AN14" s="433">
        <f t="shared" si="13"/>
        <v>0.04084610593453613</v>
      </c>
      <c r="AO14" s="433">
        <f t="shared" si="14"/>
        <v>0.03729211352969665</v>
      </c>
      <c r="AP14" s="433">
        <f t="shared" si="15"/>
        <v>0.034243937736386496</v>
      </c>
      <c r="AQ14" s="433">
        <f t="shared" si="16"/>
        <v>0.03299591524952113</v>
      </c>
      <c r="AR14" s="439">
        <f t="shared" si="17"/>
        <v>0.43392820587054326</v>
      </c>
      <c r="AS14" s="432">
        <f t="shared" si="18"/>
        <v>0.3615233456149771</v>
      </c>
      <c r="AT14" s="432">
        <f t="shared" si="19"/>
        <v>0.34705026895523317</v>
      </c>
      <c r="AU14" s="432">
        <f t="shared" si="20"/>
        <v>0.33195707972232397</v>
      </c>
      <c r="AV14" s="432">
        <f t="shared" si="21"/>
        <v>0.3030737158600099</v>
      </c>
      <c r="AW14" s="432">
        <f t="shared" si="22"/>
        <v>0.278301133218981</v>
      </c>
      <c r="AX14" s="432">
        <f t="shared" si="23"/>
        <v>0.26815843073391177</v>
      </c>
      <c r="AY14" s="461">
        <v>0</v>
      </c>
      <c r="AZ14" s="455">
        <v>0</v>
      </c>
      <c r="BA14" s="455">
        <v>0</v>
      </c>
      <c r="BB14" s="455">
        <v>0</v>
      </c>
      <c r="BC14" s="455">
        <v>0</v>
      </c>
      <c r="BD14" s="456">
        <v>0</v>
      </c>
      <c r="BE14" s="456">
        <v>0</v>
      </c>
      <c r="BF14" s="439">
        <f t="shared" si="24"/>
        <v>0</v>
      </c>
      <c r="BG14" s="432">
        <f t="shared" si="25"/>
        <v>0</v>
      </c>
      <c r="BH14" s="432">
        <f t="shared" si="26"/>
        <v>0</v>
      </c>
      <c r="BI14" s="432">
        <f t="shared" si="27"/>
        <v>0</v>
      </c>
      <c r="BJ14" s="432">
        <f t="shared" si="28"/>
        <v>0</v>
      </c>
      <c r="BK14" s="432">
        <f t="shared" si="29"/>
        <v>0</v>
      </c>
      <c r="BL14" s="453">
        <f t="shared" si="30"/>
        <v>0</v>
      </c>
      <c r="BM14" s="436">
        <f t="shared" si="31"/>
        <v>1.1565873004241563</v>
      </c>
      <c r="BN14" s="436">
        <f t="shared" si="32"/>
        <v>1.1102849609880951</v>
      </c>
      <c r="BO14" s="436">
        <f t="shared" si="33"/>
        <v>1.0619987542979392</v>
      </c>
      <c r="BP14" s="436">
        <f t="shared" si="34"/>
        <v>0.9695949517721129</v>
      </c>
      <c r="BQ14" s="436">
        <f t="shared" si="35"/>
        <v>0.8903423811460488</v>
      </c>
      <c r="BR14" s="436">
        <f t="shared" si="36"/>
        <v>0.8578937964875493</v>
      </c>
      <c r="BS14" s="439">
        <f t="shared" si="37"/>
        <v>1.8999085556231812</v>
      </c>
      <c r="BT14" s="432">
        <f t="shared" si="38"/>
        <v>1.5114780600925375</v>
      </c>
      <c r="BU14" s="432">
        <f t="shared" si="39"/>
        <v>1.3233449657443648</v>
      </c>
      <c r="BV14" s="432">
        <f t="shared" si="40"/>
        <v>1.076748302866679</v>
      </c>
      <c r="BW14" s="432">
        <f t="shared" si="41"/>
        <v>0.8976490026071953</v>
      </c>
      <c r="BX14" s="453">
        <f t="shared" si="42"/>
        <v>0.8218253676018232</v>
      </c>
      <c r="BY14" s="432">
        <f t="shared" si="50"/>
        <v>-20.740147705279167</v>
      </c>
      <c r="BZ14" s="432">
        <f t="shared" si="43"/>
        <v>-19.754722246818528</v>
      </c>
      <c r="CA14" s="432">
        <f t="shared" si="44"/>
        <v>-14.256554867900682</v>
      </c>
      <c r="CB14" s="432">
        <f t="shared" si="45"/>
        <v>-9.6828734915852</v>
      </c>
      <c r="CC14" s="432">
        <f t="shared" si="46"/>
        <v>-4.304394587637023</v>
      </c>
      <c r="CD14" s="432">
        <f t="shared" si="47"/>
        <v>-0.7906089136701708</v>
      </c>
      <c r="CE14" s="453">
        <f t="shared" si="48"/>
        <v>0.238700399868908</v>
      </c>
      <c r="CF14" s="432">
        <f t="shared" si="51"/>
        <v>-20.97667146104197</v>
      </c>
      <c r="CG14" s="432">
        <f t="shared" si="52"/>
        <v>-15.138409130426204</v>
      </c>
      <c r="CH14" s="432">
        <f t="shared" si="53"/>
        <v>-10.28181786076625</v>
      </c>
      <c r="CI14" s="432">
        <f t="shared" si="54"/>
        <v>-4.570647462182894</v>
      </c>
      <c r="CJ14" s="432">
        <f t="shared" si="55"/>
        <v>-0.8395128632548279</v>
      </c>
      <c r="CK14" s="432">
        <f t="shared" si="56"/>
        <v>0.25346546527505964</v>
      </c>
      <c r="CL14" s="12">
        <f t="shared" si="57"/>
        <v>2008</v>
      </c>
      <c r="CM14" s="128">
        <f t="shared" si="58"/>
        <v>-18.07355742391192</v>
      </c>
      <c r="CO14" s="532">
        <f t="shared" si="59"/>
        <v>-9.6828734915852</v>
      </c>
      <c r="CP14" s="206">
        <f t="shared" si="60"/>
        <v>1.2915538696500324</v>
      </c>
      <c r="CQ14" s="611">
        <f aca="true" t="shared" si="64" ref="CQ14:CQ28">C14</f>
        <v>5.946599281124957</v>
      </c>
      <c r="CR14" s="610">
        <f aca="true" t="shared" si="65" ref="CR14:CR28">CP14*B14</f>
        <v>7.872362145614914</v>
      </c>
      <c r="CS14" s="532">
        <f aca="true" t="shared" si="66" ref="CS14:CS28">CR14*(1/6)</f>
        <v>1.3120603576024856</v>
      </c>
      <c r="CT14" s="532">
        <f t="shared" si="61"/>
        <v>7.216331966813671</v>
      </c>
      <c r="CU14" s="532">
        <f t="shared" si="62"/>
        <v>0.6560301788012426</v>
      </c>
      <c r="CW14" s="625">
        <f aca="true" t="shared" si="67" ref="CW14:CW28">CL14</f>
        <v>2008</v>
      </c>
      <c r="CX14" s="532">
        <f aca="true" t="shared" si="68" ref="CX14:CX28">CB14</f>
        <v>-9.6828734915852</v>
      </c>
      <c r="CY14" s="532">
        <v>-6.623106834812241</v>
      </c>
      <c r="CZ14" s="532">
        <f aca="true" t="shared" si="69" ref="CZ14:CZ28">(CX14+CY14)*$CZ$8</f>
        <v>-17.31460396574996</v>
      </c>
      <c r="DA14" s="532">
        <f aca="true" t="shared" si="70" ref="DA14:DA28">CC14</f>
        <v>-4.304394587637023</v>
      </c>
      <c r="DB14" s="532">
        <v>-3.3044270231656734</v>
      </c>
      <c r="DC14" s="532">
        <f aca="true" t="shared" si="71" ref="DC14:DC28">(DA14+DB14)*$DC$8</f>
        <v>-8.079473309789964</v>
      </c>
      <c r="DD14" s="532">
        <f aca="true" t="shared" si="72" ref="DD14:DD28">CD14</f>
        <v>-0.7906089136701708</v>
      </c>
      <c r="DE14" s="532">
        <v>-1.120928533154037</v>
      </c>
      <c r="DF14" s="532">
        <f aca="true" t="shared" si="73" ref="DF14:DF28">(DD14+DE14)*$DF$8</f>
        <v>-2.0297776150190154</v>
      </c>
      <c r="DG14" s="532">
        <f t="shared" si="63"/>
        <v>-2.2436277992302958</v>
      </c>
      <c r="DH14" s="633">
        <v>1.20958054065704</v>
      </c>
      <c r="DI14" s="532">
        <f aca="true" t="shared" si="74" ref="DI14:DI28">CE14</f>
        <v>0.238700399868908</v>
      </c>
      <c r="DJ14" s="532">
        <v>-0.4562477079563264</v>
      </c>
      <c r="DK14" s="532">
        <f aca="true" t="shared" si="75" ref="DK14:DK28">(DI14+DJ14)*$DK$8</f>
        <v>-0.23100392665448827</v>
      </c>
      <c r="DM14" s="206">
        <f aca="true" t="shared" si="76" ref="DM14:DM28">S14</f>
        <v>1.2915538696500324</v>
      </c>
      <c r="DN14" s="206">
        <v>0.10011487351409865</v>
      </c>
      <c r="DO14" s="206">
        <f aca="true" t="shared" si="77" ref="DO14:DO28">DM14+DN14</f>
        <v>1.391668743164131</v>
      </c>
      <c r="DP14" s="206">
        <f aca="true" t="shared" si="78" ref="DP14:DP28">T14</f>
        <v>1.179176629809008</v>
      </c>
      <c r="DQ14" s="206">
        <v>0.07447067309943844</v>
      </c>
      <c r="DR14" s="206">
        <f aca="true" t="shared" si="79" ref="DR14:DR28">DP14+DQ14</f>
        <v>1.2536473029084465</v>
      </c>
      <c r="DS14" s="206">
        <f aca="true" t="shared" si="80" ref="DS14:DS28">U14</f>
        <v>1.082793311224541</v>
      </c>
      <c r="DT14" s="206">
        <v>0.05599213622392898</v>
      </c>
      <c r="DU14" s="206">
        <f aca="true" t="shared" si="81" ref="DU14:DU28">DS14+DT14</f>
        <v>1.13878544744847</v>
      </c>
      <c r="DV14" s="206">
        <f aca="true" t="shared" si="82" ref="DV14:DV28">V14</f>
        <v>1.043330840189858</v>
      </c>
      <c r="DW14" s="206">
        <v>0.04948569943549611</v>
      </c>
      <c r="DX14" s="206">
        <f aca="true" t="shared" si="83" ref="DX14:DX28">DV14+DW14</f>
        <v>1.0928165396253542</v>
      </c>
    </row>
    <row r="15" spans="1:128" ht="12.75">
      <c r="A15" s="412">
        <v>2009</v>
      </c>
      <c r="B15" s="413">
        <v>5.66388208389282</v>
      </c>
      <c r="C15" s="413">
        <v>5.52573861843202</v>
      </c>
      <c r="D15" s="441">
        <f t="shared" si="1"/>
        <v>9.34</v>
      </c>
      <c r="E15" s="414">
        <f t="shared" si="1"/>
        <v>7.34</v>
      </c>
      <c r="F15" s="414">
        <f t="shared" si="1"/>
        <v>6.5</v>
      </c>
      <c r="G15" s="414">
        <f t="shared" si="1"/>
        <v>5.34</v>
      </c>
      <c r="H15" s="413">
        <f t="shared" si="1"/>
        <v>4.22</v>
      </c>
      <c r="I15" s="422">
        <f t="shared" si="1"/>
        <v>3.5</v>
      </c>
      <c r="J15" s="443">
        <v>0.0127</v>
      </c>
      <c r="K15" s="444">
        <v>0.171</v>
      </c>
      <c r="L15" s="462">
        <v>0.3147</v>
      </c>
      <c r="M15" s="445">
        <v>0.5687</v>
      </c>
      <c r="N15" s="447">
        <v>0.8027</v>
      </c>
      <c r="O15" s="447">
        <v>0.9057</v>
      </c>
      <c r="P15" s="457">
        <v>2.532443293171493</v>
      </c>
      <c r="Q15" s="458">
        <v>2.2003661817862783</v>
      </c>
      <c r="R15" s="449">
        <v>2.087744645404105</v>
      </c>
      <c r="S15" s="459">
        <v>1.9702977334392808</v>
      </c>
      <c r="T15" s="449">
        <v>1.7455432537572315</v>
      </c>
      <c r="U15" s="450">
        <v>1.5527766165882972</v>
      </c>
      <c r="V15" s="450">
        <v>1.4738516745189314</v>
      </c>
      <c r="W15" s="451">
        <v>29.483399701426585</v>
      </c>
      <c r="X15" s="452">
        <v>29.483399701426585</v>
      </c>
      <c r="Y15" s="452">
        <v>29.483399701426585</v>
      </c>
      <c r="Z15" s="452">
        <v>29.483399701426585</v>
      </c>
      <c r="AA15" s="452">
        <v>29.483399701426585</v>
      </c>
      <c r="AB15" s="452">
        <v>29.038071567352905</v>
      </c>
      <c r="AC15" s="452">
        <v>29.038071567352905</v>
      </c>
      <c r="AD15" s="439">
        <f t="shared" si="3"/>
        <v>27.831749890193493</v>
      </c>
      <c r="AE15" s="432">
        <f t="shared" si="4"/>
        <v>27.589140526400676</v>
      </c>
      <c r="AF15" s="432">
        <f t="shared" si="5"/>
        <v>25.929171467699867</v>
      </c>
      <c r="AG15" s="432">
        <f t="shared" si="6"/>
        <v>24.279138343709853</v>
      </c>
      <c r="AH15" s="432">
        <f t="shared" si="7"/>
        <v>21.02928057253174</v>
      </c>
      <c r="AI15" s="432">
        <f t="shared" si="8"/>
        <v>16.756131216594415</v>
      </c>
      <c r="AJ15" s="453">
        <f t="shared" si="9"/>
        <v>13.8270071604391</v>
      </c>
      <c r="AK15" s="433">
        <f t="shared" si="10"/>
        <v>0.08008992072016106</v>
      </c>
      <c r="AL15" s="433">
        <f t="shared" si="11"/>
        <v>0.06958779828546105</v>
      </c>
      <c r="AM15" s="433">
        <f t="shared" si="12"/>
        <v>0.0660260798673025</v>
      </c>
      <c r="AN15" s="433">
        <f t="shared" si="13"/>
        <v>0.06231175627575208</v>
      </c>
      <c r="AO15" s="433">
        <f t="shared" si="14"/>
        <v>0.0552037714660731</v>
      </c>
      <c r="AP15" s="433">
        <f t="shared" si="15"/>
        <v>0.04910741987945279</v>
      </c>
      <c r="AQ15" s="433">
        <f t="shared" si="16"/>
        <v>0.04661137490572206</v>
      </c>
      <c r="AR15" s="439">
        <f t="shared" si="17"/>
        <v>0.6048264894230888</v>
      </c>
      <c r="AS15" s="432">
        <f t="shared" si="18"/>
        <v>0.5255161119554271</v>
      </c>
      <c r="AT15" s="432">
        <f t="shared" si="19"/>
        <v>0.49861857444012136</v>
      </c>
      <c r="AU15" s="432">
        <f t="shared" si="20"/>
        <v>0.4705685866481709</v>
      </c>
      <c r="AV15" s="432">
        <f t="shared" si="21"/>
        <v>0.41689020289334017</v>
      </c>
      <c r="AW15" s="432">
        <f t="shared" si="22"/>
        <v>0.37085151418857965</v>
      </c>
      <c r="AX15" s="432">
        <f t="shared" si="23"/>
        <v>0.3520017749788407</v>
      </c>
      <c r="AY15" s="461">
        <v>0</v>
      </c>
      <c r="AZ15" s="455">
        <v>0</v>
      </c>
      <c r="BA15" s="455">
        <v>0</v>
      </c>
      <c r="BB15" s="455">
        <v>0</v>
      </c>
      <c r="BC15" s="455">
        <v>0</v>
      </c>
      <c r="BD15" s="456">
        <v>0</v>
      </c>
      <c r="BE15" s="456">
        <v>0</v>
      </c>
      <c r="BF15" s="439">
        <f t="shared" si="24"/>
        <v>0</v>
      </c>
      <c r="BG15" s="432">
        <f t="shared" si="25"/>
        <v>0</v>
      </c>
      <c r="BH15" s="432">
        <f t="shared" si="26"/>
        <v>0</v>
      </c>
      <c r="BI15" s="432">
        <f t="shared" si="27"/>
        <v>0</v>
      </c>
      <c r="BJ15" s="432">
        <f t="shared" si="28"/>
        <v>0</v>
      </c>
      <c r="BK15" s="432">
        <f t="shared" si="29"/>
        <v>0</v>
      </c>
      <c r="BL15" s="453">
        <f t="shared" si="30"/>
        <v>0</v>
      </c>
      <c r="BM15" s="436">
        <f t="shared" si="31"/>
        <v>1.8092827554219872</v>
      </c>
      <c r="BN15" s="436">
        <f t="shared" si="32"/>
        <v>1.716678076549865</v>
      </c>
      <c r="BO15" s="436">
        <f t="shared" si="33"/>
        <v>1.620105663169554</v>
      </c>
      <c r="BP15" s="436">
        <f t="shared" si="34"/>
        <v>1.4352980581179007</v>
      </c>
      <c r="BQ15" s="436">
        <f t="shared" si="35"/>
        <v>1.2767929168657726</v>
      </c>
      <c r="BR15" s="436">
        <f t="shared" si="36"/>
        <v>1.2118957475487735</v>
      </c>
      <c r="BS15" s="439">
        <f t="shared" si="37"/>
        <v>2.972081558657172</v>
      </c>
      <c r="BT15" s="432">
        <f t="shared" si="38"/>
        <v>2.3369867557584616</v>
      </c>
      <c r="BU15" s="432">
        <f t="shared" si="39"/>
        <v>2.0187958457132864</v>
      </c>
      <c r="BV15" s="432">
        <f t="shared" si="40"/>
        <v>1.5939178987696743</v>
      </c>
      <c r="BW15" s="432">
        <f t="shared" si="41"/>
        <v>1.287270956241819</v>
      </c>
      <c r="BX15" s="453">
        <f t="shared" si="42"/>
        <v>1.1609440146345804</v>
      </c>
      <c r="BY15" s="432">
        <f t="shared" si="50"/>
        <v>-27.226923400770403</v>
      </c>
      <c r="BZ15" s="432">
        <f t="shared" si="43"/>
        <v>-26.675496893965015</v>
      </c>
      <c r="CA15" s="432">
        <f t="shared" si="44"/>
        <v>-20.59703983704837</v>
      </c>
      <c r="CB15" s="432">
        <f t="shared" si="45"/>
        <v>-15.532609867650223</v>
      </c>
      <c r="CC15" s="432">
        <f t="shared" si="46"/>
        <v>-7.746577399009286</v>
      </c>
      <c r="CD15" s="432">
        <f t="shared" si="47"/>
        <v>-1.901840778270191</v>
      </c>
      <c r="CE15" s="453">
        <f t="shared" si="48"/>
        <v>0.09958199380397215</v>
      </c>
      <c r="CF15" s="432">
        <f t="shared" si="51"/>
        <v>-28.325537935359563</v>
      </c>
      <c r="CG15" s="432">
        <f t="shared" si="52"/>
        <v>-21.8710914956721</v>
      </c>
      <c r="CH15" s="432">
        <f t="shared" si="53"/>
        <v>-16.493395860258712</v>
      </c>
      <c r="CI15" s="432">
        <f t="shared" si="54"/>
        <v>-8.225750127806572</v>
      </c>
      <c r="CJ15" s="432">
        <f t="shared" si="55"/>
        <v>-2.019481148787657</v>
      </c>
      <c r="CK15" s="432">
        <f t="shared" si="56"/>
        <v>0.10574174323295563</v>
      </c>
      <c r="CL15" s="12">
        <f t="shared" si="57"/>
        <v>2009</v>
      </c>
      <c r="CM15" s="128">
        <f t="shared" si="58"/>
        <v>-23.808569757061683</v>
      </c>
      <c r="CO15" s="532">
        <f t="shared" si="59"/>
        <v>-15.532609867650223</v>
      </c>
      <c r="CP15" s="206">
        <f t="shared" si="60"/>
        <v>1.9702977334392808</v>
      </c>
      <c r="CQ15" s="611">
        <f t="shared" si="64"/>
        <v>5.52573861843202</v>
      </c>
      <c r="CR15" s="610">
        <f t="shared" si="65"/>
        <v>11.159534032361373</v>
      </c>
      <c r="CS15" s="532">
        <f t="shared" si="66"/>
        <v>1.8599223387268955</v>
      </c>
      <c r="CT15" s="532">
        <f t="shared" si="61"/>
        <v>10.229572862997925</v>
      </c>
      <c r="CU15" s="532">
        <f t="shared" si="62"/>
        <v>0.9299611693634482</v>
      </c>
      <c r="CW15" s="625">
        <f t="shared" si="67"/>
        <v>2009</v>
      </c>
      <c r="CX15" s="532">
        <f t="shared" si="68"/>
        <v>-15.532609867650223</v>
      </c>
      <c r="CY15" s="532">
        <v>-10.784818967243627</v>
      </c>
      <c r="CZ15" s="532">
        <f t="shared" si="69"/>
        <v>-27.945321198217716</v>
      </c>
      <c r="DA15" s="532">
        <f t="shared" si="70"/>
        <v>-7.746577399009286</v>
      </c>
      <c r="DB15" s="532">
        <v>-5.8475489902045235</v>
      </c>
      <c r="DC15" s="532">
        <f t="shared" si="71"/>
        <v>-14.435005438375294</v>
      </c>
      <c r="DD15" s="532">
        <f t="shared" si="72"/>
        <v>-1.901840778270191</v>
      </c>
      <c r="DE15" s="532">
        <v>-2.132522133421954</v>
      </c>
      <c r="DF15" s="532">
        <f t="shared" si="73"/>
        <v>-4.283912691650624</v>
      </c>
      <c r="DG15" s="532">
        <f t="shared" si="63"/>
        <v>-4.820151614615324</v>
      </c>
      <c r="DH15" s="633">
        <v>1.23126780986786</v>
      </c>
      <c r="DI15" s="532">
        <f t="shared" si="74"/>
        <v>0.09958199380397215</v>
      </c>
      <c r="DJ15" s="532">
        <v>-0.813389803175682</v>
      </c>
      <c r="DK15" s="532">
        <f t="shared" si="75"/>
        <v>-0.7579611455143525</v>
      </c>
      <c r="DM15" s="206">
        <f t="shared" si="76"/>
        <v>1.9702977334392808</v>
      </c>
      <c r="DN15" s="206">
        <v>0.15552683964793862</v>
      </c>
      <c r="DO15" s="206">
        <f t="shared" si="77"/>
        <v>2.1258245730872196</v>
      </c>
      <c r="DP15" s="206">
        <f t="shared" si="78"/>
        <v>1.7455432537572315</v>
      </c>
      <c r="DQ15" s="206">
        <v>0.10423843881861822</v>
      </c>
      <c r="DR15" s="206">
        <f t="shared" si="79"/>
        <v>1.8497816925758497</v>
      </c>
      <c r="DS15" s="206">
        <f t="shared" si="80"/>
        <v>1.5527766165882972</v>
      </c>
      <c r="DT15" s="206">
        <v>0.06728136506759927</v>
      </c>
      <c r="DU15" s="206">
        <f t="shared" si="81"/>
        <v>1.6200579816558964</v>
      </c>
      <c r="DV15" s="206">
        <f t="shared" si="82"/>
        <v>1.4738516745189314</v>
      </c>
      <c r="DW15" s="206">
        <v>0.054268491490733546</v>
      </c>
      <c r="DX15" s="206">
        <f t="shared" si="83"/>
        <v>1.528120166009665</v>
      </c>
    </row>
    <row r="16" spans="1:128" ht="12.75">
      <c r="A16" s="412">
        <v>2010</v>
      </c>
      <c r="B16" s="413">
        <v>5.34626657485962</v>
      </c>
      <c r="C16" s="413">
        <v>5.2158698291313375</v>
      </c>
      <c r="D16" s="441">
        <f t="shared" si="1"/>
        <v>9.34</v>
      </c>
      <c r="E16" s="414">
        <f t="shared" si="1"/>
        <v>7.34</v>
      </c>
      <c r="F16" s="414">
        <f t="shared" si="1"/>
        <v>6.5</v>
      </c>
      <c r="G16" s="414">
        <f t="shared" si="1"/>
        <v>5.34</v>
      </c>
      <c r="H16" s="413">
        <f t="shared" si="1"/>
        <v>4.22</v>
      </c>
      <c r="I16" s="422">
        <f t="shared" si="1"/>
        <v>3.5</v>
      </c>
      <c r="J16" s="443">
        <v>0.0037</v>
      </c>
      <c r="K16" s="444">
        <v>0.1043</v>
      </c>
      <c r="L16" s="446">
        <v>0.234</v>
      </c>
      <c r="M16" s="445">
        <v>0.493</v>
      </c>
      <c r="N16" s="447">
        <v>0.7523</v>
      </c>
      <c r="O16" s="447">
        <v>0.8803</v>
      </c>
      <c r="P16" s="457">
        <v>4.884522908455618</v>
      </c>
      <c r="Q16" s="458">
        <v>4.520784459921286</v>
      </c>
      <c r="R16" s="449">
        <v>4.107645802416141</v>
      </c>
      <c r="S16" s="459">
        <v>3.658629952409213</v>
      </c>
      <c r="T16" s="449">
        <v>2.765096603463194</v>
      </c>
      <c r="U16" s="450">
        <v>1.986752576391216</v>
      </c>
      <c r="V16" s="450">
        <v>1.6644633596584888</v>
      </c>
      <c r="W16" s="451">
        <v>48.6968571503869</v>
      </c>
      <c r="X16" s="452">
        <v>48.6968571503869</v>
      </c>
      <c r="Y16" s="452">
        <v>48.6968571503869</v>
      </c>
      <c r="Z16" s="452">
        <v>48.6968571503869</v>
      </c>
      <c r="AA16" s="452">
        <v>48.6968571503869</v>
      </c>
      <c r="AB16" s="452">
        <v>48.251529016313214</v>
      </c>
      <c r="AC16" s="452">
        <v>48.251529016313214</v>
      </c>
      <c r="AD16" s="439">
        <f t="shared" si="3"/>
        <v>43.391063280637866</v>
      </c>
      <c r="AE16" s="432">
        <f t="shared" si="4"/>
        <v>43.01282338202055</v>
      </c>
      <c r="AF16" s="432">
        <f t="shared" si="5"/>
        <v>40.42485019477346</v>
      </c>
      <c r="AG16" s="432">
        <f t="shared" si="6"/>
        <v>37.852367617117565</v>
      </c>
      <c r="AH16" s="432">
        <f t="shared" si="7"/>
        <v>32.78567993996404</v>
      </c>
      <c r="AI16" s="432">
        <f t="shared" si="8"/>
        <v>26.281700862722627</v>
      </c>
      <c r="AJ16" s="453">
        <f t="shared" si="9"/>
        <v>21.687420641436262</v>
      </c>
      <c r="AK16" s="433">
        <f t="shared" si="10"/>
        <v>0.15447574030536426</v>
      </c>
      <c r="AL16" s="433">
        <f t="shared" si="11"/>
        <v>0.14297231056044546</v>
      </c>
      <c r="AM16" s="433">
        <f t="shared" si="12"/>
        <v>0.12990657186641813</v>
      </c>
      <c r="AN16" s="433">
        <f t="shared" si="13"/>
        <v>0.11570619710339067</v>
      </c>
      <c r="AO16" s="433">
        <f t="shared" si="14"/>
        <v>0.08744771041945584</v>
      </c>
      <c r="AP16" s="433">
        <f t="shared" si="15"/>
        <v>0.06283214979099354</v>
      </c>
      <c r="AQ16" s="433">
        <f t="shared" si="16"/>
        <v>0.052639574941761184</v>
      </c>
      <c r="AR16" s="439">
        <f t="shared" si="17"/>
        <v>1.1011579826950186</v>
      </c>
      <c r="AS16" s="432">
        <f t="shared" si="18"/>
        <v>1.0191574467730116</v>
      </c>
      <c r="AT16" s="432">
        <f t="shared" si="19"/>
        <v>0.9260202173653738</v>
      </c>
      <c r="AU16" s="432">
        <f t="shared" si="20"/>
        <v>0.8247948987706353</v>
      </c>
      <c r="AV16" s="432">
        <f t="shared" si="21"/>
        <v>0.6233583616847201</v>
      </c>
      <c r="AW16" s="432">
        <f t="shared" si="22"/>
        <v>0.44788989633888215</v>
      </c>
      <c r="AX16" s="432">
        <f t="shared" si="23"/>
        <v>0.37523360003460776</v>
      </c>
      <c r="AY16" s="461">
        <v>0</v>
      </c>
      <c r="AZ16" s="455">
        <v>0</v>
      </c>
      <c r="BA16" s="455">
        <v>0</v>
      </c>
      <c r="BB16" s="455">
        <v>0</v>
      </c>
      <c r="BC16" s="455">
        <v>0</v>
      </c>
      <c r="BD16" s="456">
        <v>0</v>
      </c>
      <c r="BE16" s="456">
        <v>0</v>
      </c>
      <c r="BF16" s="439">
        <f t="shared" si="24"/>
        <v>0</v>
      </c>
      <c r="BG16" s="432">
        <f t="shared" si="25"/>
        <v>0</v>
      </c>
      <c r="BH16" s="432">
        <f t="shared" si="26"/>
        <v>0</v>
      </c>
      <c r="BI16" s="432">
        <f t="shared" si="27"/>
        <v>0</v>
      </c>
      <c r="BJ16" s="432">
        <f t="shared" si="28"/>
        <v>0</v>
      </c>
      <c r="BK16" s="432">
        <f t="shared" si="29"/>
        <v>0</v>
      </c>
      <c r="BL16" s="453">
        <f t="shared" si="30"/>
        <v>0</v>
      </c>
      <c r="BM16" s="436">
        <f t="shared" si="31"/>
        <v>3.7172800745715824</v>
      </c>
      <c r="BN16" s="436">
        <f t="shared" si="32"/>
        <v>3.3775708685268713</v>
      </c>
      <c r="BO16" s="436">
        <f t="shared" si="33"/>
        <v>3.0083611246881574</v>
      </c>
      <c r="BP16" s="436">
        <f t="shared" si="34"/>
        <v>2.273640470905852</v>
      </c>
      <c r="BQ16" s="436">
        <f t="shared" si="35"/>
        <v>1.6336358945658322</v>
      </c>
      <c r="BR16" s="436">
        <f t="shared" si="36"/>
        <v>1.368628948485791</v>
      </c>
      <c r="BS16" s="439">
        <f t="shared" si="37"/>
        <v>6.10632004582455</v>
      </c>
      <c r="BT16" s="432">
        <f t="shared" si="38"/>
        <v>4.598030634984707</v>
      </c>
      <c r="BU16" s="432">
        <f t="shared" si="39"/>
        <v>3.748685705501541</v>
      </c>
      <c r="BV16" s="432">
        <f t="shared" si="40"/>
        <v>2.5249084825601154</v>
      </c>
      <c r="BW16" s="432">
        <f t="shared" si="41"/>
        <v>1.6470423765436637</v>
      </c>
      <c r="BX16" s="453">
        <f t="shared" si="42"/>
        <v>1.3110876816046029</v>
      </c>
      <c r="BY16" s="432">
        <f t="shared" si="50"/>
        <v>-42.289905297942845</v>
      </c>
      <c r="BZ16" s="432">
        <f t="shared" si="43"/>
        <v>-41.8119251045645</v>
      </c>
      <c r="CA16" s="432">
        <f t="shared" si="44"/>
        <v>-34.80294350686431</v>
      </c>
      <c r="CB16" s="432">
        <f t="shared" si="45"/>
        <v>-27.29292624085406</v>
      </c>
      <c r="CC16" s="432">
        <f t="shared" si="46"/>
        <v>-14.754201485974912</v>
      </c>
      <c r="CD16" s="432">
        <f t="shared" si="47"/>
        <v>-4.823017427483715</v>
      </c>
      <c r="CE16" s="453">
        <f t="shared" si="48"/>
        <v>-1.0666001646287815</v>
      </c>
      <c r="CF16" s="432">
        <f t="shared" si="51"/>
        <v>-44.39824590362916</v>
      </c>
      <c r="CG16" s="432">
        <f t="shared" si="52"/>
        <v>-36.95571634464616</v>
      </c>
      <c r="CH16" s="432">
        <f t="shared" si="53"/>
        <v>-28.98115902677648</v>
      </c>
      <c r="CI16" s="432">
        <f t="shared" si="54"/>
        <v>-15.666838205794395</v>
      </c>
      <c r="CJ16" s="432">
        <f t="shared" si="55"/>
        <v>-5.121350265681369</v>
      </c>
      <c r="CK16" s="432">
        <f t="shared" si="56"/>
        <v>-1.1325758446092296</v>
      </c>
      <c r="CL16" s="12">
        <f t="shared" si="57"/>
        <v>2010</v>
      </c>
      <c r="CM16" s="128">
        <f t="shared" si="58"/>
        <v>-37.02757271834693</v>
      </c>
      <c r="CO16" s="532">
        <f t="shared" si="59"/>
        <v>-27.29292624085406</v>
      </c>
      <c r="CP16" s="206">
        <f t="shared" si="60"/>
        <v>3.658629952409213</v>
      </c>
      <c r="CQ16" s="611">
        <f t="shared" si="64"/>
        <v>5.2158698291313375</v>
      </c>
      <c r="CR16" s="610">
        <f t="shared" si="65"/>
        <v>19.56001102434562</v>
      </c>
      <c r="CS16" s="532">
        <f t="shared" si="66"/>
        <v>3.2600018373909365</v>
      </c>
      <c r="CT16" s="532">
        <f t="shared" si="61"/>
        <v>17.93001010565015</v>
      </c>
      <c r="CU16" s="532">
        <f t="shared" si="62"/>
        <v>1.630000918695469</v>
      </c>
      <c r="CW16" s="625">
        <f t="shared" si="67"/>
        <v>2010</v>
      </c>
      <c r="CX16" s="532">
        <f t="shared" si="68"/>
        <v>-27.29292624085406</v>
      </c>
      <c r="CY16" s="532">
        <v>-15.019666055465423</v>
      </c>
      <c r="CZ16" s="532">
        <f t="shared" si="69"/>
        <v>-44.92988239345418</v>
      </c>
      <c r="DA16" s="532">
        <f t="shared" si="70"/>
        <v>-14.754201485974912</v>
      </c>
      <c r="DB16" s="532">
        <v>-8.5762634084065</v>
      </c>
      <c r="DC16" s="532">
        <f t="shared" si="71"/>
        <v>-24.77359544762158</v>
      </c>
      <c r="DD16" s="532">
        <f t="shared" si="72"/>
        <v>-4.823017427483715</v>
      </c>
      <c r="DE16" s="532">
        <v>-3.3588798014342407</v>
      </c>
      <c r="DF16" s="532">
        <f t="shared" si="73"/>
        <v>-8.687997125682813</v>
      </c>
      <c r="DG16" s="532">
        <f t="shared" si="63"/>
        <v>-9.94695823699852</v>
      </c>
      <c r="DH16" s="633">
        <v>1.25286149978638</v>
      </c>
      <c r="DI16" s="532">
        <f t="shared" si="74"/>
        <v>-1.0666001646287815</v>
      </c>
      <c r="DJ16" s="532">
        <v>-1.3117656176125432</v>
      </c>
      <c r="DK16" s="532">
        <f t="shared" si="75"/>
        <v>-2.525482110298722</v>
      </c>
      <c r="DM16" s="206">
        <f t="shared" si="76"/>
        <v>3.658629952409213</v>
      </c>
      <c r="DN16" s="206">
        <v>0.21093880578177857</v>
      </c>
      <c r="DO16" s="206">
        <f t="shared" si="77"/>
        <v>3.869568758190992</v>
      </c>
      <c r="DP16" s="206">
        <f t="shared" si="78"/>
        <v>2.765096603463194</v>
      </c>
      <c r="DQ16" s="206">
        <v>0.134006204537798</v>
      </c>
      <c r="DR16" s="206">
        <f t="shared" si="79"/>
        <v>2.899102808000992</v>
      </c>
      <c r="DS16" s="206">
        <f t="shared" si="80"/>
        <v>1.986752576391216</v>
      </c>
      <c r="DT16" s="206">
        <v>0.07857059391126957</v>
      </c>
      <c r="DU16" s="206">
        <f t="shared" si="81"/>
        <v>2.0653231703024857</v>
      </c>
      <c r="DV16" s="206">
        <f t="shared" si="82"/>
        <v>1.6644633596584888</v>
      </c>
      <c r="DW16" s="206">
        <v>0.05905128354597099</v>
      </c>
      <c r="DX16" s="206">
        <f t="shared" si="83"/>
        <v>1.7235146432044597</v>
      </c>
    </row>
    <row r="17" spans="1:128" ht="12.75">
      <c r="A17" s="412">
        <v>2011</v>
      </c>
      <c r="B17" s="413">
        <v>5.101605243682861</v>
      </c>
      <c r="C17" s="413">
        <v>4.977175847495475</v>
      </c>
      <c r="D17" s="441">
        <f t="shared" si="1"/>
        <v>9.34</v>
      </c>
      <c r="E17" s="414">
        <f t="shared" si="1"/>
        <v>7.34</v>
      </c>
      <c r="F17" s="414">
        <f t="shared" si="1"/>
        <v>6.5</v>
      </c>
      <c r="G17" s="414">
        <f t="shared" si="1"/>
        <v>5.34</v>
      </c>
      <c r="H17" s="413">
        <f t="shared" si="1"/>
        <v>4.22</v>
      </c>
      <c r="I17" s="422">
        <f t="shared" si="1"/>
        <v>3.5</v>
      </c>
      <c r="J17" s="443">
        <v>0.0033</v>
      </c>
      <c r="K17" s="444">
        <v>0.0657</v>
      </c>
      <c r="L17" s="446">
        <v>0.1797</v>
      </c>
      <c r="M17" s="445">
        <v>0.4453</v>
      </c>
      <c r="N17" s="447">
        <v>0.7213</v>
      </c>
      <c r="O17" s="447">
        <v>0.8413</v>
      </c>
      <c r="P17" s="457">
        <v>7.236602523739743</v>
      </c>
      <c r="Q17" s="458">
        <v>6.841202738056291</v>
      </c>
      <c r="R17" s="449">
        <v>6.127546959428177</v>
      </c>
      <c r="S17" s="459">
        <v>5.346962171379146</v>
      </c>
      <c r="T17" s="449">
        <v>3.784649953169156</v>
      </c>
      <c r="U17" s="450">
        <v>2.4207285361941344</v>
      </c>
      <c r="V17" s="450">
        <v>1.8550750447980466</v>
      </c>
      <c r="W17" s="451">
        <v>67.9103145993472</v>
      </c>
      <c r="X17" s="452">
        <v>67.9103145993472</v>
      </c>
      <c r="Y17" s="452">
        <v>67.9103145993472</v>
      </c>
      <c r="Z17" s="452">
        <v>67.9103145993472</v>
      </c>
      <c r="AA17" s="452">
        <v>67.9103145993472</v>
      </c>
      <c r="AB17" s="452">
        <v>67.46498646527353</v>
      </c>
      <c r="AC17" s="452">
        <v>67.46498646527353</v>
      </c>
      <c r="AD17" s="439">
        <f t="shared" si="3"/>
        <v>57.74193617669707</v>
      </c>
      <c r="AE17" s="432">
        <f t="shared" si="4"/>
        <v>57.2385997190448</v>
      </c>
      <c r="AF17" s="432">
        <f t="shared" si="5"/>
        <v>53.79469741965806</v>
      </c>
      <c r="AG17" s="432">
        <f t="shared" si="6"/>
        <v>50.37140899148639</v>
      </c>
      <c r="AH17" s="432">
        <f t="shared" si="7"/>
        <v>43.62899858800583</v>
      </c>
      <c r="AI17" s="432">
        <f t="shared" si="8"/>
        <v>35.06526021476226</v>
      </c>
      <c r="AJ17" s="453">
        <f t="shared" si="9"/>
        <v>28.935533972902398</v>
      </c>
      <c r="AK17" s="433">
        <f t="shared" si="10"/>
        <v>0.22886155989056745</v>
      </c>
      <c r="AL17" s="433">
        <f t="shared" si="11"/>
        <v>0.2163568228354298</v>
      </c>
      <c r="AM17" s="433">
        <f t="shared" si="12"/>
        <v>0.19378706386553374</v>
      </c>
      <c r="AN17" s="433">
        <f t="shared" si="13"/>
        <v>0.16910063793102928</v>
      </c>
      <c r="AO17" s="433">
        <f t="shared" si="14"/>
        <v>0.11969164937283858</v>
      </c>
      <c r="AP17" s="433">
        <f t="shared" si="15"/>
        <v>0.07655687970253429</v>
      </c>
      <c r="AQ17" s="433">
        <f t="shared" si="16"/>
        <v>0.05866777497780033</v>
      </c>
      <c r="AR17" s="439">
        <f t="shared" si="17"/>
        <v>1.5567484453535438</v>
      </c>
      <c r="AS17" s="432">
        <f t="shared" si="18"/>
        <v>1.4716894691783897</v>
      </c>
      <c r="AT17" s="432">
        <f t="shared" si="19"/>
        <v>1.3181668015657497</v>
      </c>
      <c r="AU17" s="432">
        <f t="shared" si="20"/>
        <v>1.150246268238741</v>
      </c>
      <c r="AV17" s="432">
        <f t="shared" si="21"/>
        <v>0.8141593947540315</v>
      </c>
      <c r="AW17" s="432">
        <f t="shared" si="22"/>
        <v>0.5207506385739291</v>
      </c>
      <c r="AX17" s="432">
        <f t="shared" si="23"/>
        <v>0.3990664379492697</v>
      </c>
      <c r="AY17" s="461">
        <v>0</v>
      </c>
      <c r="AZ17" s="455">
        <v>0</v>
      </c>
      <c r="BA17" s="455">
        <v>0</v>
      </c>
      <c r="BB17" s="455">
        <v>0</v>
      </c>
      <c r="BC17" s="455">
        <v>0</v>
      </c>
      <c r="BD17" s="456">
        <v>0</v>
      </c>
      <c r="BE17" s="456">
        <v>0</v>
      </c>
      <c r="BF17" s="439">
        <f t="shared" si="24"/>
        <v>0</v>
      </c>
      <c r="BG17" s="432">
        <f t="shared" si="25"/>
        <v>0</v>
      </c>
      <c r="BH17" s="432">
        <f t="shared" si="26"/>
        <v>0</v>
      </c>
      <c r="BI17" s="432">
        <f t="shared" si="27"/>
        <v>0</v>
      </c>
      <c r="BJ17" s="432">
        <f t="shared" si="28"/>
        <v>0</v>
      </c>
      <c r="BK17" s="432">
        <f t="shared" si="29"/>
        <v>0</v>
      </c>
      <c r="BL17" s="453">
        <f t="shared" si="30"/>
        <v>0</v>
      </c>
      <c r="BM17" s="436">
        <f t="shared" si="31"/>
        <v>5.625277393721175</v>
      </c>
      <c r="BN17" s="436">
        <f t="shared" si="32"/>
        <v>5.0384636605038775</v>
      </c>
      <c r="BO17" s="436">
        <f t="shared" si="33"/>
        <v>4.396616586206761</v>
      </c>
      <c r="BP17" s="436">
        <f t="shared" si="34"/>
        <v>3.1119828836938033</v>
      </c>
      <c r="BQ17" s="436">
        <f t="shared" si="35"/>
        <v>1.9904788722658917</v>
      </c>
      <c r="BR17" s="436">
        <f t="shared" si="36"/>
        <v>1.5253621494228087</v>
      </c>
      <c r="BS17" s="439">
        <f t="shared" si="37"/>
        <v>9.240558532991923</v>
      </c>
      <c r="BT17" s="432">
        <f t="shared" si="38"/>
        <v>6.859074514210953</v>
      </c>
      <c r="BU17" s="432">
        <f t="shared" si="39"/>
        <v>5.4785755652897965</v>
      </c>
      <c r="BV17" s="432">
        <f t="shared" si="40"/>
        <v>3.4558990663505558</v>
      </c>
      <c r="BW17" s="432">
        <f t="shared" si="41"/>
        <v>2.006813796845508</v>
      </c>
      <c r="BX17" s="453">
        <f t="shared" si="42"/>
        <v>1.4612313485746253</v>
      </c>
      <c r="BY17" s="432">
        <f t="shared" si="50"/>
        <v>-56.185187731343525</v>
      </c>
      <c r="BZ17" s="432">
        <f t="shared" si="43"/>
        <v>-55.547529027634695</v>
      </c>
      <c r="CA17" s="432">
        <f t="shared" si="44"/>
        <v>-48.49157780203711</v>
      </c>
      <c r="CB17" s="432">
        <f t="shared" si="45"/>
        <v>-39.18492049839497</v>
      </c>
      <c r="CC17" s="432">
        <f t="shared" si="46"/>
        <v>-21.847934267766895</v>
      </c>
      <c r="CD17" s="432">
        <f t="shared" si="47"/>
        <v>-7.804422591615646</v>
      </c>
      <c r="CE17" s="453">
        <f t="shared" si="48"/>
        <v>-2.963668869994507</v>
      </c>
      <c r="CF17" s="432">
        <f t="shared" si="51"/>
        <v>-58.98348011817982</v>
      </c>
      <c r="CG17" s="432">
        <f t="shared" si="52"/>
        <v>-51.49107557534532</v>
      </c>
      <c r="CH17" s="432">
        <f t="shared" si="53"/>
        <v>-41.60874515227656</v>
      </c>
      <c r="CI17" s="432">
        <f t="shared" si="54"/>
        <v>-23.199361322895587</v>
      </c>
      <c r="CJ17" s="432">
        <f t="shared" si="55"/>
        <v>-8.287173395911479</v>
      </c>
      <c r="CK17" s="432">
        <f t="shared" si="56"/>
        <v>-3.1469897388815147</v>
      </c>
      <c r="CL17" s="12">
        <f t="shared" si="57"/>
        <v>2011</v>
      </c>
      <c r="CM17" s="128">
        <f t="shared" si="58"/>
        <v>-49.22116272324765</v>
      </c>
      <c r="CO17" s="532">
        <f t="shared" si="59"/>
        <v>-39.18492049839497</v>
      </c>
      <c r="CP17" s="206">
        <f t="shared" si="60"/>
        <v>5.346962171379146</v>
      </c>
      <c r="CQ17" s="611">
        <f t="shared" si="64"/>
        <v>4.977175847495475</v>
      </c>
      <c r="CR17" s="610">
        <f t="shared" si="65"/>
        <v>27.278090251281746</v>
      </c>
      <c r="CS17" s="532">
        <f t="shared" si="66"/>
        <v>4.546348375213624</v>
      </c>
      <c r="CT17" s="532">
        <f t="shared" si="61"/>
        <v>25.004916063674933</v>
      </c>
      <c r="CU17" s="532">
        <f t="shared" si="62"/>
        <v>2.273174187606813</v>
      </c>
      <c r="CW17" s="625">
        <f t="shared" si="67"/>
        <v>2011</v>
      </c>
      <c r="CX17" s="532">
        <f t="shared" si="68"/>
        <v>-39.18492049839497</v>
      </c>
      <c r="CY17" s="532">
        <v>-19.068909338895665</v>
      </c>
      <c r="CZ17" s="532">
        <f t="shared" si="69"/>
        <v>-61.857182023457035</v>
      </c>
      <c r="DA17" s="532">
        <f t="shared" si="70"/>
        <v>-21.847934267766895</v>
      </c>
      <c r="DB17" s="532">
        <v>-11.129153655149082</v>
      </c>
      <c r="DC17" s="532">
        <f t="shared" si="71"/>
        <v>-35.01692053464882</v>
      </c>
      <c r="DD17" s="532">
        <f t="shared" si="72"/>
        <v>-7.804422591615646</v>
      </c>
      <c r="DE17" s="532">
        <v>-4.492091068271956</v>
      </c>
      <c r="DF17" s="532">
        <f t="shared" si="73"/>
        <v>-13.057127502828743</v>
      </c>
      <c r="DG17" s="532">
        <f t="shared" si="63"/>
        <v>-15.219422251038845</v>
      </c>
      <c r="DH17" s="633">
        <v>1.27550733089447</v>
      </c>
      <c r="DI17" s="532">
        <f t="shared" si="74"/>
        <v>-2.963668869994507</v>
      </c>
      <c r="DJ17" s="532">
        <v>-2.089077667818542</v>
      </c>
      <c r="DK17" s="532">
        <f t="shared" si="75"/>
        <v>-5.365289512824769</v>
      </c>
      <c r="DM17" s="206">
        <f t="shared" si="76"/>
        <v>5.346962171379146</v>
      </c>
      <c r="DN17" s="206">
        <v>0.26635077191561857</v>
      </c>
      <c r="DO17" s="206">
        <f t="shared" si="77"/>
        <v>5.613312943294765</v>
      </c>
      <c r="DP17" s="206">
        <f t="shared" si="78"/>
        <v>3.784649953169156</v>
      </c>
      <c r="DQ17" s="206">
        <v>0.16377397025697776</v>
      </c>
      <c r="DR17" s="206">
        <f t="shared" si="79"/>
        <v>3.948423923426134</v>
      </c>
      <c r="DS17" s="206">
        <f t="shared" si="80"/>
        <v>2.4207285361941344</v>
      </c>
      <c r="DT17" s="206">
        <v>0.0898598227549399</v>
      </c>
      <c r="DU17" s="206">
        <f t="shared" si="81"/>
        <v>2.5105883589490743</v>
      </c>
      <c r="DV17" s="206">
        <f t="shared" si="82"/>
        <v>1.8550750447980466</v>
      </c>
      <c r="DW17" s="206">
        <v>0.06383407560120842</v>
      </c>
      <c r="DX17" s="206">
        <f t="shared" si="83"/>
        <v>1.918909120399255</v>
      </c>
    </row>
    <row r="18" spans="1:128" ht="12.75">
      <c r="A18" s="412">
        <v>2012</v>
      </c>
      <c r="B18" s="413">
        <v>5.04159004211426</v>
      </c>
      <c r="C18" s="413">
        <v>4.9186244313309855</v>
      </c>
      <c r="D18" s="441">
        <f t="shared" si="1"/>
        <v>9.34</v>
      </c>
      <c r="E18" s="414">
        <f t="shared" si="1"/>
        <v>7.34</v>
      </c>
      <c r="F18" s="414">
        <f t="shared" si="1"/>
        <v>6.5</v>
      </c>
      <c r="G18" s="414">
        <f t="shared" si="1"/>
        <v>5.34</v>
      </c>
      <c r="H18" s="413">
        <f t="shared" si="1"/>
        <v>4.22</v>
      </c>
      <c r="I18" s="422">
        <f t="shared" si="1"/>
        <v>3.5</v>
      </c>
      <c r="J18" s="443">
        <v>0.003</v>
      </c>
      <c r="K18" s="444">
        <v>0.0467</v>
      </c>
      <c r="L18" s="446">
        <v>0.1563</v>
      </c>
      <c r="M18" s="445">
        <v>0.3947</v>
      </c>
      <c r="N18" s="447">
        <v>0.6833</v>
      </c>
      <c r="O18" s="447">
        <v>0.8227</v>
      </c>
      <c r="P18" s="457">
        <v>9.270458187362426</v>
      </c>
      <c r="Q18" s="458">
        <v>8.930605985518921</v>
      </c>
      <c r="R18" s="449">
        <v>7.916433085767837</v>
      </c>
      <c r="S18" s="459">
        <v>6.804279359676701</v>
      </c>
      <c r="T18" s="449">
        <v>4.573188272202742</v>
      </c>
      <c r="U18" s="450">
        <v>2.623689465324677</v>
      </c>
      <c r="V18" s="450">
        <v>1.8146716992652276</v>
      </c>
      <c r="W18" s="451">
        <v>78.48351383869515</v>
      </c>
      <c r="X18" s="452">
        <v>78.48351383869515</v>
      </c>
      <c r="Y18" s="452">
        <v>78.48351383869515</v>
      </c>
      <c r="Z18" s="452">
        <v>78.48351383869515</v>
      </c>
      <c r="AA18" s="452">
        <v>78.48351383869515</v>
      </c>
      <c r="AB18" s="452">
        <v>78.03818570462147</v>
      </c>
      <c r="AC18" s="452">
        <v>78.03818570462147</v>
      </c>
      <c r="AD18" s="439">
        <f t="shared" si="3"/>
        <v>65.94695030655035</v>
      </c>
      <c r="AE18" s="432">
        <f t="shared" si="4"/>
        <v>65.37209074072815</v>
      </c>
      <c r="AF18" s="432">
        <f t="shared" si="5"/>
        <v>61.43881678359457</v>
      </c>
      <c r="AG18" s="432">
        <f t="shared" si="6"/>
        <v>57.52908588772042</v>
      </c>
      <c r="AH18" s="432">
        <f t="shared" si="7"/>
        <v>49.82859239432515</v>
      </c>
      <c r="AI18" s="432">
        <f t="shared" si="8"/>
        <v>40.08357698144673</v>
      </c>
      <c r="AJ18" s="453">
        <f t="shared" si="9"/>
        <v>33.076603350395644</v>
      </c>
      <c r="AK18" s="433">
        <f t="shared" si="10"/>
        <v>0.29318337088432717</v>
      </c>
      <c r="AL18" s="433">
        <f t="shared" si="11"/>
        <v>0.2824353569107818</v>
      </c>
      <c r="AM18" s="433">
        <f t="shared" si="12"/>
        <v>0.250361577665017</v>
      </c>
      <c r="AN18" s="433">
        <f t="shared" si="13"/>
        <v>0.21518910055903545</v>
      </c>
      <c r="AO18" s="433">
        <f t="shared" si="14"/>
        <v>0.14462961012658893</v>
      </c>
      <c r="AP18" s="433">
        <f t="shared" si="15"/>
        <v>0.08297563141444267</v>
      </c>
      <c r="AQ18" s="433">
        <f t="shared" si="16"/>
        <v>0.05738999681420707</v>
      </c>
      <c r="AR18" s="439">
        <f t="shared" si="17"/>
        <v>1.9708138175518874</v>
      </c>
      <c r="AS18" s="432">
        <f t="shared" si="18"/>
        <v>1.8985643772565126</v>
      </c>
      <c r="AT18" s="432">
        <f t="shared" si="19"/>
        <v>1.682960582511954</v>
      </c>
      <c r="AU18" s="432">
        <f t="shared" si="20"/>
        <v>1.4465269687332762</v>
      </c>
      <c r="AV18" s="432">
        <f t="shared" si="21"/>
        <v>0.9722176029454379</v>
      </c>
      <c r="AW18" s="432">
        <f t="shared" si="22"/>
        <v>0.5577721561029297</v>
      </c>
      <c r="AX18" s="432">
        <f t="shared" si="23"/>
        <v>0.3857824486073006</v>
      </c>
      <c r="AY18" s="461">
        <v>0.4324484228638659</v>
      </c>
      <c r="AZ18" s="455">
        <v>0.313936412235883</v>
      </c>
      <c r="BA18" s="455">
        <v>0.313936412235883</v>
      </c>
      <c r="BB18" s="455">
        <v>0.313936412235883</v>
      </c>
      <c r="BC18" s="455">
        <v>0.313936412235883</v>
      </c>
      <c r="BD18" s="456">
        <v>0.313936412235883</v>
      </c>
      <c r="BE18" s="456">
        <v>0.313936412235883</v>
      </c>
      <c r="BF18" s="439">
        <f t="shared" si="24"/>
        <v>0.3633712770730805</v>
      </c>
      <c r="BG18" s="432">
        <f t="shared" si="25"/>
        <v>0.2637897816309175</v>
      </c>
      <c r="BH18" s="432">
        <f t="shared" si="26"/>
        <v>0.2637897816309175</v>
      </c>
      <c r="BI18" s="432">
        <f t="shared" si="27"/>
        <v>0.2637897816309175</v>
      </c>
      <c r="BJ18" s="432">
        <f t="shared" si="28"/>
        <v>0.2637897816309175</v>
      </c>
      <c r="BK18" s="432">
        <f t="shared" si="29"/>
        <v>0.2637897816309175</v>
      </c>
      <c r="BL18" s="453">
        <f t="shared" si="30"/>
        <v>0.2637897816309175</v>
      </c>
      <c r="BM18" s="436">
        <f t="shared" si="31"/>
        <v>7.029382867444445</v>
      </c>
      <c r="BN18" s="436">
        <f t="shared" si="32"/>
        <v>6.195464607054559</v>
      </c>
      <c r="BO18" s="436">
        <f t="shared" si="33"/>
        <v>5.280980202299039</v>
      </c>
      <c r="BP18" s="436">
        <f t="shared" si="34"/>
        <v>3.4464334510554293</v>
      </c>
      <c r="BQ18" s="436">
        <f t="shared" si="35"/>
        <v>1.8434300045396264</v>
      </c>
      <c r="BR18" s="436">
        <f t="shared" si="36"/>
        <v>1.178203504933501</v>
      </c>
      <c r="BS18" s="439">
        <f t="shared" si="37"/>
        <v>11.54706146757011</v>
      </c>
      <c r="BT18" s="432">
        <f t="shared" si="38"/>
        <v>8.434149029010586</v>
      </c>
      <c r="BU18" s="432">
        <f t="shared" si="39"/>
        <v>6.580571339302608</v>
      </c>
      <c r="BV18" s="432">
        <f t="shared" si="40"/>
        <v>3.827310943177313</v>
      </c>
      <c r="BW18" s="432">
        <f t="shared" si="41"/>
        <v>1.8585581681747807</v>
      </c>
      <c r="BX18" s="453">
        <f t="shared" si="42"/>
        <v>1.1286682949755815</v>
      </c>
      <c r="BY18" s="432">
        <f t="shared" si="50"/>
        <v>-63.612765211925385</v>
      </c>
      <c r="BZ18" s="432">
        <f t="shared" si="43"/>
        <v>-62.97897912521583</v>
      </c>
      <c r="CA18" s="432">
        <f t="shared" si="44"/>
        <v>-56.228998916003036</v>
      </c>
      <c r="CB18" s="432">
        <f t="shared" si="45"/>
        <v>-45.798429712772524</v>
      </c>
      <c r="CC18" s="432">
        <f t="shared" si="46"/>
        <v>-27.41459996243657</v>
      </c>
      <c r="CD18" s="432">
        <f t="shared" si="47"/>
        <v>-10.602954095976505</v>
      </c>
      <c r="CE18" s="453">
        <f t="shared" si="48"/>
        <v>-4.28635413751052</v>
      </c>
      <c r="CF18" s="432">
        <f t="shared" si="51"/>
        <v>-66.87461041241583</v>
      </c>
      <c r="CG18" s="432">
        <f t="shared" si="52"/>
        <v>-59.70710304642412</v>
      </c>
      <c r="CH18" s="432">
        <f t="shared" si="53"/>
        <v>-48.631339965874304</v>
      </c>
      <c r="CI18" s="432">
        <f t="shared" si="54"/>
        <v>-29.11035900494826</v>
      </c>
      <c r="CJ18" s="432">
        <f t="shared" si="55"/>
        <v>-11.258811022950628</v>
      </c>
      <c r="CK18" s="432">
        <f t="shared" si="56"/>
        <v>-4.551491100955192</v>
      </c>
      <c r="CL18" s="12">
        <f t="shared" si="57"/>
        <v>2012</v>
      </c>
      <c r="CM18" s="128">
        <f t="shared" si="58"/>
        <v>-55.81876913735623</v>
      </c>
      <c r="CO18" s="532">
        <f t="shared" si="59"/>
        <v>-45.798429712772524</v>
      </c>
      <c r="CP18" s="206">
        <f t="shared" si="60"/>
        <v>6.804279359676701</v>
      </c>
      <c r="CQ18" s="611">
        <f t="shared" si="64"/>
        <v>4.9186244313309855</v>
      </c>
      <c r="CR18" s="610">
        <f t="shared" si="65"/>
        <v>34.30438706350965</v>
      </c>
      <c r="CS18" s="532">
        <f t="shared" si="66"/>
        <v>5.717397843918275</v>
      </c>
      <c r="CT18" s="532">
        <f t="shared" si="61"/>
        <v>31.445688141550512</v>
      </c>
      <c r="CU18" s="532">
        <f t="shared" si="62"/>
        <v>2.8586989219591388</v>
      </c>
      <c r="CW18" s="625">
        <f t="shared" si="67"/>
        <v>2012</v>
      </c>
      <c r="CX18" s="532">
        <f t="shared" si="68"/>
        <v>-45.798429712772524</v>
      </c>
      <c r="CY18" s="532">
        <v>-19.158493730849266</v>
      </c>
      <c r="CZ18" s="532">
        <f t="shared" si="69"/>
        <v>-68.97490256621306</v>
      </c>
      <c r="DA18" s="532">
        <f t="shared" si="70"/>
        <v>-27.41459996243657</v>
      </c>
      <c r="DB18" s="532">
        <v>-11.797547377730147</v>
      </c>
      <c r="DC18" s="532">
        <f t="shared" si="71"/>
        <v>-41.63765613910958</v>
      </c>
      <c r="DD18" s="532">
        <f t="shared" si="72"/>
        <v>-10.602954095976505</v>
      </c>
      <c r="DE18" s="532">
        <v>-4.8541323563915455</v>
      </c>
      <c r="DF18" s="532">
        <f t="shared" si="73"/>
        <v>-16.413200864338428</v>
      </c>
      <c r="DG18" s="532">
        <f t="shared" si="63"/>
        <v>-19.47764788494774</v>
      </c>
      <c r="DH18" s="633">
        <v>1.29860079288483</v>
      </c>
      <c r="DI18" s="532">
        <f t="shared" si="74"/>
        <v>-4.28635413751052</v>
      </c>
      <c r="DJ18" s="532">
        <v>-2.119282225060356</v>
      </c>
      <c r="DK18" s="532">
        <f t="shared" si="75"/>
        <v>-6.801863766937707</v>
      </c>
      <c r="DM18" s="206">
        <f t="shared" si="76"/>
        <v>6.804279359676701</v>
      </c>
      <c r="DN18" s="206">
        <v>0.5299265871607385</v>
      </c>
      <c r="DO18" s="206">
        <f t="shared" si="77"/>
        <v>7.334205946837439</v>
      </c>
      <c r="DP18" s="206">
        <f t="shared" si="78"/>
        <v>4.573188272202742</v>
      </c>
      <c r="DQ18" s="206">
        <v>0.40170558508743753</v>
      </c>
      <c r="DR18" s="206">
        <f t="shared" si="79"/>
        <v>4.97489385729018</v>
      </c>
      <c r="DS18" s="206">
        <f t="shared" si="80"/>
        <v>2.623689465324677</v>
      </c>
      <c r="DT18" s="206">
        <v>0.3093129007098901</v>
      </c>
      <c r="DU18" s="206">
        <f t="shared" si="81"/>
        <v>2.933002366034567</v>
      </c>
      <c r="DV18" s="206">
        <f t="shared" si="82"/>
        <v>1.8146716992652276</v>
      </c>
      <c r="DW18" s="206">
        <v>0.2767807167677258</v>
      </c>
      <c r="DX18" s="206">
        <f t="shared" si="83"/>
        <v>2.0914524160329533</v>
      </c>
    </row>
    <row r="19" spans="1:128" ht="12.75">
      <c r="A19" s="412">
        <v>2013</v>
      </c>
      <c r="B19" s="413">
        <v>5.11849672317505</v>
      </c>
      <c r="C19" s="413">
        <v>4.993655339682976</v>
      </c>
      <c r="D19" s="441">
        <f t="shared" si="1"/>
        <v>9.34</v>
      </c>
      <c r="E19" s="414">
        <f t="shared" si="1"/>
        <v>7.34</v>
      </c>
      <c r="F19" s="414">
        <f t="shared" si="1"/>
        <v>6.5</v>
      </c>
      <c r="G19" s="414">
        <f t="shared" si="1"/>
        <v>5.34</v>
      </c>
      <c r="H19" s="413">
        <f t="shared" si="1"/>
        <v>4.22</v>
      </c>
      <c r="I19" s="422">
        <f t="shared" si="1"/>
        <v>3.5</v>
      </c>
      <c r="J19" s="443">
        <v>0.002</v>
      </c>
      <c r="K19" s="444">
        <v>0.06</v>
      </c>
      <c r="L19" s="446">
        <v>0.15</v>
      </c>
      <c r="M19" s="445">
        <v>0.4047</v>
      </c>
      <c r="N19" s="447">
        <v>0.6943</v>
      </c>
      <c r="O19" s="447">
        <v>0.83</v>
      </c>
      <c r="P19" s="457">
        <v>11.190403046390122</v>
      </c>
      <c r="Q19" s="458">
        <v>10.839411049637118</v>
      </c>
      <c r="R19" s="449">
        <v>9.560502862177078</v>
      </c>
      <c r="S19" s="459">
        <v>8.154975392356429</v>
      </c>
      <c r="T19" s="449">
        <v>5.32985786881164</v>
      </c>
      <c r="U19" s="450">
        <v>2.8594753381134734</v>
      </c>
      <c r="V19" s="450">
        <v>1.833755814712888</v>
      </c>
      <c r="W19" s="451">
        <v>87.27540054174834</v>
      </c>
      <c r="X19" s="452">
        <v>87.27540054174834</v>
      </c>
      <c r="Y19" s="452">
        <v>87.27540054174834</v>
      </c>
      <c r="Z19" s="452">
        <v>87.27540054174834</v>
      </c>
      <c r="AA19" s="452">
        <v>87.27540054174834</v>
      </c>
      <c r="AB19" s="452">
        <v>87.0527364747115</v>
      </c>
      <c r="AC19" s="452">
        <v>87.0527364747115</v>
      </c>
      <c r="AD19" s="439">
        <f t="shared" si="3"/>
        <v>74.45314194778814</v>
      </c>
      <c r="AE19" s="432">
        <f t="shared" si="4"/>
        <v>73.80413390942927</v>
      </c>
      <c r="AF19" s="432">
        <f t="shared" si="5"/>
        <v>69.36352516423734</v>
      </c>
      <c r="AG19" s="432">
        <f t="shared" si="6"/>
        <v>64.94949619072077</v>
      </c>
      <c r="AH19" s="432">
        <f t="shared" si="7"/>
        <v>56.25575171176145</v>
      </c>
      <c r="AI19" s="432">
        <f t="shared" si="8"/>
        <v>45.395900486899215</v>
      </c>
      <c r="AJ19" s="453">
        <f t="shared" si="9"/>
        <v>37.460284416089124</v>
      </c>
      <c r="AK19" s="433">
        <f t="shared" si="10"/>
        <v>0.3539026896391563</v>
      </c>
      <c r="AL19" s="433">
        <f t="shared" si="11"/>
        <v>0.3428023734863098</v>
      </c>
      <c r="AM19" s="433">
        <f t="shared" si="12"/>
        <v>0.30235619424974947</v>
      </c>
      <c r="AN19" s="433">
        <f t="shared" si="13"/>
        <v>0.25790561013144936</v>
      </c>
      <c r="AO19" s="433">
        <f t="shared" si="14"/>
        <v>0.1685597048960038</v>
      </c>
      <c r="AP19" s="433">
        <f t="shared" si="15"/>
        <v>0.09043249013641598</v>
      </c>
      <c r="AQ19" s="433">
        <f t="shared" si="16"/>
        <v>0.05799354252728931</v>
      </c>
      <c r="AR19" s="439">
        <f t="shared" si="17"/>
        <v>2.4152663429878105</v>
      </c>
      <c r="AS19" s="432">
        <f t="shared" si="18"/>
        <v>2.3395104338484085</v>
      </c>
      <c r="AT19" s="432">
        <f t="shared" si="19"/>
        <v>2.0634789193320286</v>
      </c>
      <c r="AU19" s="432">
        <f t="shared" si="20"/>
        <v>1.7601186937950473</v>
      </c>
      <c r="AV19" s="432">
        <f t="shared" si="21"/>
        <v>1.1503630628927317</v>
      </c>
      <c r="AW19" s="432">
        <f t="shared" si="22"/>
        <v>0.6171712059090736</v>
      </c>
      <c r="AX19" s="432">
        <f t="shared" si="23"/>
        <v>0.39578634318832434</v>
      </c>
      <c r="AY19" s="461">
        <v>0.8648968457277318</v>
      </c>
      <c r="AZ19" s="455">
        <v>0.7205809556722327</v>
      </c>
      <c r="BA19" s="455">
        <v>0.6917335145940974</v>
      </c>
      <c r="BB19" s="455">
        <v>0.66165007778841</v>
      </c>
      <c r="BC19" s="455">
        <v>0.6040803462969827</v>
      </c>
      <c r="BD19" s="456">
        <v>0.5547041400562074</v>
      </c>
      <c r="BE19" s="456">
        <v>0.5344879124226646</v>
      </c>
      <c r="BF19" s="439">
        <f t="shared" si="24"/>
        <v>0.7378286117903052</v>
      </c>
      <c r="BG19" s="432">
        <f t="shared" si="25"/>
        <v>0.6147152100651114</v>
      </c>
      <c r="BH19" s="432">
        <f t="shared" si="26"/>
        <v>0.590105954626708</v>
      </c>
      <c r="BI19" s="432">
        <f t="shared" si="27"/>
        <v>0.5644422925080822</v>
      </c>
      <c r="BJ19" s="432">
        <f t="shared" si="28"/>
        <v>0.5153305455092592</v>
      </c>
      <c r="BK19" s="432">
        <f t="shared" si="29"/>
        <v>0.4732085538682219</v>
      </c>
      <c r="BL19" s="453">
        <f t="shared" si="30"/>
        <v>0.4559624380520136</v>
      </c>
      <c r="BM19" s="436">
        <f t="shared" si="31"/>
        <v>8.192280754971824</v>
      </c>
      <c r="BN19" s="436">
        <f t="shared" si="32"/>
        <v>7.169527535899388</v>
      </c>
      <c r="BO19" s="436">
        <f t="shared" si="33"/>
        <v>6.043895785629273</v>
      </c>
      <c r="BP19" s="436">
        <f t="shared" si="34"/>
        <v>3.7784719809991154</v>
      </c>
      <c r="BQ19" s="436">
        <f t="shared" si="35"/>
        <v>1.7965406034906082</v>
      </c>
      <c r="BR19" s="436">
        <f t="shared" si="36"/>
        <v>0.9733441932868575</v>
      </c>
      <c r="BS19" s="439">
        <f t="shared" si="37"/>
        <v>13.457336329674455</v>
      </c>
      <c r="BT19" s="432">
        <f t="shared" si="38"/>
        <v>9.76018225275901</v>
      </c>
      <c r="BU19" s="432">
        <f t="shared" si="39"/>
        <v>7.531232055618995</v>
      </c>
      <c r="BV19" s="432">
        <f t="shared" si="40"/>
        <v>4.1960442198407</v>
      </c>
      <c r="BW19" s="432">
        <f t="shared" si="41"/>
        <v>1.8112839678493717</v>
      </c>
      <c r="BX19" s="453">
        <f t="shared" si="42"/>
        <v>0.9324218833684981</v>
      </c>
      <c r="BY19" s="432">
        <f t="shared" si="50"/>
        <v>-71.30004699301003</v>
      </c>
      <c r="BZ19" s="432">
        <f t="shared" si="43"/>
        <v>-70.67538532503755</v>
      </c>
      <c r="CA19" s="432">
        <f t="shared" si="44"/>
        <v>-61.96251784525882</v>
      </c>
      <c r="CB19" s="432">
        <f t="shared" si="45"/>
        <v>-51.75282596746666</v>
      </c>
      <c r="CC19" s="432">
        <f t="shared" si="46"/>
        <v>-30.125216289840072</v>
      </c>
      <c r="CD19" s="432">
        <f t="shared" si="47"/>
        <v>-11.529572560189974</v>
      </c>
      <c r="CE19" s="453">
        <f t="shared" si="48"/>
        <v>-4.742589406298961</v>
      </c>
      <c r="CF19" s="432">
        <f t="shared" si="51"/>
        <v>-75.04708594850632</v>
      </c>
      <c r="CG19" s="432">
        <f t="shared" si="52"/>
        <v>-65.79527484615839</v>
      </c>
      <c r="CH19" s="432">
        <f t="shared" si="53"/>
        <v>-54.9540516913552</v>
      </c>
      <c r="CI19" s="432">
        <f t="shared" si="54"/>
        <v>-31.988643368882393</v>
      </c>
      <c r="CJ19" s="432">
        <f t="shared" si="55"/>
        <v>-12.242746451183317</v>
      </c>
      <c r="CK19" s="432">
        <f t="shared" si="56"/>
        <v>-5.035947284278985</v>
      </c>
      <c r="CL19" s="12">
        <f t="shared" si="57"/>
        <v>2013</v>
      </c>
      <c r="CM19" s="128">
        <f t="shared" si="58"/>
        <v>-62.62493520441763</v>
      </c>
      <c r="CO19" s="532">
        <f t="shared" si="59"/>
        <v>-51.75282596746666</v>
      </c>
      <c r="CP19" s="206">
        <f t="shared" si="60"/>
        <v>8.154975392356429</v>
      </c>
      <c r="CQ19" s="611">
        <f t="shared" si="64"/>
        <v>4.993655339682976</v>
      </c>
      <c r="CR19" s="610">
        <f t="shared" si="65"/>
        <v>41.741214823349544</v>
      </c>
      <c r="CS19" s="532">
        <f t="shared" si="66"/>
        <v>6.956869137224924</v>
      </c>
      <c r="CT19" s="532">
        <f t="shared" si="61"/>
        <v>38.26278025473708</v>
      </c>
      <c r="CU19" s="532">
        <f t="shared" si="62"/>
        <v>3.478434568612464</v>
      </c>
      <c r="CW19" s="625">
        <f t="shared" si="67"/>
        <v>2013</v>
      </c>
      <c r="CX19" s="532">
        <f t="shared" si="68"/>
        <v>-51.75282596746666</v>
      </c>
      <c r="CY19" s="532">
        <v>-15.182679798576753</v>
      </c>
      <c r="CZ19" s="532">
        <f t="shared" si="69"/>
        <v>-71.07587218843835</v>
      </c>
      <c r="DA19" s="532">
        <f t="shared" si="70"/>
        <v>-30.125216289840072</v>
      </c>
      <c r="DB19" s="532">
        <v>-9.11828635748712</v>
      </c>
      <c r="DC19" s="532">
        <f t="shared" si="71"/>
        <v>-41.67095096191942</v>
      </c>
      <c r="DD19" s="532">
        <f t="shared" si="72"/>
        <v>-11.529572560189974</v>
      </c>
      <c r="DE19" s="532">
        <v>-3.651321220086498</v>
      </c>
      <c r="DF19" s="532">
        <f t="shared" si="73"/>
        <v>-16.119924002734088</v>
      </c>
      <c r="DG19" s="532">
        <f t="shared" si="63"/>
        <v>-19.461909364667395</v>
      </c>
      <c r="DH19" s="633">
        <v>1.32115840911865</v>
      </c>
      <c r="DI19" s="532">
        <f t="shared" si="74"/>
        <v>-4.742589406298961</v>
      </c>
      <c r="DJ19" s="532">
        <v>-1.5518318048923962</v>
      </c>
      <c r="DK19" s="532">
        <f t="shared" si="75"/>
        <v>-6.683769284877656</v>
      </c>
      <c r="DM19" s="206">
        <f t="shared" si="76"/>
        <v>8.154975392356429</v>
      </c>
      <c r="DN19" s="206">
        <v>0.7826873068008752</v>
      </c>
      <c r="DO19" s="206">
        <f t="shared" si="77"/>
        <v>8.937662699157304</v>
      </c>
      <c r="DP19" s="206">
        <f t="shared" si="78"/>
        <v>5.32985786881164</v>
      </c>
      <c r="DQ19" s="206">
        <v>0.5374907306115178</v>
      </c>
      <c r="DR19" s="206">
        <f t="shared" si="79"/>
        <v>5.867348599423158</v>
      </c>
      <c r="DS19" s="206">
        <f t="shared" si="80"/>
        <v>2.8594753381134734</v>
      </c>
      <c r="DT19" s="206">
        <v>0.3608085217065561</v>
      </c>
      <c r="DU19" s="206">
        <f t="shared" si="81"/>
        <v>3.2202838598200296</v>
      </c>
      <c r="DV19" s="206">
        <f t="shared" si="82"/>
        <v>1.833755814712888</v>
      </c>
      <c r="DW19" s="206">
        <v>0.2985973395320407</v>
      </c>
      <c r="DX19" s="206">
        <f t="shared" si="83"/>
        <v>2.132353154244929</v>
      </c>
    </row>
    <row r="20" spans="1:128" ht="12.75">
      <c r="A20" s="412">
        <v>2014</v>
      </c>
      <c r="B20" s="413">
        <v>5.0262349319458</v>
      </c>
      <c r="C20" s="413">
        <v>4.903643836044684</v>
      </c>
      <c r="D20" s="441">
        <f t="shared" si="1"/>
        <v>9.34</v>
      </c>
      <c r="E20" s="414">
        <f t="shared" si="1"/>
        <v>7.34</v>
      </c>
      <c r="F20" s="414">
        <f t="shared" si="1"/>
        <v>6.5</v>
      </c>
      <c r="G20" s="414">
        <f t="shared" si="1"/>
        <v>5.34</v>
      </c>
      <c r="H20" s="413">
        <f t="shared" si="1"/>
        <v>4.22</v>
      </c>
      <c r="I20" s="422">
        <f t="shared" si="1"/>
        <v>3.5</v>
      </c>
      <c r="J20" s="443">
        <v>0.0023</v>
      </c>
      <c r="K20" s="444">
        <v>0.0553</v>
      </c>
      <c r="L20" s="446">
        <v>0.1373</v>
      </c>
      <c r="M20" s="445">
        <v>0.3763</v>
      </c>
      <c r="N20" s="447">
        <v>0.683</v>
      </c>
      <c r="O20" s="447">
        <v>0.8357</v>
      </c>
      <c r="P20" s="442">
        <v>13.110347905417823</v>
      </c>
      <c r="Q20" s="448">
        <v>12.74821611375532</v>
      </c>
      <c r="R20" s="449">
        <v>11.204572638586315</v>
      </c>
      <c r="S20" s="459">
        <v>9.505671425036155</v>
      </c>
      <c r="T20" s="449">
        <v>6.08652746542054</v>
      </c>
      <c r="U20" s="450">
        <v>3.0952612109022715</v>
      </c>
      <c r="V20" s="450">
        <v>1.8528399301605485</v>
      </c>
      <c r="W20" s="451">
        <v>96.06728724480156</v>
      </c>
      <c r="X20" s="463">
        <v>96.06728724480156</v>
      </c>
      <c r="Y20" s="463">
        <v>96.06728724480156</v>
      </c>
      <c r="Z20" s="463">
        <v>96.06728724480156</v>
      </c>
      <c r="AA20" s="463">
        <v>96.06728724480156</v>
      </c>
      <c r="AB20" s="463">
        <v>96.06728724480156</v>
      </c>
      <c r="AC20" s="463">
        <v>96.06728724480156</v>
      </c>
      <c r="AD20" s="439">
        <f t="shared" si="3"/>
        <v>80.47612582784879</v>
      </c>
      <c r="AE20" s="432">
        <f t="shared" si="4"/>
        <v>79.77461543900743</v>
      </c>
      <c r="AF20" s="432">
        <f t="shared" si="5"/>
        <v>74.97477786625704</v>
      </c>
      <c r="AG20" s="432">
        <f t="shared" si="6"/>
        <v>70.2036702704272</v>
      </c>
      <c r="AH20" s="432">
        <f t="shared" si="7"/>
        <v>60.806634009760955</v>
      </c>
      <c r="AI20" s="432">
        <f t="shared" si="8"/>
        <v>49.19376810055073</v>
      </c>
      <c r="AJ20" s="453">
        <f t="shared" si="9"/>
        <v>40.594250246838456</v>
      </c>
      <c r="AK20" s="433">
        <f t="shared" si="10"/>
        <v>0.41462200839398555</v>
      </c>
      <c r="AL20" s="433">
        <f t="shared" si="11"/>
        <v>0.40316939006183805</v>
      </c>
      <c r="AM20" s="433">
        <f t="shared" si="12"/>
        <v>0.35435081083448183</v>
      </c>
      <c r="AN20" s="433">
        <f t="shared" si="13"/>
        <v>0.3006221197038632</v>
      </c>
      <c r="AO20" s="433">
        <f t="shared" si="14"/>
        <v>0.1924897996654187</v>
      </c>
      <c r="AP20" s="433">
        <f t="shared" si="15"/>
        <v>0.09788934885838936</v>
      </c>
      <c r="AQ20" s="433">
        <f t="shared" si="16"/>
        <v>0.05859708824037155</v>
      </c>
      <c r="AR20" s="439">
        <f t="shared" si="17"/>
        <v>2.7786501628578333</v>
      </c>
      <c r="AS20" s="432">
        <f t="shared" si="18"/>
        <v>2.7018987624267896</v>
      </c>
      <c r="AT20" s="432">
        <f t="shared" si="19"/>
        <v>2.374733898106121</v>
      </c>
      <c r="AU20" s="432">
        <f t="shared" si="20"/>
        <v>2.0146631991615322</v>
      </c>
      <c r="AV20" s="432">
        <f t="shared" si="21"/>
        <v>1.2899986068287685</v>
      </c>
      <c r="AW20" s="432">
        <f t="shared" si="22"/>
        <v>0.6560198195966205</v>
      </c>
      <c r="AX20" s="432">
        <f t="shared" si="23"/>
        <v>0.39269697576542123</v>
      </c>
      <c r="AY20" s="461">
        <v>1.2973452685915978</v>
      </c>
      <c r="AZ20" s="455">
        <v>1.1272254991085826</v>
      </c>
      <c r="BA20" s="455">
        <v>1.0695306169523116</v>
      </c>
      <c r="BB20" s="455">
        <v>1.009363743340937</v>
      </c>
      <c r="BC20" s="455">
        <v>0.8942242803580827</v>
      </c>
      <c r="BD20" s="456">
        <v>0.7954718678765318</v>
      </c>
      <c r="BE20" s="456">
        <v>0.7550394126094462</v>
      </c>
      <c r="BF20" s="439">
        <f t="shared" si="24"/>
        <v>1.086793684631616</v>
      </c>
      <c r="BG20" s="432">
        <f t="shared" si="25"/>
        <v>0.9442833632999329</v>
      </c>
      <c r="BH20" s="432">
        <f t="shared" si="26"/>
        <v>0.8959520246185418</v>
      </c>
      <c r="BI20" s="432">
        <f t="shared" si="27"/>
        <v>0.8455498843032988</v>
      </c>
      <c r="BJ20" s="432">
        <f t="shared" si="28"/>
        <v>0.7490968858216482</v>
      </c>
      <c r="BK20" s="432">
        <f t="shared" si="29"/>
        <v>0.6663714149501997</v>
      </c>
      <c r="BL20" s="453">
        <f t="shared" si="30"/>
        <v>0.6325009117755728</v>
      </c>
      <c r="BM20" s="436">
        <f t="shared" si="31"/>
        <v>9.355178642499206</v>
      </c>
      <c r="BN20" s="436">
        <f t="shared" si="32"/>
        <v>8.143590464744216</v>
      </c>
      <c r="BO20" s="436">
        <f t="shared" si="33"/>
        <v>6.806811368959507</v>
      </c>
      <c r="BP20" s="436">
        <f t="shared" si="34"/>
        <v>4.110510510942804</v>
      </c>
      <c r="BQ20" s="436">
        <f t="shared" si="35"/>
        <v>1.7496512024415913</v>
      </c>
      <c r="BR20" s="436">
        <f t="shared" si="36"/>
        <v>0.7684848816402141</v>
      </c>
      <c r="BS20" s="439">
        <f t="shared" si="37"/>
        <v>15.367611191778803</v>
      </c>
      <c r="BT20" s="432">
        <f t="shared" si="38"/>
        <v>11.086215476507434</v>
      </c>
      <c r="BU20" s="432">
        <f t="shared" si="39"/>
        <v>8.481892771935383</v>
      </c>
      <c r="BV20" s="432">
        <f t="shared" si="40"/>
        <v>4.5647774965040915</v>
      </c>
      <c r="BW20" s="432">
        <f t="shared" si="41"/>
        <v>1.7640097675239643</v>
      </c>
      <c r="BX20" s="453">
        <f t="shared" si="42"/>
        <v>0.7361754717614144</v>
      </c>
      <c r="BY20" s="432">
        <f t="shared" si="50"/>
        <v>-76.61068198035935</v>
      </c>
      <c r="BZ20" s="432">
        <f t="shared" si="43"/>
        <v>-75.9096061920299</v>
      </c>
      <c r="CA20" s="432">
        <f t="shared" si="44"/>
        <v>-66.94491901167751</v>
      </c>
      <c r="CB20" s="432">
        <f t="shared" si="45"/>
        <v>-56.53992938124598</v>
      </c>
      <c r="CC20" s="432">
        <f t="shared" si="46"/>
        <v>-34.168276367302994</v>
      </c>
      <c r="CD20" s="432">
        <f t="shared" si="47"/>
        <v>-13.067214582108889</v>
      </c>
      <c r="CE20" s="453">
        <f t="shared" si="48"/>
        <v>-5.02921558626355</v>
      </c>
      <c r="CF20" s="432">
        <f t="shared" si="51"/>
        <v>-80.60507507685821</v>
      </c>
      <c r="CG20" s="432">
        <f t="shared" si="52"/>
        <v>-71.08586770032565</v>
      </c>
      <c r="CH20" s="432">
        <f t="shared" si="53"/>
        <v>-60.037266444073545</v>
      </c>
      <c r="CI20" s="432">
        <f t="shared" si="54"/>
        <v>-36.281791198680565</v>
      </c>
      <c r="CJ20" s="432">
        <f t="shared" si="55"/>
        <v>-13.875500944792051</v>
      </c>
      <c r="CK20" s="432">
        <f t="shared" si="56"/>
        <v>-5.340303029408177</v>
      </c>
      <c r="CL20" s="12">
        <f t="shared" si="57"/>
        <v>2014</v>
      </c>
      <c r="CM20" s="128">
        <f t="shared" si="58"/>
        <v>-67.34345718696237</v>
      </c>
      <c r="CO20" s="532">
        <f t="shared" si="59"/>
        <v>-56.53992938124598</v>
      </c>
      <c r="CP20" s="206">
        <f t="shared" si="60"/>
        <v>9.505671425036155</v>
      </c>
      <c r="CQ20" s="611">
        <f t="shared" si="64"/>
        <v>4.903643836044684</v>
      </c>
      <c r="CR20" s="610">
        <f t="shared" si="65"/>
        <v>47.777737768115735</v>
      </c>
      <c r="CS20" s="532">
        <f t="shared" si="66"/>
        <v>7.962956294685956</v>
      </c>
      <c r="CT20" s="532">
        <f t="shared" si="61"/>
        <v>43.79625962077276</v>
      </c>
      <c r="CU20" s="532">
        <f t="shared" si="62"/>
        <v>3.981478147342976</v>
      </c>
      <c r="CW20" s="625">
        <f t="shared" si="67"/>
        <v>2014</v>
      </c>
      <c r="CX20" s="532">
        <f t="shared" si="68"/>
        <v>-56.53992938124598</v>
      </c>
      <c r="CY20" s="532">
        <v>-10.742598259917852</v>
      </c>
      <c r="CZ20" s="532">
        <f t="shared" si="69"/>
        <v>-71.44435946825156</v>
      </c>
      <c r="DA20" s="532">
        <f t="shared" si="70"/>
        <v>-34.168276367302994</v>
      </c>
      <c r="DB20" s="532">
        <v>-6.678274377502659</v>
      </c>
      <c r="DC20" s="532">
        <f t="shared" si="71"/>
        <v>-43.37315729298892</v>
      </c>
      <c r="DD20" s="532">
        <f t="shared" si="72"/>
        <v>-13.067214582108889</v>
      </c>
      <c r="DE20" s="532">
        <v>-2.6154997985675688</v>
      </c>
      <c r="DF20" s="532">
        <f t="shared" si="73"/>
        <v>-16.65278524651435</v>
      </c>
      <c r="DG20" s="532">
        <f t="shared" si="63"/>
        <v>-20.442050058109622</v>
      </c>
      <c r="DH20" s="633">
        <v>1.34329068660736</v>
      </c>
      <c r="DI20" s="532">
        <f t="shared" si="74"/>
        <v>-5.02921558626355</v>
      </c>
      <c r="DJ20" s="532">
        <v>-0.9875187614381539</v>
      </c>
      <c r="DK20" s="532">
        <f t="shared" si="75"/>
        <v>-6.388905807087794</v>
      </c>
      <c r="DM20" s="206">
        <f t="shared" si="76"/>
        <v>9.505671425036155</v>
      </c>
      <c r="DN20" s="206">
        <v>1.035448026441012</v>
      </c>
      <c r="DO20" s="206">
        <f t="shared" si="77"/>
        <v>10.541119451477167</v>
      </c>
      <c r="DP20" s="206">
        <f t="shared" si="78"/>
        <v>6.08652746542054</v>
      </c>
      <c r="DQ20" s="206">
        <v>0.6732758761355979</v>
      </c>
      <c r="DR20" s="206">
        <f t="shared" si="79"/>
        <v>6.759803341556138</v>
      </c>
      <c r="DS20" s="206">
        <f t="shared" si="80"/>
        <v>3.0952612109022715</v>
      </c>
      <c r="DT20" s="206">
        <v>0.412304142703222</v>
      </c>
      <c r="DU20" s="206">
        <f t="shared" si="81"/>
        <v>3.5075653536054934</v>
      </c>
      <c r="DV20" s="206">
        <f t="shared" si="82"/>
        <v>1.8528399301605485</v>
      </c>
      <c r="DW20" s="206">
        <v>0.32041396229635566</v>
      </c>
      <c r="DX20" s="206">
        <f t="shared" si="83"/>
        <v>2.1732538924569043</v>
      </c>
    </row>
    <row r="21" spans="1:128" ht="12.75">
      <c r="A21" s="412">
        <v>2015</v>
      </c>
      <c r="B21" s="413">
        <v>4.840802021026611</v>
      </c>
      <c r="C21" s="413">
        <v>4.722733679050353</v>
      </c>
      <c r="D21" s="441">
        <f t="shared" si="1"/>
        <v>9.34</v>
      </c>
      <c r="E21" s="414">
        <f t="shared" si="1"/>
        <v>7.34</v>
      </c>
      <c r="F21" s="414">
        <f t="shared" si="1"/>
        <v>6.5</v>
      </c>
      <c r="G21" s="414">
        <f t="shared" si="1"/>
        <v>5.34</v>
      </c>
      <c r="H21" s="413">
        <f t="shared" si="1"/>
        <v>4.22</v>
      </c>
      <c r="I21" s="422">
        <f t="shared" si="1"/>
        <v>3.5</v>
      </c>
      <c r="J21" s="443">
        <v>0.001</v>
      </c>
      <c r="K21" s="444">
        <v>0.042</v>
      </c>
      <c r="L21" s="446">
        <v>0.1247</v>
      </c>
      <c r="M21" s="445">
        <v>0.3537</v>
      </c>
      <c r="N21" s="447">
        <v>0.666</v>
      </c>
      <c r="O21" s="447">
        <v>0.8077</v>
      </c>
      <c r="P21" s="442">
        <v>14.461837746651344</v>
      </c>
      <c r="Q21" s="448">
        <v>14.081513554000855</v>
      </c>
      <c r="R21" s="449">
        <v>12.365194871039039</v>
      </c>
      <c r="S21" s="459">
        <v>10.47577627511772</v>
      </c>
      <c r="T21" s="449">
        <v>6.672356272306725</v>
      </c>
      <c r="U21" s="450">
        <v>3.3446210102908474</v>
      </c>
      <c r="V21" s="450">
        <v>1.9623641802805407</v>
      </c>
      <c r="W21" s="451">
        <v>96.06728724480156</v>
      </c>
      <c r="X21" s="463">
        <v>96.06728724480156</v>
      </c>
      <c r="Y21" s="463">
        <v>96.06728724480156</v>
      </c>
      <c r="Z21" s="463">
        <v>96.06728724480156</v>
      </c>
      <c r="AA21" s="463">
        <v>96.06728724480156</v>
      </c>
      <c r="AB21" s="463">
        <v>96.06728724480156</v>
      </c>
      <c r="AC21" s="463">
        <v>96.06728724480156</v>
      </c>
      <c r="AD21" s="439">
        <f t="shared" si="3"/>
        <v>77.50711970819656</v>
      </c>
      <c r="AE21" s="432">
        <f t="shared" si="4"/>
        <v>76.8314901457002</v>
      </c>
      <c r="AF21" s="432">
        <f t="shared" si="5"/>
        <v>72.20873300494424</v>
      </c>
      <c r="AG21" s="432">
        <f t="shared" si="6"/>
        <v>67.61364590592409</v>
      </c>
      <c r="AH21" s="432">
        <f t="shared" si="7"/>
        <v>58.5632945518374</v>
      </c>
      <c r="AI21" s="432">
        <f t="shared" si="8"/>
        <v>47.37886216370523</v>
      </c>
      <c r="AJ21" s="453">
        <f t="shared" si="9"/>
        <v>39.09660636592676</v>
      </c>
      <c r="AK21" s="433">
        <f t="shared" si="10"/>
        <v>0.45736362260124425</v>
      </c>
      <c r="AL21" s="433">
        <f t="shared" si="11"/>
        <v>0.44533565951931864</v>
      </c>
      <c r="AM21" s="433">
        <f t="shared" si="12"/>
        <v>0.391056131278907</v>
      </c>
      <c r="AN21" s="433">
        <f t="shared" si="13"/>
        <v>0.3313022224894915</v>
      </c>
      <c r="AO21" s="433">
        <f t="shared" si="14"/>
        <v>0.21101695990849859</v>
      </c>
      <c r="AP21" s="433">
        <f t="shared" si="15"/>
        <v>0.10577549052153216</v>
      </c>
      <c r="AQ21" s="433">
        <f t="shared" si="16"/>
        <v>0.062060853266304256</v>
      </c>
      <c r="AR21" s="439">
        <f t="shared" si="17"/>
        <v>2.9520089981762068</v>
      </c>
      <c r="AS21" s="432">
        <f t="shared" si="18"/>
        <v>2.8743756808484484</v>
      </c>
      <c r="AT21" s="432">
        <f t="shared" si="19"/>
        <v>2.524033747506374</v>
      </c>
      <c r="AU21" s="432">
        <f t="shared" si="20"/>
        <v>2.138357957596984</v>
      </c>
      <c r="AV21" s="432">
        <f t="shared" si="21"/>
        <v>1.3619884346612683</v>
      </c>
      <c r="AW21" s="432">
        <f t="shared" si="22"/>
        <v>0.6827176110556187</v>
      </c>
      <c r="AX21" s="432">
        <f t="shared" si="23"/>
        <v>0.40056573855754873</v>
      </c>
      <c r="AY21" s="461">
        <v>2.5022920361925176</v>
      </c>
      <c r="AZ21" s="455">
        <v>2.3159524816274635</v>
      </c>
      <c r="BA21" s="455">
        <v>2.104305696077771</v>
      </c>
      <c r="BB21" s="455">
        <v>1.874279385084026</v>
      </c>
      <c r="BC21" s="455">
        <v>1.4165312231766372</v>
      </c>
      <c r="BD21" s="456">
        <v>1.0177933941475994</v>
      </c>
      <c r="BE21" s="456">
        <v>0.8526878648061333</v>
      </c>
      <c r="BF21" s="439">
        <f t="shared" si="24"/>
        <v>2.0188500576665884</v>
      </c>
      <c r="BG21" s="432">
        <f t="shared" si="25"/>
        <v>1.8685112422773031</v>
      </c>
      <c r="BH21" s="432">
        <f t="shared" si="26"/>
        <v>1.6977545444051805</v>
      </c>
      <c r="BI21" s="432">
        <f t="shared" si="27"/>
        <v>1.5121692392138777</v>
      </c>
      <c r="BJ21" s="432">
        <f t="shared" si="28"/>
        <v>1.142857868000127</v>
      </c>
      <c r="BK21" s="432">
        <f t="shared" si="29"/>
        <v>0.8211560532295388</v>
      </c>
      <c r="BL21" s="453">
        <f t="shared" si="30"/>
        <v>0.6879488565430659</v>
      </c>
      <c r="BM21" s="436">
        <f t="shared" si="31"/>
        <v>9.262774665874822</v>
      </c>
      <c r="BN21" s="436">
        <f t="shared" si="32"/>
        <v>8.06315371717381</v>
      </c>
      <c r="BO21" s="436">
        <f t="shared" si="33"/>
        <v>6.7395783996427525</v>
      </c>
      <c r="BP21" s="436">
        <f t="shared" si="34"/>
        <v>4.069909734444326</v>
      </c>
      <c r="BQ21" s="436">
        <f t="shared" si="35"/>
        <v>1.732369359412237</v>
      </c>
      <c r="BR21" s="436">
        <f t="shared" si="36"/>
        <v>0.7608943201177776</v>
      </c>
      <c r="BS21" s="439">
        <f t="shared" si="37"/>
        <v>15.215820569749763</v>
      </c>
      <c r="BT21" s="432">
        <f t="shared" si="38"/>
        <v>10.97671351669554</v>
      </c>
      <c r="BU21" s="432">
        <f t="shared" si="39"/>
        <v>8.398114508432437</v>
      </c>
      <c r="BV21" s="432">
        <f t="shared" si="40"/>
        <v>4.5196897852800335</v>
      </c>
      <c r="BW21" s="432">
        <f t="shared" si="41"/>
        <v>1.7465861005313341</v>
      </c>
      <c r="BX21" s="453">
        <f t="shared" si="42"/>
        <v>0.7289040402170658</v>
      </c>
      <c r="BY21" s="432">
        <f t="shared" si="50"/>
        <v>-72.53626065235376</v>
      </c>
      <c r="BZ21" s="432">
        <f t="shared" si="43"/>
        <v>-71.996555911859</v>
      </c>
      <c r="CA21" s="432">
        <f t="shared" si="44"/>
        <v>-64.4931559591238</v>
      </c>
      <c r="CB21" s="432">
        <f t="shared" si="45"/>
        <v>-54.48445218544296</v>
      </c>
      <c r="CC21" s="432">
        <f t="shared" si="46"/>
        <v>-33.74599668913756</v>
      </c>
      <c r="CD21" s="432">
        <f t="shared" si="47"/>
        <v>-13.15743995543852</v>
      </c>
      <c r="CE21" s="453">
        <f t="shared" si="48"/>
        <v>-5.841027015783778</v>
      </c>
      <c r="CF21" s="432">
        <f t="shared" si="51"/>
        <v>-76.44997893771091</v>
      </c>
      <c r="CG21" s="432">
        <f t="shared" si="52"/>
        <v>-68.48244825401967</v>
      </c>
      <c r="CH21" s="432">
        <f t="shared" si="53"/>
        <v>-57.85464553483916</v>
      </c>
      <c r="CI21" s="432">
        <f t="shared" si="54"/>
        <v>-35.83339096490975</v>
      </c>
      <c r="CJ21" s="432">
        <f t="shared" si="55"/>
        <v>-13.971307303906531</v>
      </c>
      <c r="CK21" s="432">
        <f t="shared" si="56"/>
        <v>-6.202329912530118</v>
      </c>
      <c r="CL21" s="12">
        <f t="shared" si="57"/>
        <v>2015</v>
      </c>
      <c r="CM21" s="128">
        <f t="shared" si="58"/>
        <v>-63.96311870911323</v>
      </c>
      <c r="CO21" s="532">
        <f t="shared" si="59"/>
        <v>-54.48445218544296</v>
      </c>
      <c r="CP21" s="206">
        <f t="shared" si="60"/>
        <v>10.47577627511772</v>
      </c>
      <c r="CQ21" s="611">
        <f t="shared" si="64"/>
        <v>4.722733679050353</v>
      </c>
      <c r="CR21" s="610">
        <f t="shared" si="65"/>
        <v>50.71115896441248</v>
      </c>
      <c r="CS21" s="532">
        <f t="shared" si="66"/>
        <v>8.45185982740208</v>
      </c>
      <c r="CT21" s="532">
        <f t="shared" si="61"/>
        <v>46.485229050711446</v>
      </c>
      <c r="CU21" s="532">
        <f t="shared" si="62"/>
        <v>4.225929913701037</v>
      </c>
      <c r="CW21" s="625">
        <f t="shared" si="67"/>
        <v>2015</v>
      </c>
      <c r="CX21" s="532">
        <f t="shared" si="68"/>
        <v>-54.48445218544296</v>
      </c>
      <c r="CY21" s="532">
        <v>-6.4882989193960094</v>
      </c>
      <c r="CZ21" s="532">
        <f t="shared" si="69"/>
        <v>-64.74428503838232</v>
      </c>
      <c r="DA21" s="532">
        <f t="shared" si="70"/>
        <v>-33.74599668913756</v>
      </c>
      <c r="DB21" s="532">
        <v>-4.144677183289862</v>
      </c>
      <c r="DC21" s="532">
        <f t="shared" si="71"/>
        <v>-40.234441533968</v>
      </c>
      <c r="DD21" s="532">
        <f t="shared" si="72"/>
        <v>-13.15743995543852</v>
      </c>
      <c r="DE21" s="532">
        <v>-1.6179858072539144</v>
      </c>
      <c r="DF21" s="532">
        <f t="shared" si="73"/>
        <v>-15.68937533257042</v>
      </c>
      <c r="DG21" s="532">
        <f t="shared" si="63"/>
        <v>-19.581985723081832</v>
      </c>
      <c r="DH21" s="633">
        <v>1.36578869819641</v>
      </c>
      <c r="DI21" s="532">
        <f t="shared" si="74"/>
        <v>-5.841027015783778</v>
      </c>
      <c r="DJ21" s="532">
        <v>-0.6620426394494384</v>
      </c>
      <c r="DK21" s="532">
        <f t="shared" si="75"/>
        <v>-6.905323898849946</v>
      </c>
      <c r="DM21" s="206">
        <f t="shared" si="76"/>
        <v>10.47577627511772</v>
      </c>
      <c r="DN21" s="206">
        <v>1.2882087460811489</v>
      </c>
      <c r="DO21" s="206">
        <f t="shared" si="77"/>
        <v>11.76398502119887</v>
      </c>
      <c r="DP21" s="206">
        <f t="shared" si="78"/>
        <v>6.672356272306725</v>
      </c>
      <c r="DQ21" s="206">
        <v>0.8090610216596781</v>
      </c>
      <c r="DR21" s="206">
        <f t="shared" si="79"/>
        <v>7.481417293966404</v>
      </c>
      <c r="DS21" s="206">
        <f t="shared" si="80"/>
        <v>3.3446210102908474</v>
      </c>
      <c r="DT21" s="206">
        <v>0.46379976369988796</v>
      </c>
      <c r="DU21" s="206">
        <f t="shared" si="81"/>
        <v>3.8084207739907354</v>
      </c>
      <c r="DV21" s="206">
        <f t="shared" si="82"/>
        <v>1.9623641802805407</v>
      </c>
      <c r="DW21" s="206">
        <v>0.3422305850606705</v>
      </c>
      <c r="DX21" s="206">
        <f t="shared" si="83"/>
        <v>2.304594765341211</v>
      </c>
    </row>
    <row r="22" spans="1:128" ht="12.75">
      <c r="A22" s="412">
        <v>2016</v>
      </c>
      <c r="B22" s="413">
        <v>4.7822163772583</v>
      </c>
      <c r="C22" s="413">
        <v>4.6655769534227325</v>
      </c>
      <c r="D22" s="441">
        <f t="shared" si="1"/>
        <v>9.34</v>
      </c>
      <c r="E22" s="414">
        <f t="shared" si="1"/>
        <v>7.34</v>
      </c>
      <c r="F22" s="414">
        <f t="shared" si="1"/>
        <v>6.5</v>
      </c>
      <c r="G22" s="414">
        <f t="shared" si="1"/>
        <v>5.34</v>
      </c>
      <c r="H22" s="413">
        <f t="shared" si="1"/>
        <v>4.22</v>
      </c>
      <c r="I22" s="422">
        <f t="shared" si="1"/>
        <v>3.5</v>
      </c>
      <c r="J22" s="443">
        <v>0.0007</v>
      </c>
      <c r="K22" s="444">
        <v>0.035</v>
      </c>
      <c r="L22" s="446">
        <v>0.1097</v>
      </c>
      <c r="M22" s="447">
        <v>0.3203</v>
      </c>
      <c r="N22" s="447">
        <v>0.6403</v>
      </c>
      <c r="O22" s="447">
        <v>0.8007</v>
      </c>
      <c r="P22" s="442">
        <v>15.813327587884867</v>
      </c>
      <c r="Q22" s="448">
        <v>15.414810994246396</v>
      </c>
      <c r="R22" s="449">
        <v>13.525817103491757</v>
      </c>
      <c r="S22" s="459">
        <v>11.445881125199286</v>
      </c>
      <c r="T22" s="449">
        <v>7.258185079192912</v>
      </c>
      <c r="U22" s="450">
        <v>3.593980809679424</v>
      </c>
      <c r="V22" s="450">
        <v>2.0718884304005325</v>
      </c>
      <c r="W22" s="451">
        <v>96.06728724480156</v>
      </c>
      <c r="X22" s="463">
        <v>96.06728724480156</v>
      </c>
      <c r="Y22" s="463">
        <v>96.06728724480156</v>
      </c>
      <c r="Z22" s="463">
        <v>96.06728724480156</v>
      </c>
      <c r="AA22" s="463">
        <v>96.06728724480156</v>
      </c>
      <c r="AB22" s="463">
        <v>96.06728724480156</v>
      </c>
      <c r="AC22" s="463">
        <v>96.06728724480156</v>
      </c>
      <c r="AD22" s="439">
        <f t="shared" si="3"/>
        <v>76.56909239681124</v>
      </c>
      <c r="AE22" s="432">
        <f t="shared" si="4"/>
        <v>75.90163961838824</v>
      </c>
      <c r="AF22" s="432">
        <f t="shared" si="5"/>
        <v>71.33482924056523</v>
      </c>
      <c r="AG22" s="432">
        <f t="shared" si="6"/>
        <v>66.79535402872787</v>
      </c>
      <c r="AH22" s="432">
        <f t="shared" si="7"/>
        <v>57.85453424773702</v>
      </c>
      <c r="AI22" s="432">
        <f t="shared" si="8"/>
        <v>46.80546107669237</v>
      </c>
      <c r="AJ22" s="453">
        <f t="shared" si="9"/>
        <v>38.62344100135391</v>
      </c>
      <c r="AK22" s="433">
        <f t="shared" si="10"/>
        <v>0.500105236808503</v>
      </c>
      <c r="AL22" s="433">
        <f t="shared" si="11"/>
        <v>0.4875019289767994</v>
      </c>
      <c r="AM22" s="433">
        <f t="shared" si="12"/>
        <v>0.42776145172333196</v>
      </c>
      <c r="AN22" s="433">
        <f t="shared" si="13"/>
        <v>0.3619823252751197</v>
      </c>
      <c r="AO22" s="433">
        <f t="shared" si="14"/>
        <v>0.2295441201515785</v>
      </c>
      <c r="AP22" s="433">
        <f t="shared" si="15"/>
        <v>0.11366163218467501</v>
      </c>
      <c r="AQ22" s="433">
        <f t="shared" si="16"/>
        <v>0.06552461829223695</v>
      </c>
      <c r="AR22" s="439">
        <f t="shared" si="17"/>
        <v>3.1888152717576848</v>
      </c>
      <c r="AS22" s="432">
        <f t="shared" si="18"/>
        <v>3.1084529449304834</v>
      </c>
      <c r="AT22" s="432">
        <f t="shared" si="19"/>
        <v>2.727530426654805</v>
      </c>
      <c r="AU22" s="432">
        <f t="shared" si="20"/>
        <v>2.3081037389449577</v>
      </c>
      <c r="AV22" s="432">
        <f t="shared" si="21"/>
        <v>1.4636395342563007</v>
      </c>
      <c r="AW22" s="432">
        <f t="shared" si="22"/>
        <v>0.7247393585326158</v>
      </c>
      <c r="AX22" s="432">
        <f t="shared" si="23"/>
        <v>0.4178038702809791</v>
      </c>
      <c r="AY22" s="461">
        <v>3.7072388037934383</v>
      </c>
      <c r="AZ22" s="455">
        <v>3.504679464146344</v>
      </c>
      <c r="BA22" s="455">
        <v>3.1390807752032295</v>
      </c>
      <c r="BB22" s="455">
        <v>2.7391950268271157</v>
      </c>
      <c r="BC22" s="455">
        <v>1.9388381659951912</v>
      </c>
      <c r="BD22" s="456">
        <v>1.2401149204186668</v>
      </c>
      <c r="BE22" s="456">
        <v>0.9503363170028203</v>
      </c>
      <c r="BF22" s="439">
        <f t="shared" si="24"/>
        <v>2.954803020318075</v>
      </c>
      <c r="BG22" s="432">
        <f t="shared" si="25"/>
        <v>2.7933559217469144</v>
      </c>
      <c r="BH22" s="432">
        <f t="shared" si="26"/>
        <v>2.5019605821189272</v>
      </c>
      <c r="BI22" s="432">
        <f t="shared" si="27"/>
        <v>2.1832372196328533</v>
      </c>
      <c r="BJ22" s="432">
        <f t="shared" si="28"/>
        <v>1.545323938379275</v>
      </c>
      <c r="BK22" s="432">
        <f t="shared" si="29"/>
        <v>0.9884163136847537</v>
      </c>
      <c r="BL22" s="453">
        <f t="shared" si="30"/>
        <v>0.7574523165123704</v>
      </c>
      <c r="BM22" s="436">
        <f t="shared" si="31"/>
        <v>9.17037068925044</v>
      </c>
      <c r="BN22" s="436">
        <f t="shared" si="32"/>
        <v>7.982716969603402</v>
      </c>
      <c r="BO22" s="436">
        <f t="shared" si="33"/>
        <v>6.672345430325997</v>
      </c>
      <c r="BP22" s="436">
        <f t="shared" si="34"/>
        <v>4.029308957945849</v>
      </c>
      <c r="BQ22" s="436">
        <f t="shared" si="35"/>
        <v>1.7150875163828836</v>
      </c>
      <c r="BR22" s="436">
        <f t="shared" si="36"/>
        <v>0.7533037585953406</v>
      </c>
      <c r="BS22" s="439">
        <f t="shared" si="37"/>
        <v>15.064029947720726</v>
      </c>
      <c r="BT22" s="432">
        <f t="shared" si="38"/>
        <v>10.867211556883639</v>
      </c>
      <c r="BU22" s="432">
        <f t="shared" si="39"/>
        <v>8.31433624492949</v>
      </c>
      <c r="BV22" s="432">
        <f t="shared" si="40"/>
        <v>4.474602074055976</v>
      </c>
      <c r="BW22" s="432">
        <f t="shared" si="41"/>
        <v>1.7291624335387052</v>
      </c>
      <c r="BX22" s="453">
        <f t="shared" si="42"/>
        <v>0.7216326086727167</v>
      </c>
      <c r="BY22" s="432">
        <f t="shared" si="50"/>
        <v>-70.42547410473547</v>
      </c>
      <c r="BZ22" s="432">
        <f t="shared" si="43"/>
        <v>-69.93615478301459</v>
      </c>
      <c r="CA22" s="432">
        <f t="shared" si="44"/>
        <v>-63.22826680388078</v>
      </c>
      <c r="CB22" s="432">
        <f t="shared" si="45"/>
        <v>-54.06448004712985</v>
      </c>
      <c r="CC22" s="432">
        <f t="shared" si="46"/>
        <v>-34.881548411231144</v>
      </c>
      <c r="CD22" s="432">
        <f t="shared" si="47"/>
        <v>-14.015585970874042</v>
      </c>
      <c r="CE22" s="453">
        <f t="shared" si="48"/>
        <v>-5.944584375012242</v>
      </c>
      <c r="CF22" s="432">
        <f t="shared" si="51"/>
        <v>-74.26212952035502</v>
      </c>
      <c r="CG22" s="432">
        <f t="shared" si="52"/>
        <v>-67.13931804380167</v>
      </c>
      <c r="CH22" s="432">
        <f t="shared" si="53"/>
        <v>-57.408695576236006</v>
      </c>
      <c r="CI22" s="432">
        <f t="shared" si="54"/>
        <v>-37.03918343841384</v>
      </c>
      <c r="CJ22" s="432">
        <f t="shared" si="55"/>
        <v>-14.882534847705193</v>
      </c>
      <c r="CK22" s="432">
        <f t="shared" si="56"/>
        <v>-6.312292921615626</v>
      </c>
      <c r="CL22" s="12">
        <f t="shared" si="57"/>
        <v>2016</v>
      </c>
      <c r="CM22" s="128">
        <f t="shared" si="58"/>
        <v>-62.304013070150056</v>
      </c>
      <c r="CO22" s="532">
        <f t="shared" si="59"/>
        <v>-54.06448004712985</v>
      </c>
      <c r="CP22" s="206">
        <f t="shared" si="60"/>
        <v>11.445881125199286</v>
      </c>
      <c r="CQ22" s="611">
        <f t="shared" si="64"/>
        <v>4.6655769534227325</v>
      </c>
      <c r="CR22" s="610">
        <f t="shared" si="65"/>
        <v>54.73668016907968</v>
      </c>
      <c r="CS22" s="532">
        <f t="shared" si="66"/>
        <v>9.122780028179946</v>
      </c>
      <c r="CT22" s="532">
        <f t="shared" si="61"/>
        <v>50.17529015498971</v>
      </c>
      <c r="CU22" s="532">
        <f t="shared" si="62"/>
        <v>4.561390014089973</v>
      </c>
      <c r="CW22" s="625">
        <f t="shared" si="67"/>
        <v>2016</v>
      </c>
      <c r="CX22" s="532">
        <f t="shared" si="68"/>
        <v>-54.06448004712985</v>
      </c>
      <c r="CY22" s="532">
        <v>-2.5008941794241157</v>
      </c>
      <c r="CZ22" s="532">
        <f t="shared" si="69"/>
        <v>-60.06428520716896</v>
      </c>
      <c r="DA22" s="532">
        <f t="shared" si="70"/>
        <v>-34.881548411231144</v>
      </c>
      <c r="DB22" s="532">
        <v>-1.7081832285498908</v>
      </c>
      <c r="DC22" s="532">
        <f t="shared" si="71"/>
        <v>-38.85302814515599</v>
      </c>
      <c r="DD22" s="532">
        <f t="shared" si="72"/>
        <v>-14.015585970874042</v>
      </c>
      <c r="DE22" s="532">
        <v>-0.6331819208348062</v>
      </c>
      <c r="DF22" s="532">
        <f t="shared" si="73"/>
        <v>-15.55488290517091</v>
      </c>
      <c r="DG22" s="532">
        <f t="shared" si="63"/>
        <v>-19.756150265975695</v>
      </c>
      <c r="DH22" s="633">
        <v>1.38985025882721</v>
      </c>
      <c r="DI22" s="532">
        <f t="shared" si="74"/>
        <v>-5.944584375012242</v>
      </c>
      <c r="DJ22" s="532">
        <v>-0.17889407959085546</v>
      </c>
      <c r="DK22" s="532">
        <f t="shared" si="75"/>
        <v>-6.502252683490142</v>
      </c>
      <c r="DM22" s="206">
        <f t="shared" si="76"/>
        <v>11.445881125199286</v>
      </c>
      <c r="DN22" s="206">
        <v>1.5409694657212856</v>
      </c>
      <c r="DO22" s="206">
        <f t="shared" si="77"/>
        <v>12.986850590920572</v>
      </c>
      <c r="DP22" s="206">
        <f t="shared" si="78"/>
        <v>7.258185079192912</v>
      </c>
      <c r="DQ22" s="206">
        <v>0.944846167183758</v>
      </c>
      <c r="DR22" s="206">
        <f t="shared" si="79"/>
        <v>8.20303124637667</v>
      </c>
      <c r="DS22" s="206">
        <f t="shared" si="80"/>
        <v>3.593980809679424</v>
      </c>
      <c r="DT22" s="206">
        <v>0.515295384696554</v>
      </c>
      <c r="DU22" s="206">
        <f t="shared" si="81"/>
        <v>4.109276194375978</v>
      </c>
      <c r="DV22" s="206">
        <f t="shared" si="82"/>
        <v>2.0718884304005325</v>
      </c>
      <c r="DW22" s="206">
        <v>0.3640472078249854</v>
      </c>
      <c r="DX22" s="206">
        <f t="shared" si="83"/>
        <v>2.435935638225518</v>
      </c>
    </row>
    <row r="23" spans="1:128" ht="12.75">
      <c r="A23" s="412">
        <v>2017</v>
      </c>
      <c r="B23" s="413">
        <v>4.84901649475098</v>
      </c>
      <c r="C23" s="413">
        <v>4.730747799757054</v>
      </c>
      <c r="D23" s="441">
        <f t="shared" si="1"/>
        <v>9.34</v>
      </c>
      <c r="E23" s="414">
        <f t="shared" si="1"/>
        <v>7.34</v>
      </c>
      <c r="F23" s="414">
        <f t="shared" si="1"/>
        <v>6.5</v>
      </c>
      <c r="G23" s="414">
        <f t="shared" si="1"/>
        <v>5.34</v>
      </c>
      <c r="H23" s="413">
        <f t="shared" si="1"/>
        <v>4.22</v>
      </c>
      <c r="I23" s="422">
        <f t="shared" si="1"/>
        <v>3.5</v>
      </c>
      <c r="J23" s="443">
        <v>0.0007</v>
      </c>
      <c r="K23" s="444">
        <v>0.0367</v>
      </c>
      <c r="L23" s="446">
        <v>0.109</v>
      </c>
      <c r="M23" s="447">
        <v>0.3307</v>
      </c>
      <c r="N23" s="447">
        <v>0.6347</v>
      </c>
      <c r="O23" s="447">
        <v>0.8</v>
      </c>
      <c r="P23" s="442">
        <v>17.164817429118383</v>
      </c>
      <c r="Q23" s="448">
        <v>16.748108434491936</v>
      </c>
      <c r="R23" s="449">
        <v>14.68643933594448</v>
      </c>
      <c r="S23" s="459">
        <v>12.415985975280849</v>
      </c>
      <c r="T23" s="449">
        <v>7.844013886079095</v>
      </c>
      <c r="U23" s="464">
        <v>3.843340609068</v>
      </c>
      <c r="V23" s="464">
        <v>2.1814126805205247</v>
      </c>
      <c r="W23" s="465">
        <v>96.06728724480156</v>
      </c>
      <c r="X23" s="466">
        <v>96.06728724480156</v>
      </c>
      <c r="Y23" s="466">
        <v>96.06728724480156</v>
      </c>
      <c r="Z23" s="466">
        <v>96.06728724480156</v>
      </c>
      <c r="AA23" s="466">
        <v>96.06728724480156</v>
      </c>
      <c r="AB23" s="466">
        <v>96.06728724480156</v>
      </c>
      <c r="AC23" s="466">
        <v>96.06728724480156</v>
      </c>
      <c r="AD23" s="439">
        <f t="shared" si="3"/>
        <v>77.6386434093372</v>
      </c>
      <c r="AE23" s="432">
        <f t="shared" si="4"/>
        <v>76.96186735473802</v>
      </c>
      <c r="AF23" s="432">
        <f t="shared" si="5"/>
        <v>72.33126574587492</v>
      </c>
      <c r="AG23" s="432">
        <f t="shared" si="6"/>
        <v>67.72838113270895</v>
      </c>
      <c r="AH23" s="432">
        <f t="shared" si="7"/>
        <v>58.66267201908746</v>
      </c>
      <c r="AI23" s="432">
        <f t="shared" si="8"/>
        <v>47.45926049783329</v>
      </c>
      <c r="AJ23" s="453">
        <f t="shared" si="9"/>
        <v>39.16295034039833</v>
      </c>
      <c r="AK23" s="433">
        <f t="shared" si="10"/>
        <v>0.5428468510157616</v>
      </c>
      <c r="AL23" s="433">
        <f t="shared" si="11"/>
        <v>0.52966819843428</v>
      </c>
      <c r="AM23" s="433">
        <f t="shared" si="12"/>
        <v>0.46446677216775706</v>
      </c>
      <c r="AN23" s="433">
        <f t="shared" si="13"/>
        <v>0.3926624280607479</v>
      </c>
      <c r="AO23" s="433">
        <f t="shared" si="14"/>
        <v>0.24807128039465828</v>
      </c>
      <c r="AP23" s="433">
        <f t="shared" si="15"/>
        <v>0.12154777384781783</v>
      </c>
      <c r="AQ23" s="433">
        <f t="shared" si="16"/>
        <v>0.06898838331816966</v>
      </c>
      <c r="AR23" s="439">
        <f t="shared" si="17"/>
        <v>3.5096977795987407</v>
      </c>
      <c r="AS23" s="432">
        <f t="shared" si="18"/>
        <v>3.4244931079371455</v>
      </c>
      <c r="AT23" s="432">
        <f t="shared" si="19"/>
        <v>3.0029427193402656</v>
      </c>
      <c r="AU23" s="432">
        <f t="shared" si="20"/>
        <v>2.5387021207140488</v>
      </c>
      <c r="AV23" s="432">
        <f t="shared" si="21"/>
        <v>1.6038689740102579</v>
      </c>
      <c r="AW23" s="432">
        <f t="shared" si="22"/>
        <v>0.7858495470511072</v>
      </c>
      <c r="AX23" s="432">
        <f t="shared" si="23"/>
        <v>0.44603441154134404</v>
      </c>
      <c r="AY23" s="461">
        <v>4.912185571394357</v>
      </c>
      <c r="AZ23" s="455">
        <v>4.693406446665225</v>
      </c>
      <c r="BA23" s="455">
        <v>4.173855854328689</v>
      </c>
      <c r="BB23" s="455">
        <v>3.6041106685702045</v>
      </c>
      <c r="BC23" s="455">
        <v>2.461145108813745</v>
      </c>
      <c r="BD23" s="456">
        <v>1.4624364466897344</v>
      </c>
      <c r="BE23" s="456">
        <v>1.0479847691995074</v>
      </c>
      <c r="BF23" s="439">
        <f t="shared" si="24"/>
        <v>3.969878143494834</v>
      </c>
      <c r="BG23" s="432">
        <f t="shared" si="25"/>
        <v>3.793067546075044</v>
      </c>
      <c r="BH23" s="432">
        <f t="shared" si="26"/>
        <v>3.3731826473921265</v>
      </c>
      <c r="BI23" s="432">
        <f t="shared" si="27"/>
        <v>2.912732013467484</v>
      </c>
      <c r="BJ23" s="432">
        <f t="shared" si="28"/>
        <v>1.989022204768924</v>
      </c>
      <c r="BK23" s="432">
        <f t="shared" si="29"/>
        <v>1.1818964087539223</v>
      </c>
      <c r="BL23" s="453">
        <f t="shared" si="30"/>
        <v>0.8469492386827018</v>
      </c>
      <c r="BM23" s="436">
        <f t="shared" si="31"/>
        <v>9.077966712626058</v>
      </c>
      <c r="BN23" s="436">
        <f t="shared" si="32"/>
        <v>7.902280222032996</v>
      </c>
      <c r="BO23" s="436">
        <f t="shared" si="33"/>
        <v>6.6051124610092415</v>
      </c>
      <c r="BP23" s="436">
        <f t="shared" si="34"/>
        <v>3.988708181447371</v>
      </c>
      <c r="BQ23" s="436">
        <f t="shared" si="35"/>
        <v>1.6978056733535292</v>
      </c>
      <c r="BR23" s="436">
        <f t="shared" si="36"/>
        <v>0.7457131970729038</v>
      </c>
      <c r="BS23" s="439">
        <f t="shared" si="37"/>
        <v>14.912239325691688</v>
      </c>
      <c r="BT23" s="432">
        <f t="shared" si="38"/>
        <v>10.757709597071745</v>
      </c>
      <c r="BU23" s="432">
        <f t="shared" si="39"/>
        <v>8.230557981426545</v>
      </c>
      <c r="BV23" s="432">
        <f t="shared" si="40"/>
        <v>4.4295143628319185</v>
      </c>
      <c r="BW23" s="432">
        <f t="shared" si="41"/>
        <v>1.711738766546075</v>
      </c>
      <c r="BX23" s="453">
        <f t="shared" si="42"/>
        <v>0.7143611771283678</v>
      </c>
      <c r="BY23" s="432">
        <f t="shared" si="50"/>
        <v>-70.15906748624363</v>
      </c>
      <c r="BZ23" s="432">
        <f t="shared" si="43"/>
        <v>-69.67999482604951</v>
      </c>
      <c r="CA23" s="432">
        <f t="shared" si="44"/>
        <v>-62.905774984056386</v>
      </c>
      <c r="CB23" s="432">
        <f t="shared" si="45"/>
        <v>-53.99742263508664</v>
      </c>
      <c r="CC23" s="432">
        <f t="shared" si="46"/>
        <v>-34.20519480380754</v>
      </c>
      <c r="CD23" s="432">
        <f t="shared" si="47"/>
        <v>-14.282681308926678</v>
      </c>
      <c r="CE23" s="453">
        <f t="shared" si="48"/>
        <v>-5.9681174761529245</v>
      </c>
      <c r="CF23" s="432">
        <f t="shared" si="51"/>
        <v>-73.99012451863466</v>
      </c>
      <c r="CG23" s="432">
        <f t="shared" si="52"/>
        <v>-66.7968781517693</v>
      </c>
      <c r="CH23" s="432">
        <f t="shared" si="53"/>
        <v>-57.33749025712885</v>
      </c>
      <c r="CI23" s="432">
        <f t="shared" si="54"/>
        <v>-36.320993264077146</v>
      </c>
      <c r="CJ23" s="432">
        <f t="shared" si="55"/>
        <v>-15.166151650062837</v>
      </c>
      <c r="CK23" s="432">
        <f t="shared" si="56"/>
        <v>-6.337281687588637</v>
      </c>
      <c r="CL23" s="12">
        <f t="shared" si="57"/>
        <v>2017</v>
      </c>
      <c r="CM23" s="128">
        <f t="shared" si="58"/>
        <v>-62.276946998527414</v>
      </c>
      <c r="CO23" s="532">
        <f t="shared" si="59"/>
        <v>-53.99742263508664</v>
      </c>
      <c r="CP23" s="206">
        <f t="shared" si="60"/>
        <v>12.415985975280849</v>
      </c>
      <c r="CQ23" s="611">
        <f t="shared" si="64"/>
        <v>4.730747799757054</v>
      </c>
      <c r="CR23" s="610">
        <f t="shared" si="65"/>
        <v>60.20532079273367</v>
      </c>
      <c r="CS23" s="532">
        <f t="shared" si="66"/>
        <v>10.034220132122279</v>
      </c>
      <c r="CT23" s="532">
        <f t="shared" si="61"/>
        <v>55.18821072667254</v>
      </c>
      <c r="CU23" s="532">
        <f t="shared" si="62"/>
        <v>5.017110066061136</v>
      </c>
      <c r="CW23" s="625">
        <f t="shared" si="67"/>
        <v>2017</v>
      </c>
      <c r="CX23" s="532">
        <f t="shared" si="68"/>
        <v>-53.99742263508664</v>
      </c>
      <c r="CY23" s="532">
        <v>1.558750404292163</v>
      </c>
      <c r="CZ23" s="532">
        <f t="shared" si="69"/>
        <v>-55.682321699855464</v>
      </c>
      <c r="DA23" s="532">
        <f t="shared" si="70"/>
        <v>-34.20519480380754</v>
      </c>
      <c r="DB23" s="532">
        <v>0.9390679319112387</v>
      </c>
      <c r="DC23" s="532">
        <f t="shared" si="71"/>
        <v>-35.32383829317015</v>
      </c>
      <c r="DD23" s="532">
        <f t="shared" si="72"/>
        <v>-14.282681308926678</v>
      </c>
      <c r="DE23" s="532">
        <v>0.4925410279001649</v>
      </c>
      <c r="DF23" s="532">
        <f t="shared" si="73"/>
        <v>-14.64314397654267</v>
      </c>
      <c r="DG23" s="532">
        <f t="shared" si="63"/>
        <v>-18.93822873927551</v>
      </c>
      <c r="DH23" s="633">
        <v>1.41526401042938</v>
      </c>
      <c r="DI23" s="532">
        <f t="shared" si="74"/>
        <v>-5.9681174761529245</v>
      </c>
      <c r="DJ23" s="532">
        <v>0.3353154263898414</v>
      </c>
      <c r="DK23" s="532">
        <f t="shared" si="75"/>
        <v>-5.981224971259371</v>
      </c>
      <c r="DM23" s="206">
        <f t="shared" si="76"/>
        <v>12.415985975280849</v>
      </c>
      <c r="DN23" s="206">
        <v>1.7937301853614223</v>
      </c>
      <c r="DO23" s="206">
        <f t="shared" si="77"/>
        <v>14.209716160642271</v>
      </c>
      <c r="DP23" s="206">
        <f t="shared" si="78"/>
        <v>7.844013886079095</v>
      </c>
      <c r="DQ23" s="206">
        <v>1.0806313127078382</v>
      </c>
      <c r="DR23" s="206">
        <f t="shared" si="79"/>
        <v>8.924645198786934</v>
      </c>
      <c r="DS23" s="206">
        <f t="shared" si="80"/>
        <v>3.843340609068</v>
      </c>
      <c r="DT23" s="206">
        <v>0.5667910056932199</v>
      </c>
      <c r="DU23" s="206">
        <f t="shared" si="81"/>
        <v>4.4101316147612195</v>
      </c>
      <c r="DV23" s="206">
        <f t="shared" si="82"/>
        <v>2.1814126805205247</v>
      </c>
      <c r="DW23" s="206">
        <v>0.3858638305893003</v>
      </c>
      <c r="DX23" s="206">
        <f t="shared" si="83"/>
        <v>2.5672765111098252</v>
      </c>
    </row>
    <row r="24" spans="1:128" ht="12.75">
      <c r="A24" s="412">
        <v>2018</v>
      </c>
      <c r="B24" s="413">
        <v>5.026547260284421</v>
      </c>
      <c r="C24" s="413">
        <v>4.903948546618947</v>
      </c>
      <c r="D24" s="441">
        <f t="shared" si="1"/>
        <v>9.34</v>
      </c>
      <c r="E24" s="414">
        <f t="shared" si="1"/>
        <v>7.34</v>
      </c>
      <c r="F24" s="414">
        <f t="shared" si="1"/>
        <v>6.5</v>
      </c>
      <c r="G24" s="414">
        <f t="shared" si="1"/>
        <v>5.34</v>
      </c>
      <c r="H24" s="413">
        <f t="shared" si="1"/>
        <v>4.22</v>
      </c>
      <c r="I24" s="422">
        <f t="shared" si="1"/>
        <v>3.5</v>
      </c>
      <c r="J24" s="443">
        <v>0.003</v>
      </c>
      <c r="K24" s="444">
        <v>0.0493</v>
      </c>
      <c r="L24" s="446">
        <v>0.135</v>
      </c>
      <c r="M24" s="446">
        <v>0.3707</v>
      </c>
      <c r="N24" s="447">
        <v>0.6507</v>
      </c>
      <c r="O24" s="447">
        <v>0.8223</v>
      </c>
      <c r="P24" s="442">
        <v>18.559248977839957</v>
      </c>
      <c r="Q24" s="448">
        <v>18.123769544020654</v>
      </c>
      <c r="R24" s="449">
        <v>15.883938723437172</v>
      </c>
      <c r="S24" s="459">
        <v>13.416914555910708</v>
      </c>
      <c r="T24" s="449">
        <v>8.448456587421507</v>
      </c>
      <c r="U24" s="464">
        <v>4.100623468799265</v>
      </c>
      <c r="V24" s="464">
        <v>2.29441691115388</v>
      </c>
      <c r="W24" s="465">
        <v>96.06728724480156</v>
      </c>
      <c r="X24" s="466">
        <v>96.06728724480156</v>
      </c>
      <c r="Y24" s="466">
        <v>96.06728724480156</v>
      </c>
      <c r="Z24" s="466">
        <v>96.06728724480156</v>
      </c>
      <c r="AA24" s="466">
        <v>96.06728724480156</v>
      </c>
      <c r="AB24" s="466">
        <v>96.06728724480156</v>
      </c>
      <c r="AC24" s="466">
        <v>96.06728724480156</v>
      </c>
      <c r="AD24" s="439">
        <f t="shared" si="3"/>
        <v>80.48112658388561</v>
      </c>
      <c r="AE24" s="432">
        <f t="shared" si="4"/>
        <v>79.77957260345389</v>
      </c>
      <c r="AF24" s="432">
        <f t="shared" si="5"/>
        <v>74.97943677061119</v>
      </c>
      <c r="AG24" s="432">
        <f t="shared" si="6"/>
        <v>70.20803269995895</v>
      </c>
      <c r="AH24" s="432">
        <f t="shared" si="7"/>
        <v>60.81041251101179</v>
      </c>
      <c r="AI24" s="432">
        <f t="shared" si="8"/>
        <v>49.19682498270394</v>
      </c>
      <c r="AJ24" s="453">
        <f t="shared" si="9"/>
        <v>40.59677275820309</v>
      </c>
      <c r="AK24" s="433">
        <f t="shared" si="10"/>
        <v>0.5869465204882972</v>
      </c>
      <c r="AL24" s="433">
        <f t="shared" si="11"/>
        <v>0.5731742423788948</v>
      </c>
      <c r="AM24" s="433">
        <f t="shared" si="12"/>
        <v>0.502338353049879</v>
      </c>
      <c r="AN24" s="433">
        <f t="shared" si="13"/>
        <v>0.4243173483842729</v>
      </c>
      <c r="AO24" s="433">
        <f t="shared" si="14"/>
        <v>0.2671871153517238</v>
      </c>
      <c r="AP24" s="433">
        <f t="shared" si="15"/>
        <v>0.12968448667929364</v>
      </c>
      <c r="AQ24" s="433">
        <f t="shared" si="16"/>
        <v>0.07256220465382289</v>
      </c>
      <c r="AR24" s="439">
        <f t="shared" si="17"/>
        <v>3.9337525659918984</v>
      </c>
      <c r="AS24" s="432">
        <f t="shared" si="18"/>
        <v>3.8414498902603094</v>
      </c>
      <c r="AT24" s="432">
        <f t="shared" si="19"/>
        <v>3.366703296344876</v>
      </c>
      <c r="AU24" s="432">
        <f t="shared" si="20"/>
        <v>2.8438016066828222</v>
      </c>
      <c r="AV24" s="432">
        <f t="shared" si="21"/>
        <v>1.7907048835393395</v>
      </c>
      <c r="AW24" s="432">
        <f t="shared" si="22"/>
        <v>0.8691536016255932</v>
      </c>
      <c r="AX24" s="432">
        <f t="shared" si="23"/>
        <v>0.48631646800382783</v>
      </c>
      <c r="AY24" s="461">
        <v>6.05877697768028</v>
      </c>
      <c r="AZ24" s="455">
        <v>5.824563589225208</v>
      </c>
      <c r="BA24" s="455">
        <v>5.158516957263856</v>
      </c>
      <c r="BB24" s="455">
        <v>4.4271385969818535</v>
      </c>
      <c r="BC24" s="455">
        <v>2.958156817697448</v>
      </c>
      <c r="BD24" s="456">
        <v>1.6739909803081052</v>
      </c>
      <c r="BE24" s="456">
        <v>1.1409041239264917</v>
      </c>
      <c r="BF24" s="439">
        <f t="shared" si="24"/>
        <v>5.075788136305522</v>
      </c>
      <c r="BG24" s="432">
        <f t="shared" si="25"/>
        <v>4.879574025295392</v>
      </c>
      <c r="BH24" s="432">
        <f t="shared" si="26"/>
        <v>4.321588213110894</v>
      </c>
      <c r="BI24" s="432">
        <f t="shared" si="27"/>
        <v>3.7088702309264248</v>
      </c>
      <c r="BJ24" s="432">
        <f t="shared" si="28"/>
        <v>2.4782191745814646</v>
      </c>
      <c r="BK24" s="432">
        <f t="shared" si="29"/>
        <v>1.4023991293014229</v>
      </c>
      <c r="BL24" s="453">
        <f t="shared" si="30"/>
        <v>0.955801416394984</v>
      </c>
      <c r="BM24" s="436">
        <f t="shared" si="31"/>
        <v>9.077966712626058</v>
      </c>
      <c r="BN24" s="436">
        <f t="shared" si="32"/>
        <v>7.902280222032996</v>
      </c>
      <c r="BO24" s="436">
        <f t="shared" si="33"/>
        <v>6.60511246100924</v>
      </c>
      <c r="BP24" s="436">
        <f t="shared" si="34"/>
        <v>3.9887081814473717</v>
      </c>
      <c r="BQ24" s="436">
        <f t="shared" si="35"/>
        <v>1.6978056733535296</v>
      </c>
      <c r="BR24" s="436">
        <f t="shared" si="36"/>
        <v>0.7457131970729036</v>
      </c>
      <c r="BS24" s="439">
        <f t="shared" si="37"/>
        <v>14.912239325691688</v>
      </c>
      <c r="BT24" s="432">
        <f t="shared" si="38"/>
        <v>10.757709597071745</v>
      </c>
      <c r="BU24" s="432">
        <f t="shared" si="39"/>
        <v>8.230557981426543</v>
      </c>
      <c r="BV24" s="432">
        <f t="shared" si="40"/>
        <v>4.429514362831919</v>
      </c>
      <c r="BW24" s="432">
        <f t="shared" si="41"/>
        <v>1.7117387665460755</v>
      </c>
      <c r="BX24" s="453">
        <f t="shared" si="42"/>
        <v>0.7143611771283674</v>
      </c>
      <c r="BY24" s="432">
        <f t="shared" si="50"/>
        <v>-71.4715858815882</v>
      </c>
      <c r="BZ24" s="432">
        <f t="shared" si="43"/>
        <v>-70.77447325211075</v>
      </c>
      <c r="CA24" s="432">
        <f t="shared" si="44"/>
        <v>-63.064303945228644</v>
      </c>
      <c r="CB24" s="432">
        <f t="shared" si="45"/>
        <v>-53.06615112036266</v>
      </c>
      <c r="CC24" s="432">
        <f t="shared" si="46"/>
        <v>-32.357047560757124</v>
      </c>
      <c r="CD24" s="432">
        <f t="shared" si="47"/>
        <v>-13.799069820139941</v>
      </c>
      <c r="CE24" s="453">
        <f t="shared" si="48"/>
        <v>-5.184509438781219</v>
      </c>
      <c r="CF24" s="432">
        <f t="shared" si="51"/>
        <v>-75.15230306398891</v>
      </c>
      <c r="CG24" s="432">
        <f t="shared" si="52"/>
        <v>-66.96521308931095</v>
      </c>
      <c r="CH24" s="432">
        <f t="shared" si="53"/>
        <v>-56.34861395903066</v>
      </c>
      <c r="CI24" s="432">
        <f t="shared" si="54"/>
        <v>-34.358526920854196</v>
      </c>
      <c r="CJ24" s="432">
        <f t="shared" si="55"/>
        <v>-14.652625861731465</v>
      </c>
      <c r="CK24" s="432">
        <f t="shared" si="56"/>
        <v>-5.505202747231709</v>
      </c>
      <c r="CL24" s="12">
        <f t="shared" si="57"/>
        <v>2018</v>
      </c>
      <c r="CM24" s="128">
        <f t="shared" si="58"/>
        <v>-63.65536086234971</v>
      </c>
      <c r="CO24" s="532">
        <f t="shared" si="59"/>
        <v>-53.06615112036266</v>
      </c>
      <c r="CP24" s="206">
        <f t="shared" si="60"/>
        <v>13.416914555910708</v>
      </c>
      <c r="CQ24" s="611">
        <f t="shared" si="64"/>
        <v>4.903948546618947</v>
      </c>
      <c r="CR24" s="610">
        <f t="shared" si="65"/>
        <v>67.44075510248314</v>
      </c>
      <c r="CS24" s="532">
        <f t="shared" si="66"/>
        <v>11.240125850413856</v>
      </c>
      <c r="CT24" s="532">
        <f t="shared" si="61"/>
        <v>61.82069217727621</v>
      </c>
      <c r="CU24" s="532">
        <f t="shared" si="62"/>
        <v>5.6200629252069305</v>
      </c>
      <c r="CW24" s="625">
        <f t="shared" si="67"/>
        <v>2018</v>
      </c>
      <c r="CX24" s="532">
        <f t="shared" si="68"/>
        <v>-53.06615112036266</v>
      </c>
      <c r="CY24" s="532">
        <v>1.6158189155766887</v>
      </c>
      <c r="CZ24" s="532">
        <f t="shared" si="69"/>
        <v>-54.632846857417874</v>
      </c>
      <c r="DA24" s="532">
        <f t="shared" si="70"/>
        <v>-32.357047560757124</v>
      </c>
      <c r="DB24" s="532">
        <v>0.9734488108009212</v>
      </c>
      <c r="DC24" s="532">
        <f t="shared" si="71"/>
        <v>-33.32486440547252</v>
      </c>
      <c r="DD24" s="532">
        <f t="shared" si="72"/>
        <v>-13.799069820139941</v>
      </c>
      <c r="DE24" s="532">
        <v>0.5105737951292304</v>
      </c>
      <c r="DF24" s="532">
        <f t="shared" si="73"/>
        <v>-14.11046998511477</v>
      </c>
      <c r="DG24" s="532">
        <f t="shared" si="63"/>
        <v>-18.57686889778048</v>
      </c>
      <c r="DH24" s="633">
        <v>1.44066655635834</v>
      </c>
      <c r="DI24" s="532">
        <f t="shared" si="74"/>
        <v>-5.184509438781219</v>
      </c>
      <c r="DJ24" s="532">
        <v>0.34759189614542996</v>
      </c>
      <c r="DK24" s="532">
        <f t="shared" si="75"/>
        <v>-5.136110187140789</v>
      </c>
      <c r="DM24" s="206">
        <f t="shared" si="76"/>
        <v>13.416914555910708</v>
      </c>
      <c r="DN24" s="206">
        <v>1.7937301853614223</v>
      </c>
      <c r="DO24" s="206">
        <f t="shared" si="77"/>
        <v>15.21064474127213</v>
      </c>
      <c r="DP24" s="206">
        <f t="shared" si="78"/>
        <v>8.448456587421507</v>
      </c>
      <c r="DQ24" s="206">
        <v>1.0806313127078382</v>
      </c>
      <c r="DR24" s="206">
        <f t="shared" si="79"/>
        <v>9.529087900129346</v>
      </c>
      <c r="DS24" s="206">
        <f t="shared" si="80"/>
        <v>4.100623468799265</v>
      </c>
      <c r="DT24" s="206">
        <v>0.5667910056932199</v>
      </c>
      <c r="DU24" s="206">
        <f t="shared" si="81"/>
        <v>4.667414474492485</v>
      </c>
      <c r="DV24" s="206">
        <f t="shared" si="82"/>
        <v>2.29441691115388</v>
      </c>
      <c r="DW24" s="206">
        <v>0.3858638305893003</v>
      </c>
      <c r="DX24" s="206">
        <f t="shared" si="83"/>
        <v>2.6802807417431804</v>
      </c>
    </row>
    <row r="25" spans="1:128" ht="12.75">
      <c r="A25" s="412">
        <v>2019</v>
      </c>
      <c r="B25" s="413">
        <v>5.16989643096924</v>
      </c>
      <c r="C25" s="413">
        <v>5.043801396067552</v>
      </c>
      <c r="D25" s="441">
        <f t="shared" si="1"/>
        <v>9.34</v>
      </c>
      <c r="E25" s="414">
        <f t="shared" si="1"/>
        <v>7.34</v>
      </c>
      <c r="F25" s="414">
        <f t="shared" si="1"/>
        <v>6.5</v>
      </c>
      <c r="G25" s="414">
        <f t="shared" si="1"/>
        <v>5.34</v>
      </c>
      <c r="H25" s="413">
        <f t="shared" si="1"/>
        <v>4.22</v>
      </c>
      <c r="I25" s="422">
        <f t="shared" si="1"/>
        <v>3.5</v>
      </c>
      <c r="J25" s="443">
        <v>0.0013</v>
      </c>
      <c r="K25" s="443">
        <v>0.068</v>
      </c>
      <c r="L25" s="443">
        <v>0.1643</v>
      </c>
      <c r="M25" s="443">
        <v>0.4237</v>
      </c>
      <c r="N25" s="443">
        <v>0.6773</v>
      </c>
      <c r="O25" s="443">
        <v>0.828</v>
      </c>
      <c r="P25" s="442">
        <v>19.953680526561524</v>
      </c>
      <c r="Q25" s="448">
        <v>19.499430653549375</v>
      </c>
      <c r="R25" s="449">
        <v>17.081438110929867</v>
      </c>
      <c r="S25" s="459">
        <v>14.41784313654057</v>
      </c>
      <c r="T25" s="449">
        <v>9.052899288763918</v>
      </c>
      <c r="U25" s="464">
        <v>4.357906328530529</v>
      </c>
      <c r="V25" s="464">
        <v>2.4074211417872355</v>
      </c>
      <c r="W25" s="465">
        <v>96.06728724480156</v>
      </c>
      <c r="X25" s="466">
        <v>96.06728724480156</v>
      </c>
      <c r="Y25" s="466">
        <v>96.06728724480156</v>
      </c>
      <c r="Z25" s="466">
        <v>96.06728724480156</v>
      </c>
      <c r="AA25" s="466">
        <v>96.06728724480156</v>
      </c>
      <c r="AB25" s="466">
        <v>96.06728724480156</v>
      </c>
      <c r="AC25" s="466">
        <v>96.06728724480156</v>
      </c>
      <c r="AD25" s="439">
        <f t="shared" si="3"/>
        <v>82.77632090996607</v>
      </c>
      <c r="AE25" s="432">
        <f t="shared" si="4"/>
        <v>82.0547597205939</v>
      </c>
      <c r="AF25" s="432">
        <f t="shared" si="5"/>
        <v>77.11773161256079</v>
      </c>
      <c r="AG25" s="432">
        <f t="shared" si="6"/>
        <v>72.21025465109254</v>
      </c>
      <c r="AH25" s="432">
        <f t="shared" si="7"/>
        <v>62.54462921107763</v>
      </c>
      <c r="AI25" s="432">
        <f t="shared" si="8"/>
        <v>50.599840551127706</v>
      </c>
      <c r="AJ25" s="453">
        <f t="shared" si="9"/>
        <v>41.75452845133055</v>
      </c>
      <c r="AK25" s="433">
        <f t="shared" si="10"/>
        <v>0.6310461899608325</v>
      </c>
      <c r="AL25" s="433">
        <f t="shared" si="11"/>
        <v>0.6166802863235096</v>
      </c>
      <c r="AM25" s="433">
        <f t="shared" si="12"/>
        <v>0.5402099339320008</v>
      </c>
      <c r="AN25" s="433">
        <f t="shared" si="13"/>
        <v>0.4559722687077979</v>
      </c>
      <c r="AO25" s="433">
        <f t="shared" si="14"/>
        <v>0.2863029503087893</v>
      </c>
      <c r="AP25" s="433">
        <f t="shared" si="15"/>
        <v>0.1378211995107694</v>
      </c>
      <c r="AQ25" s="433">
        <f t="shared" si="16"/>
        <v>0.07613602598947614</v>
      </c>
      <c r="AR25" s="439">
        <f t="shared" si="17"/>
        <v>4.34992459367366</v>
      </c>
      <c r="AS25" s="432">
        <f t="shared" si="18"/>
        <v>4.250897615084002</v>
      </c>
      <c r="AT25" s="432">
        <f t="shared" si="19"/>
        <v>3.7237725458789064</v>
      </c>
      <c r="AU25" s="432">
        <f t="shared" si="20"/>
        <v>3.1431058728178556</v>
      </c>
      <c r="AV25" s="432">
        <f t="shared" si="21"/>
        <v>1.9735421346364976</v>
      </c>
      <c r="AW25" s="432">
        <f t="shared" si="22"/>
        <v>0.9500284366168351</v>
      </c>
      <c r="AX25" s="432">
        <f t="shared" si="23"/>
        <v>0.5248204920415653</v>
      </c>
      <c r="AY25" s="461">
        <v>7.205368383966201</v>
      </c>
      <c r="AZ25" s="455">
        <v>6.95572073178519</v>
      </c>
      <c r="BA25" s="455">
        <v>6.143178060199024</v>
      </c>
      <c r="BB25" s="455">
        <v>5.250166525393505</v>
      </c>
      <c r="BC25" s="455">
        <v>3.455168526581151</v>
      </c>
      <c r="BD25" s="456">
        <v>1.885545513926475</v>
      </c>
      <c r="BE25" s="456">
        <v>1.2338234786534759</v>
      </c>
      <c r="BF25" s="439">
        <f t="shared" si="24"/>
        <v>6.208501382014244</v>
      </c>
      <c r="BG25" s="432">
        <f t="shared" si="25"/>
        <v>5.993392631012501</v>
      </c>
      <c r="BH25" s="432">
        <f t="shared" si="26"/>
        <v>5.293265721371912</v>
      </c>
      <c r="BI25" s="432">
        <f t="shared" si="27"/>
        <v>4.523802863604343</v>
      </c>
      <c r="BJ25" s="432">
        <f t="shared" si="28"/>
        <v>2.9771439056615234</v>
      </c>
      <c r="BK25" s="432">
        <f t="shared" si="29"/>
        <v>1.6246791704797574</v>
      </c>
      <c r="BL25" s="453">
        <f t="shared" si="30"/>
        <v>1.0631232664561097</v>
      </c>
      <c r="BM25" s="436">
        <f t="shared" si="31"/>
        <v>9.07796671262606</v>
      </c>
      <c r="BN25" s="436">
        <f t="shared" si="32"/>
        <v>7.902280222032998</v>
      </c>
      <c r="BO25" s="436">
        <f t="shared" si="33"/>
        <v>6.6051124610092415</v>
      </c>
      <c r="BP25" s="436">
        <f t="shared" si="34"/>
        <v>3.9887081814473713</v>
      </c>
      <c r="BQ25" s="436">
        <f t="shared" si="35"/>
        <v>1.6978056733535298</v>
      </c>
      <c r="BR25" s="436">
        <f t="shared" si="36"/>
        <v>0.7457131970729038</v>
      </c>
      <c r="BS25" s="439">
        <f t="shared" si="37"/>
        <v>14.91223932569169</v>
      </c>
      <c r="BT25" s="432">
        <f t="shared" si="38"/>
        <v>10.757709597071747</v>
      </c>
      <c r="BU25" s="432">
        <f t="shared" si="39"/>
        <v>8.230557981426545</v>
      </c>
      <c r="BV25" s="432">
        <f t="shared" si="40"/>
        <v>4.4295143628319185</v>
      </c>
      <c r="BW25" s="432">
        <f t="shared" si="41"/>
        <v>1.711738766546076</v>
      </c>
      <c r="BX25" s="453">
        <f t="shared" si="42"/>
        <v>0.7143611771283678</v>
      </c>
      <c r="BY25" s="432">
        <f t="shared" si="50"/>
        <v>-72.21789493427816</v>
      </c>
      <c r="BZ25" s="432">
        <f t="shared" si="43"/>
        <v>-71.68441237573725</v>
      </c>
      <c r="CA25" s="432">
        <f t="shared" si="44"/>
        <v>-62.125163343054965</v>
      </c>
      <c r="CB25" s="432">
        <f t="shared" si="45"/>
        <v>-51.326920399147454</v>
      </c>
      <c r="CC25" s="432">
        <f t="shared" si="46"/>
        <v>-29.216998538514137</v>
      </c>
      <c r="CD25" s="432">
        <f t="shared" si="47"/>
        <v>-12.594500272170661</v>
      </c>
      <c r="CE25" s="453">
        <f t="shared" si="48"/>
        <v>-5.002344080468893</v>
      </c>
      <c r="CF25" s="432">
        <f t="shared" si="51"/>
        <v>-76.11852743340194</v>
      </c>
      <c r="CG25" s="432">
        <f t="shared" si="52"/>
        <v>-65.96798095304565</v>
      </c>
      <c r="CH25" s="432">
        <f t="shared" si="53"/>
        <v>-54.50180128416462</v>
      </c>
      <c r="CI25" s="432">
        <f t="shared" si="54"/>
        <v>-31.024246849072114</v>
      </c>
      <c r="CJ25" s="432">
        <f t="shared" si="55"/>
        <v>-13.373546391819062</v>
      </c>
      <c r="CK25" s="432">
        <f t="shared" si="56"/>
        <v>-5.311769358234501</v>
      </c>
      <c r="CL25" s="12">
        <f t="shared" si="57"/>
        <v>2019</v>
      </c>
      <c r="CM25" s="128">
        <f t="shared" si="58"/>
        <v>-64.54334591467034</v>
      </c>
      <c r="CO25" s="532">
        <f t="shared" si="59"/>
        <v>-51.326920399147454</v>
      </c>
      <c r="CP25" s="206">
        <f t="shared" si="60"/>
        <v>14.41784313654057</v>
      </c>
      <c r="CQ25" s="611">
        <f t="shared" si="64"/>
        <v>5.043801396067552</v>
      </c>
      <c r="CR25" s="610">
        <f t="shared" si="65"/>
        <v>74.53875577387545</v>
      </c>
      <c r="CS25" s="532">
        <f t="shared" si="66"/>
        <v>12.423125962312575</v>
      </c>
      <c r="CT25" s="532">
        <f t="shared" si="61"/>
        <v>68.32719279271916</v>
      </c>
      <c r="CU25" s="532">
        <f t="shared" si="62"/>
        <v>6.211562981156291</v>
      </c>
      <c r="CW25" s="625">
        <f t="shared" si="67"/>
        <v>2019</v>
      </c>
      <c r="CX25" s="532">
        <f t="shared" si="68"/>
        <v>-51.326920399147454</v>
      </c>
      <c r="CY25" s="532">
        <v>1.6618995131580303</v>
      </c>
      <c r="CZ25" s="532">
        <f t="shared" si="69"/>
        <v>-52.73710322092579</v>
      </c>
      <c r="DA25" s="532">
        <f t="shared" si="70"/>
        <v>-29.216998538514137</v>
      </c>
      <c r="DB25" s="532">
        <v>1.0012100298856375</v>
      </c>
      <c r="DC25" s="532">
        <f t="shared" si="71"/>
        <v>-29.96110591507121</v>
      </c>
      <c r="DD25" s="532">
        <f t="shared" si="72"/>
        <v>-12.594500272170661</v>
      </c>
      <c r="DE25" s="532">
        <v>0.5251345515123377</v>
      </c>
      <c r="DF25" s="532">
        <f t="shared" si="73"/>
        <v>-12.815929087850641</v>
      </c>
      <c r="DG25" s="532">
        <f t="shared" si="63"/>
        <v>-17.186939434182857</v>
      </c>
      <c r="DH25" s="633">
        <v>1.46750938892365</v>
      </c>
      <c r="DI25" s="532">
        <f t="shared" si="74"/>
        <v>-5.002344080468893</v>
      </c>
      <c r="DJ25" s="532">
        <v>0.35750466677486437</v>
      </c>
      <c r="DK25" s="532">
        <f t="shared" si="75"/>
        <v>-4.932150862614631</v>
      </c>
      <c r="DM25" s="206">
        <f t="shared" si="76"/>
        <v>14.41784313654057</v>
      </c>
      <c r="DN25" s="206">
        <v>1.7937301853614223</v>
      </c>
      <c r="DO25" s="206">
        <f t="shared" si="77"/>
        <v>16.211573321901994</v>
      </c>
      <c r="DP25" s="206">
        <f t="shared" si="78"/>
        <v>9.052899288763918</v>
      </c>
      <c r="DQ25" s="206">
        <v>1.0806313127078382</v>
      </c>
      <c r="DR25" s="206">
        <f t="shared" si="79"/>
        <v>10.133530601471756</v>
      </c>
      <c r="DS25" s="206">
        <f t="shared" si="80"/>
        <v>4.357906328530529</v>
      </c>
      <c r="DT25" s="206">
        <v>0.5667910056932199</v>
      </c>
      <c r="DU25" s="206">
        <f t="shared" si="81"/>
        <v>4.924697334223749</v>
      </c>
      <c r="DV25" s="206">
        <f t="shared" si="82"/>
        <v>2.4074211417872355</v>
      </c>
      <c r="DW25" s="206">
        <v>0.3858638305893003</v>
      </c>
      <c r="DX25" s="206">
        <f t="shared" si="83"/>
        <v>2.7932849723765356</v>
      </c>
    </row>
    <row r="26" spans="1:128" ht="12.75">
      <c r="A26" s="421">
        <v>2020</v>
      </c>
      <c r="B26" s="422">
        <v>5.218754119873051</v>
      </c>
      <c r="C26" s="422">
        <v>5.091467434022489</v>
      </c>
      <c r="D26" s="423">
        <f t="shared" si="1"/>
        <v>9.34</v>
      </c>
      <c r="E26" s="414">
        <f t="shared" si="1"/>
        <v>7.34</v>
      </c>
      <c r="F26" s="414">
        <f t="shared" si="1"/>
        <v>6.5</v>
      </c>
      <c r="G26" s="414">
        <f t="shared" si="1"/>
        <v>5.34</v>
      </c>
      <c r="H26" s="413">
        <f t="shared" si="1"/>
        <v>4.22</v>
      </c>
      <c r="I26" s="422">
        <f t="shared" si="1"/>
        <v>3.5</v>
      </c>
      <c r="J26" s="443">
        <v>0.0053</v>
      </c>
      <c r="K26" s="443">
        <v>0.0717</v>
      </c>
      <c r="L26" s="443">
        <v>0.1877</v>
      </c>
      <c r="M26" s="443">
        <v>0.433</v>
      </c>
      <c r="N26" s="443">
        <v>0.6987</v>
      </c>
      <c r="O26" s="443">
        <v>0.8437</v>
      </c>
      <c r="P26" s="442">
        <v>21.348112075283094</v>
      </c>
      <c r="Q26" s="448">
        <v>20.875091763078085</v>
      </c>
      <c r="R26" s="449">
        <v>18.27893749842256</v>
      </c>
      <c r="S26" s="459">
        <v>15.418771717170431</v>
      </c>
      <c r="T26" s="449">
        <v>9.657341990106328</v>
      </c>
      <c r="U26" s="464">
        <v>4.615189188261794</v>
      </c>
      <c r="V26" s="464">
        <v>2.5204253724205907</v>
      </c>
      <c r="W26" s="465">
        <v>96.06728724480156</v>
      </c>
      <c r="X26" s="466">
        <v>96.06728724480156</v>
      </c>
      <c r="Y26" s="466">
        <v>96.06728724480156</v>
      </c>
      <c r="Z26" s="466">
        <v>96.06728724480156</v>
      </c>
      <c r="AA26" s="466">
        <v>96.06728724480156</v>
      </c>
      <c r="AB26" s="466">
        <v>96.06728724480156</v>
      </c>
      <c r="AC26" s="466">
        <v>96.06728724480156</v>
      </c>
      <c r="AD26" s="439">
        <f t="shared" si="3"/>
        <v>83.55859184897265</v>
      </c>
      <c r="AE26" s="432">
        <f t="shared" si="4"/>
        <v>82.83021160382516</v>
      </c>
      <c r="AF26" s="432">
        <f t="shared" si="5"/>
        <v>77.84652651017689</v>
      </c>
      <c r="AG26" s="432">
        <f t="shared" si="6"/>
        <v>72.89267183381868</v>
      </c>
      <c r="AH26" s="432">
        <f t="shared" si="7"/>
        <v>63.13570218079785</v>
      </c>
      <c r="AI26" s="432">
        <f t="shared" si="8"/>
        <v>51.078030259807406</v>
      </c>
      <c r="AJ26" s="453">
        <f t="shared" si="9"/>
        <v>42.149126252009886</v>
      </c>
      <c r="AK26" s="433">
        <f t="shared" si="10"/>
        <v>0.6751458594333679</v>
      </c>
      <c r="AL26" s="433">
        <f t="shared" si="11"/>
        <v>0.6601863302681241</v>
      </c>
      <c r="AM26" s="433">
        <f t="shared" si="12"/>
        <v>0.5780815148141227</v>
      </c>
      <c r="AN26" s="433">
        <f t="shared" si="13"/>
        <v>0.4876271890313229</v>
      </c>
      <c r="AO26" s="433">
        <f t="shared" si="14"/>
        <v>0.30541878526585475</v>
      </c>
      <c r="AP26" s="433">
        <f t="shared" si="15"/>
        <v>0.1459579123422452</v>
      </c>
      <c r="AQ26" s="433">
        <f t="shared" si="16"/>
        <v>0.07970984732512937</v>
      </c>
      <c r="AR26" s="439">
        <f t="shared" si="17"/>
        <v>4.69789364724416</v>
      </c>
      <c r="AS26" s="432">
        <f t="shared" si="18"/>
        <v>4.593800174627524</v>
      </c>
      <c r="AT26" s="432">
        <f t="shared" si="19"/>
        <v>4.022487049411542</v>
      </c>
      <c r="AU26" s="432">
        <f t="shared" si="20"/>
        <v>3.3930752022924415</v>
      </c>
      <c r="AV26" s="432">
        <f t="shared" si="21"/>
        <v>2.1252073918570695</v>
      </c>
      <c r="AW26" s="432">
        <f t="shared" si="22"/>
        <v>1.015624608485549</v>
      </c>
      <c r="AX26" s="432">
        <f t="shared" si="23"/>
        <v>0.5546481254966277</v>
      </c>
      <c r="AY26" s="454">
        <v>8.351959790252122</v>
      </c>
      <c r="AZ26" s="455">
        <v>8.086877874345172</v>
      </c>
      <c r="BA26" s="455">
        <v>7.127839163134193</v>
      </c>
      <c r="BB26" s="455">
        <v>6.073194453805155</v>
      </c>
      <c r="BC26" s="455">
        <v>3.9521802354648545</v>
      </c>
      <c r="BD26" s="456">
        <v>2.097100047544846</v>
      </c>
      <c r="BE26" s="456">
        <v>1.32674283338046</v>
      </c>
      <c r="BF26" s="439">
        <f t="shared" si="24"/>
        <v>7.2644707607320536</v>
      </c>
      <c r="BG26" s="432">
        <f t="shared" si="25"/>
        <v>7.033904537274847</v>
      </c>
      <c r="BH26" s="432">
        <f t="shared" si="26"/>
        <v>6.199739999733174</v>
      </c>
      <c r="BI26" s="432">
        <f t="shared" si="27"/>
        <v>5.2824180960976355</v>
      </c>
      <c r="BJ26" s="432">
        <f t="shared" si="28"/>
        <v>3.437576147718842</v>
      </c>
      <c r="BK26" s="432">
        <f t="shared" si="29"/>
        <v>1.824041585485106</v>
      </c>
      <c r="BL26" s="453">
        <f t="shared" si="30"/>
        <v>1.1539907712860533</v>
      </c>
      <c r="BM26" s="436">
        <f t="shared" si="31"/>
        <v>9.077966712626056</v>
      </c>
      <c r="BN26" s="436">
        <f t="shared" si="32"/>
        <v>7.902280222032998</v>
      </c>
      <c r="BO26" s="436">
        <f t="shared" si="33"/>
        <v>6.605112461009241</v>
      </c>
      <c r="BP26" s="436">
        <f t="shared" si="34"/>
        <v>3.9887081814473704</v>
      </c>
      <c r="BQ26" s="436">
        <f t="shared" si="35"/>
        <v>1.6978056733535296</v>
      </c>
      <c r="BR26" s="436">
        <f t="shared" si="36"/>
        <v>0.7457131970729036</v>
      </c>
      <c r="BS26" s="439">
        <f t="shared" si="37"/>
        <v>14.912239325691687</v>
      </c>
      <c r="BT26" s="432">
        <f t="shared" si="38"/>
        <v>10.757709597071747</v>
      </c>
      <c r="BU26" s="432">
        <f t="shared" si="39"/>
        <v>8.230557981426543</v>
      </c>
      <c r="BV26" s="432">
        <f t="shared" si="40"/>
        <v>4.429514362831918</v>
      </c>
      <c r="BW26" s="432">
        <f t="shared" si="41"/>
        <v>1.7117387665460755</v>
      </c>
      <c r="BX26" s="453">
        <f t="shared" si="42"/>
        <v>0.7143611771283674</v>
      </c>
      <c r="BY26" s="432">
        <f t="shared" si="50"/>
        <v>-71.59622744099644</v>
      </c>
      <c r="BZ26" s="432">
        <f t="shared" si="43"/>
        <v>-70.68447190199636</v>
      </c>
      <c r="CA26" s="432">
        <f t="shared" si="44"/>
        <v>-61.271375732142445</v>
      </c>
      <c r="CB26" s="432">
        <f t="shared" si="45"/>
        <v>-48.990348299107076</v>
      </c>
      <c r="CC26" s="432">
        <f t="shared" si="46"/>
        <v>-28.31717987783025</v>
      </c>
      <c r="CD26" s="432">
        <f t="shared" si="47"/>
        <v>-11.354152447123575</v>
      </c>
      <c r="CE26" s="453">
        <f t="shared" si="48"/>
        <v>-4.27656301126326</v>
      </c>
      <c r="CF26" s="432">
        <f t="shared" si="51"/>
        <v>-75.05673458528231</v>
      </c>
      <c r="CG26" s="432">
        <f t="shared" si="52"/>
        <v>-65.06138140748615</v>
      </c>
      <c r="CH26" s="432">
        <f t="shared" si="53"/>
        <v>-52.02069804843183</v>
      </c>
      <c r="CI26" s="432">
        <f t="shared" si="54"/>
        <v>-30.068768954528668</v>
      </c>
      <c r="CJ26" s="432">
        <f t="shared" si="55"/>
        <v>-12.056475541702659</v>
      </c>
      <c r="CK26" s="432">
        <f t="shared" si="56"/>
        <v>-4.541094334250187</v>
      </c>
      <c r="CL26" s="12">
        <f t="shared" si="57"/>
        <v>2020</v>
      </c>
      <c r="CM26" s="128">
        <f t="shared" si="58"/>
        <v>-64.21717853542862</v>
      </c>
      <c r="CO26" s="532">
        <f t="shared" si="59"/>
        <v>-48.990348299107076</v>
      </c>
      <c r="CP26" s="206">
        <f t="shared" si="60"/>
        <v>15.418771717170431</v>
      </c>
      <c r="CQ26" s="611">
        <f t="shared" si="64"/>
        <v>5.091467434022489</v>
      </c>
      <c r="CR26" s="610">
        <f t="shared" si="65"/>
        <v>80.46677842236527</v>
      </c>
      <c r="CS26" s="532">
        <f t="shared" si="66"/>
        <v>13.411129737060877</v>
      </c>
      <c r="CT26" s="532">
        <f t="shared" si="61"/>
        <v>73.76121355383482</v>
      </c>
      <c r="CU26" s="532">
        <f t="shared" si="62"/>
        <v>6.705564868530445</v>
      </c>
      <c r="CW26" s="625">
        <f t="shared" si="67"/>
        <v>2020</v>
      </c>
      <c r="CX26" s="532">
        <f t="shared" si="68"/>
        <v>-48.990348299107076</v>
      </c>
      <c r="CY26" s="532">
        <v>1.6776051603576294</v>
      </c>
      <c r="CZ26" s="532">
        <f t="shared" si="69"/>
        <v>-50.23932284859383</v>
      </c>
      <c r="DA26" s="532">
        <f t="shared" si="70"/>
        <v>-28.31717987783025</v>
      </c>
      <c r="DB26" s="532">
        <v>1.0106718844548124</v>
      </c>
      <c r="DC26" s="532">
        <f t="shared" si="71"/>
        <v>-28.99558089294835</v>
      </c>
      <c r="DD26" s="532">
        <f t="shared" si="72"/>
        <v>-11.354152447123575</v>
      </c>
      <c r="DE26" s="532">
        <v>0.5300972932022368</v>
      </c>
      <c r="DF26" s="532">
        <f t="shared" si="73"/>
        <v>-11.493588520414278</v>
      </c>
      <c r="DG26" s="532">
        <f t="shared" si="63"/>
        <v>-15.697689396335264</v>
      </c>
      <c r="DH26" s="633">
        <v>1.49455714225769</v>
      </c>
      <c r="DI26" s="532">
        <f t="shared" si="74"/>
        <v>-4.27656301126326</v>
      </c>
      <c r="DJ26" s="532">
        <v>0.36088323577023435</v>
      </c>
      <c r="DK26" s="532">
        <f t="shared" si="75"/>
        <v>-4.15788828468049</v>
      </c>
      <c r="DM26" s="206">
        <f t="shared" si="76"/>
        <v>15.418771717170431</v>
      </c>
      <c r="DN26" s="206">
        <v>1.7937301853614223</v>
      </c>
      <c r="DO26" s="206">
        <f t="shared" si="77"/>
        <v>17.212501902531855</v>
      </c>
      <c r="DP26" s="206">
        <f t="shared" si="78"/>
        <v>9.657341990106328</v>
      </c>
      <c r="DQ26" s="206">
        <v>1.0806313127078382</v>
      </c>
      <c r="DR26" s="206">
        <f t="shared" si="79"/>
        <v>10.737973302814167</v>
      </c>
      <c r="DS26" s="206">
        <f t="shared" si="80"/>
        <v>4.615189188261794</v>
      </c>
      <c r="DT26" s="206">
        <v>0.5667910056932199</v>
      </c>
      <c r="DU26" s="206">
        <f t="shared" si="81"/>
        <v>5.181980193955013</v>
      </c>
      <c r="DV26" s="206">
        <f t="shared" si="82"/>
        <v>2.5204253724205907</v>
      </c>
      <c r="DW26" s="206">
        <v>0.3858638305893003</v>
      </c>
      <c r="DX26" s="206">
        <f t="shared" si="83"/>
        <v>2.906289203009891</v>
      </c>
    </row>
    <row r="27" spans="1:128" ht="12.75">
      <c r="A27" s="412">
        <v>2021</v>
      </c>
      <c r="B27" s="413">
        <v>5.353616065979001</v>
      </c>
      <c r="C27" s="423">
        <v>5.223040064369757</v>
      </c>
      <c r="D27" s="423">
        <f aca="true" t="shared" si="84" ref="D27:I50">D26</f>
        <v>9.34</v>
      </c>
      <c r="E27" s="413">
        <f t="shared" si="84"/>
        <v>7.34</v>
      </c>
      <c r="F27" s="423">
        <f t="shared" si="84"/>
        <v>6.5</v>
      </c>
      <c r="G27" s="414">
        <f t="shared" si="84"/>
        <v>5.34</v>
      </c>
      <c r="H27" s="413">
        <f t="shared" si="84"/>
        <v>4.22</v>
      </c>
      <c r="I27" s="422">
        <f t="shared" si="84"/>
        <v>3.5</v>
      </c>
      <c r="J27" s="443">
        <v>0.006</v>
      </c>
      <c r="K27" s="443">
        <v>0.0903</v>
      </c>
      <c r="L27" s="443">
        <v>0.2103</v>
      </c>
      <c r="M27" s="443">
        <v>0.4763</v>
      </c>
      <c r="N27" s="443">
        <v>0.718</v>
      </c>
      <c r="O27" s="443">
        <v>0.86</v>
      </c>
      <c r="P27" s="442">
        <v>22.216619811275613</v>
      </c>
      <c r="Q27" s="448">
        <v>21.868957897418404</v>
      </c>
      <c r="R27" s="449">
        <v>19.094641910726846</v>
      </c>
      <c r="S27" s="459">
        <v>16.037905322611884</v>
      </c>
      <c r="T27" s="449">
        <v>9.879989716260333</v>
      </c>
      <c r="U27" s="464">
        <v>4.490677072804649</v>
      </c>
      <c r="V27" s="464">
        <v>2.251634627865538</v>
      </c>
      <c r="W27" s="465">
        <v>96.06728724480156</v>
      </c>
      <c r="X27" s="466">
        <v>96.06728724480156</v>
      </c>
      <c r="Y27" s="466">
        <v>96.06728724480156</v>
      </c>
      <c r="Z27" s="466">
        <v>96.06728724480156</v>
      </c>
      <c r="AA27" s="466">
        <v>96.06728724480156</v>
      </c>
      <c r="AB27" s="466">
        <v>96.06728724480156</v>
      </c>
      <c r="AC27" s="466">
        <v>96.06728724480156</v>
      </c>
      <c r="AD27" s="439">
        <f t="shared" si="3"/>
        <v>85.71789540146486</v>
      </c>
      <c r="AE27" s="432">
        <f t="shared" si="4"/>
        <v>84.97069250725029</v>
      </c>
      <c r="AF27" s="432">
        <f t="shared" si="5"/>
        <v>79.85822007182072</v>
      </c>
      <c r="AG27" s="432">
        <f t="shared" si="6"/>
        <v>74.77634892504948</v>
      </c>
      <c r="AH27" s="432">
        <f t="shared" si="7"/>
        <v>64.76724171481122</v>
      </c>
      <c r="AI27" s="432">
        <f t="shared" si="8"/>
        <v>52.39797797258905</v>
      </c>
      <c r="AJ27" s="453">
        <f t="shared" si="9"/>
        <v>43.23833510577931</v>
      </c>
      <c r="AK27" s="433">
        <f t="shared" si="10"/>
        <v>0.7026128972572933</v>
      </c>
      <c r="AL27" s="433">
        <f t="shared" si="11"/>
        <v>0.6916178968190514</v>
      </c>
      <c r="AM27" s="433">
        <f t="shared" si="12"/>
        <v>0.6038786183025567</v>
      </c>
      <c r="AN27" s="433">
        <f t="shared" si="13"/>
        <v>0.5072076319611601</v>
      </c>
      <c r="AO27" s="433">
        <f t="shared" si="14"/>
        <v>0.3124601428292325</v>
      </c>
      <c r="AP27" s="433">
        <f t="shared" si="15"/>
        <v>0.1420201477800332</v>
      </c>
      <c r="AQ27" s="433">
        <f t="shared" si="16"/>
        <v>0.07120919126709481</v>
      </c>
      <c r="AR27" s="439">
        <f t="shared" si="17"/>
        <v>5.015359593227597</v>
      </c>
      <c r="AS27" s="432">
        <f t="shared" si="18"/>
        <v>4.936875578572107</v>
      </c>
      <c r="AT27" s="432">
        <f t="shared" si="19"/>
        <v>4.3105790304610245</v>
      </c>
      <c r="AU27" s="432">
        <f t="shared" si="20"/>
        <v>3.6205265696725744</v>
      </c>
      <c r="AV27" s="432">
        <f t="shared" si="21"/>
        <v>2.2303888541715633</v>
      </c>
      <c r="AW27" s="432">
        <f t="shared" si="22"/>
        <v>1.01376179313053</v>
      </c>
      <c r="AX27" s="432">
        <f t="shared" si="23"/>
        <v>0.5083022272171871</v>
      </c>
      <c r="AY27" s="454">
        <v>9.066102773674178</v>
      </c>
      <c r="AZ27" s="455">
        <v>8.904098604669278</v>
      </c>
      <c r="BA27" s="455">
        <v>7.798563853833481</v>
      </c>
      <c r="BB27" s="455">
        <v>6.582285969980924</v>
      </c>
      <c r="BC27" s="455">
        <v>4.135255532112676</v>
      </c>
      <c r="BD27" s="456">
        <v>1.994718168927333</v>
      </c>
      <c r="BE27" s="456">
        <v>1.1057257758715613</v>
      </c>
      <c r="BF27" s="439">
        <f t="shared" si="24"/>
        <v>8.089405577493142</v>
      </c>
      <c r="BG27" s="432">
        <f t="shared" si="25"/>
        <v>7.944854223836441</v>
      </c>
      <c r="BH27" s="432">
        <f t="shared" si="26"/>
        <v>6.9584194565743385</v>
      </c>
      <c r="BI27" s="432">
        <f t="shared" si="27"/>
        <v>5.87317198662634</v>
      </c>
      <c r="BJ27" s="432">
        <f t="shared" si="28"/>
        <v>3.6897617422744933</v>
      </c>
      <c r="BK27" s="432">
        <f t="shared" si="29"/>
        <v>1.7798258727115972</v>
      </c>
      <c r="BL27" s="453">
        <f t="shared" si="30"/>
        <v>0.9866052130455143</v>
      </c>
      <c r="BM27" s="436">
        <f t="shared" si="31"/>
        <v>9.07796671262606</v>
      </c>
      <c r="BN27" s="436">
        <f t="shared" si="32"/>
        <v>7.902280222032997</v>
      </c>
      <c r="BO27" s="436">
        <f t="shared" si="33"/>
        <v>6.605112461009241</v>
      </c>
      <c r="BP27" s="436">
        <f t="shared" si="34"/>
        <v>3.988708181447371</v>
      </c>
      <c r="BQ27" s="436">
        <f t="shared" si="35"/>
        <v>1.6978056733535298</v>
      </c>
      <c r="BR27" s="436">
        <f t="shared" si="36"/>
        <v>0.7457131970729038</v>
      </c>
      <c r="BS27" s="439">
        <f t="shared" si="37"/>
        <v>14.91223932569169</v>
      </c>
      <c r="BT27" s="432">
        <f t="shared" si="38"/>
        <v>10.757709597071745</v>
      </c>
      <c r="BU27" s="432">
        <f t="shared" si="39"/>
        <v>8.230557981426543</v>
      </c>
      <c r="BV27" s="432">
        <f t="shared" si="40"/>
        <v>4.4295143628319185</v>
      </c>
      <c r="BW27" s="432">
        <f t="shared" si="41"/>
        <v>1.711738766546076</v>
      </c>
      <c r="BX27" s="453">
        <f t="shared" si="42"/>
        <v>0.7143611771283678</v>
      </c>
      <c r="BY27" s="432">
        <f t="shared" si="50"/>
        <v>-72.61313023074412</v>
      </c>
      <c r="BZ27" s="432">
        <f t="shared" si="43"/>
        <v>-71.48966511384408</v>
      </c>
      <c r="CA27" s="432">
        <f t="shared" si="44"/>
        <v>-60.40660313568436</v>
      </c>
      <c r="CB27" s="432">
        <f t="shared" si="45"/>
        <v>-47.82629784631866</v>
      </c>
      <c r="CC27" s="432">
        <f t="shared" si="46"/>
        <v>-25.88867619858374</v>
      </c>
      <c r="CD27" s="432">
        <f t="shared" si="47"/>
        <v>-10.753613688047903</v>
      </c>
      <c r="CE27" s="453">
        <f t="shared" si="48"/>
        <v>-3.944108862216007</v>
      </c>
      <c r="CF27" s="432">
        <f t="shared" si="51"/>
        <v>-75.91173387388588</v>
      </c>
      <c r="CG27" s="432">
        <f t="shared" si="52"/>
        <v>-64.1431173884952</v>
      </c>
      <c r="CH27" s="432">
        <f t="shared" si="53"/>
        <v>-50.78464402513863</v>
      </c>
      <c r="CI27" s="432">
        <f t="shared" si="54"/>
        <v>-27.490047614637913</v>
      </c>
      <c r="CJ27" s="432">
        <f t="shared" si="55"/>
        <v>-11.418789823252176</v>
      </c>
      <c r="CK27" s="432">
        <f t="shared" si="56"/>
        <v>-4.188075882596299</v>
      </c>
      <c r="CL27" s="12">
        <f t="shared" si="57"/>
        <v>2021</v>
      </c>
      <c r="CM27" s="128">
        <f t="shared" si="58"/>
        <v>-65.28265036875055</v>
      </c>
      <c r="CO27" s="532">
        <f t="shared" si="59"/>
        <v>-47.82629784631866</v>
      </c>
      <c r="CP27" s="206">
        <f t="shared" si="60"/>
        <v>16.037905322611884</v>
      </c>
      <c r="CQ27" s="611">
        <f t="shared" si="64"/>
        <v>5.223040064369757</v>
      </c>
      <c r="CR27" s="610">
        <f t="shared" si="65"/>
        <v>85.86078759978511</v>
      </c>
      <c r="CS27" s="532">
        <f t="shared" si="66"/>
        <v>14.31013126663085</v>
      </c>
      <c r="CT27" s="532">
        <f t="shared" si="61"/>
        <v>78.70572196646968</v>
      </c>
      <c r="CU27" s="532">
        <f t="shared" si="62"/>
        <v>7.155065633315431</v>
      </c>
      <c r="CW27" s="625">
        <f t="shared" si="67"/>
        <v>2021</v>
      </c>
      <c r="CX27" s="532">
        <f t="shared" si="68"/>
        <v>-47.82629784631866</v>
      </c>
      <c r="CY27" s="532">
        <v>1.478349678902742</v>
      </c>
      <c r="CZ27" s="532">
        <f t="shared" si="69"/>
        <v>-49.21484946506204</v>
      </c>
      <c r="DA27" s="532">
        <f t="shared" si="70"/>
        <v>-25.88867619858374</v>
      </c>
      <c r="DB27" s="532">
        <v>0.7941816535855841</v>
      </c>
      <c r="DC27" s="532">
        <f t="shared" si="71"/>
        <v>-26.64674101586582</v>
      </c>
      <c r="DD27" s="532">
        <f t="shared" si="72"/>
        <v>-10.753613688047903</v>
      </c>
      <c r="DE27" s="532">
        <v>0.3011881548434616</v>
      </c>
      <c r="DF27" s="532">
        <f t="shared" si="73"/>
        <v>-11.09897135690415</v>
      </c>
      <c r="DG27" s="532">
        <f t="shared" si="63"/>
        <v>-15.44808695488472</v>
      </c>
      <c r="DH27" s="633">
        <v>1.52308595180511</v>
      </c>
      <c r="DI27" s="532">
        <f t="shared" si="74"/>
        <v>-3.944108862216007</v>
      </c>
      <c r="DJ27" s="532">
        <v>0.12760130333655506</v>
      </c>
      <c r="DK27" s="532">
        <f t="shared" si="75"/>
        <v>-4.052581665838948</v>
      </c>
      <c r="DM27" s="206">
        <f t="shared" si="76"/>
        <v>16.037905322611884</v>
      </c>
      <c r="DN27" s="206">
        <v>1.5408634288698837</v>
      </c>
      <c r="DO27" s="206">
        <f t="shared" si="77"/>
        <v>17.578768751481768</v>
      </c>
      <c r="DP27" s="206">
        <f t="shared" si="78"/>
        <v>9.879989716260333</v>
      </c>
      <c r="DQ27" s="206">
        <v>0.8277645562162996</v>
      </c>
      <c r="DR27" s="206">
        <f t="shared" si="79"/>
        <v>10.707754272476633</v>
      </c>
      <c r="DS27" s="206">
        <f t="shared" si="80"/>
        <v>4.490677072804649</v>
      </c>
      <c r="DT27" s="206">
        <v>0.31392424920168116</v>
      </c>
      <c r="DU27" s="206">
        <f t="shared" si="81"/>
        <v>4.804601322006331</v>
      </c>
      <c r="DV27" s="206">
        <f t="shared" si="82"/>
        <v>2.251634627865538</v>
      </c>
      <c r="DW27" s="206">
        <v>0.13299707409776182</v>
      </c>
      <c r="DX27" s="206">
        <f t="shared" si="83"/>
        <v>2.3846317019632997</v>
      </c>
    </row>
    <row r="28" spans="1:128" ht="13.5" thickBot="1">
      <c r="A28" s="412">
        <v>2022</v>
      </c>
      <c r="B28" s="413">
        <v>5.43650991439819</v>
      </c>
      <c r="C28" s="423">
        <v>5.303912111607991</v>
      </c>
      <c r="D28" s="423">
        <f t="shared" si="84"/>
        <v>9.34</v>
      </c>
      <c r="E28" s="413">
        <f t="shared" si="84"/>
        <v>7.34</v>
      </c>
      <c r="F28" s="423">
        <f t="shared" si="84"/>
        <v>6.5</v>
      </c>
      <c r="G28" s="414">
        <f t="shared" si="84"/>
        <v>5.34</v>
      </c>
      <c r="H28" s="413">
        <f t="shared" si="84"/>
        <v>4.22</v>
      </c>
      <c r="I28" s="422">
        <f t="shared" si="84"/>
        <v>3.5</v>
      </c>
      <c r="J28" s="443">
        <v>0.0077</v>
      </c>
      <c r="K28" s="443">
        <v>0.116</v>
      </c>
      <c r="L28" s="443">
        <v>0.224</v>
      </c>
      <c r="M28" s="443">
        <v>0.482</v>
      </c>
      <c r="N28" s="443">
        <v>0.729</v>
      </c>
      <c r="O28" s="443">
        <v>0.863</v>
      </c>
      <c r="P28" s="442">
        <v>23.08512754726813</v>
      </c>
      <c r="Q28" s="448">
        <v>22.750076681429526</v>
      </c>
      <c r="R28" s="449">
        <v>19.832681899120818</v>
      </c>
      <c r="S28" s="459">
        <v>16.615960591519787</v>
      </c>
      <c r="T28" s="449">
        <v>10.13157275625613</v>
      </c>
      <c r="U28" s="464">
        <v>4.455149334317504</v>
      </c>
      <c r="V28" s="464">
        <v>2.0964143032717377</v>
      </c>
      <c r="W28" s="465">
        <v>96.06728724480156</v>
      </c>
      <c r="X28" s="466">
        <v>96.06728724480156</v>
      </c>
      <c r="Y28" s="466">
        <v>96.06728724480156</v>
      </c>
      <c r="Z28" s="466">
        <v>96.06728724480156</v>
      </c>
      <c r="AA28" s="466">
        <v>96.06728724480156</v>
      </c>
      <c r="AB28" s="466">
        <v>96.06728724480156</v>
      </c>
      <c r="AC28" s="466">
        <v>96.06728724480156</v>
      </c>
      <c r="AD28" s="439">
        <f t="shared" si="3"/>
        <v>87.04512659261708</v>
      </c>
      <c r="AE28" s="432">
        <f t="shared" si="4"/>
        <v>86.28635422410925</v>
      </c>
      <c r="AF28" s="432">
        <f t="shared" si="5"/>
        <v>81.09472173874578</v>
      </c>
      <c r="AG28" s="432">
        <f t="shared" si="6"/>
        <v>75.93416436357587</v>
      </c>
      <c r="AH28" s="432">
        <f t="shared" si="7"/>
        <v>65.77007902160916</v>
      </c>
      <c r="AI28" s="432">
        <f t="shared" si="8"/>
        <v>53.20929316404134</v>
      </c>
      <c r="AJ28" s="453">
        <f t="shared" si="9"/>
        <v>43.90782502660747</v>
      </c>
      <c r="AK28" s="433">
        <f t="shared" si="10"/>
        <v>0.7300799350812185</v>
      </c>
      <c r="AL28" s="433">
        <f t="shared" si="11"/>
        <v>0.719483766016114</v>
      </c>
      <c r="AM28" s="433">
        <f t="shared" si="12"/>
        <v>0.6272195414016704</v>
      </c>
      <c r="AN28" s="433">
        <f t="shared" si="13"/>
        <v>0.5254889497634341</v>
      </c>
      <c r="AO28" s="433">
        <f t="shared" si="14"/>
        <v>0.32041659570702496</v>
      </c>
      <c r="AP28" s="433">
        <f t="shared" si="15"/>
        <v>0.14089656338765033</v>
      </c>
      <c r="AQ28" s="433">
        <f t="shared" si="16"/>
        <v>0.06630026259556412</v>
      </c>
      <c r="AR28" s="439">
        <f t="shared" si="17"/>
        <v>5.292115740496309</v>
      </c>
      <c r="AS28" s="432">
        <f t="shared" si="18"/>
        <v>5.215307502926868</v>
      </c>
      <c r="AT28" s="432">
        <f t="shared" si="19"/>
        <v>4.546513673779289</v>
      </c>
      <c r="AU28" s="432">
        <f t="shared" si="20"/>
        <v>3.8091011803941357</v>
      </c>
      <c r="AV28" s="432">
        <f t="shared" si="21"/>
        <v>2.3225973323986104</v>
      </c>
      <c r="AW28" s="432">
        <f t="shared" si="22"/>
        <v>1.0213140850154587</v>
      </c>
      <c r="AX28" s="432">
        <f t="shared" si="23"/>
        <v>0.48058937990398376</v>
      </c>
      <c r="AY28" s="454">
        <v>9.780245757096235</v>
      </c>
      <c r="AZ28" s="455">
        <v>9.628611203792909</v>
      </c>
      <c r="BA28" s="455">
        <v>8.405427854410433</v>
      </c>
      <c r="BB28" s="455">
        <v>7.057600232840047</v>
      </c>
      <c r="BC28" s="455">
        <v>4.342123306935279</v>
      </c>
      <c r="BD28" s="456">
        <v>1.9655049747253794</v>
      </c>
      <c r="BE28" s="456">
        <v>0.9780936304117637</v>
      </c>
      <c r="BF28" s="439">
        <f t="shared" si="24"/>
        <v>8.861733837284085</v>
      </c>
      <c r="BG28" s="432">
        <f t="shared" si="25"/>
        <v>8.724340045217605</v>
      </c>
      <c r="BH28" s="432">
        <f t="shared" si="26"/>
        <v>7.616031977543504</v>
      </c>
      <c r="BI28" s="432">
        <f t="shared" si="27"/>
        <v>6.394785606282314</v>
      </c>
      <c r="BJ28" s="432">
        <f t="shared" si="28"/>
        <v>3.9343327346155164</v>
      </c>
      <c r="BK28" s="432">
        <f t="shared" si="29"/>
        <v>1.7809145469822483</v>
      </c>
      <c r="BL28" s="453">
        <f t="shared" si="30"/>
        <v>0.886235953157212</v>
      </c>
      <c r="BM28" s="436">
        <f t="shared" si="31"/>
        <v>9.077966712626056</v>
      </c>
      <c r="BN28" s="436">
        <f t="shared" si="32"/>
        <v>7.902280222032996</v>
      </c>
      <c r="BO28" s="436">
        <f t="shared" si="33"/>
        <v>6.6051124610092415</v>
      </c>
      <c r="BP28" s="436">
        <f t="shared" si="34"/>
        <v>3.988708181447371</v>
      </c>
      <c r="BQ28" s="436">
        <f t="shared" si="35"/>
        <v>1.6978056733535294</v>
      </c>
      <c r="BR28" s="436">
        <f t="shared" si="36"/>
        <v>0.7457131970729037</v>
      </c>
      <c r="BS28" s="439">
        <f t="shared" si="37"/>
        <v>14.912239325691687</v>
      </c>
      <c r="BT28" s="432">
        <f t="shared" si="38"/>
        <v>10.757709597071745</v>
      </c>
      <c r="BU28" s="432">
        <f t="shared" si="39"/>
        <v>8.230557981426545</v>
      </c>
      <c r="BV28" s="432">
        <f t="shared" si="40"/>
        <v>4.4295143628319185</v>
      </c>
      <c r="BW28" s="432">
        <f t="shared" si="41"/>
        <v>1.7117387665460753</v>
      </c>
      <c r="BX28" s="453">
        <f t="shared" si="42"/>
        <v>0.7143611771283676</v>
      </c>
      <c r="BY28" s="432">
        <f t="shared" si="50"/>
        <v>-72.89127701483667</v>
      </c>
      <c r="BZ28" s="432">
        <f t="shared" si="43"/>
        <v>-71.56747750563132</v>
      </c>
      <c r="CA28" s="432">
        <f t="shared" si="44"/>
        <v>-58.27729405246815</v>
      </c>
      <c r="CB28" s="432">
        <f t="shared" si="45"/>
        <v>-46.877379771618884</v>
      </c>
      <c r="CC28" s="432">
        <f t="shared" si="46"/>
        <v>-25.676944943294433</v>
      </c>
      <c r="CD28" s="432">
        <f t="shared" si="47"/>
        <v>-10.36963225464541</v>
      </c>
      <c r="CE28" s="453">
        <f t="shared" si="48"/>
        <v>-4.032052999722247</v>
      </c>
      <c r="CF28" s="432">
        <f t="shared" si="51"/>
        <v>-75.99435943337112</v>
      </c>
      <c r="CG28" s="432">
        <f t="shared" si="52"/>
        <v>-61.882097642452855</v>
      </c>
      <c r="CH28" s="432">
        <f t="shared" si="53"/>
        <v>-49.77702962045484</v>
      </c>
      <c r="CI28" s="432">
        <f t="shared" si="54"/>
        <v>-27.265219498871662</v>
      </c>
      <c r="CJ28" s="432">
        <f t="shared" si="55"/>
        <v>-11.011056812633853</v>
      </c>
      <c r="CK28" s="432">
        <f t="shared" si="56"/>
        <v>-4.281459897635548</v>
      </c>
      <c r="CL28" s="12">
        <f t="shared" si="57"/>
        <v>2022</v>
      </c>
      <c r="CM28" s="128">
        <f t="shared" si="58"/>
        <v>-65.73027757689943</v>
      </c>
      <c r="CO28" s="618">
        <f t="shared" si="59"/>
        <v>-46.877379771618884</v>
      </c>
      <c r="CP28" s="101">
        <f t="shared" si="60"/>
        <v>16.615960591519787</v>
      </c>
      <c r="CQ28" s="611">
        <f t="shared" si="64"/>
        <v>5.303912111607991</v>
      </c>
      <c r="CR28" s="610">
        <f t="shared" si="65"/>
        <v>90.33283449304693</v>
      </c>
      <c r="CS28" s="618">
        <f t="shared" si="66"/>
        <v>15.055472415507822</v>
      </c>
      <c r="CT28" s="618">
        <f t="shared" si="61"/>
        <v>82.80509828529301</v>
      </c>
      <c r="CU28" s="618">
        <f t="shared" si="62"/>
        <v>7.527736207753918</v>
      </c>
      <c r="CW28" s="625">
        <f t="shared" si="67"/>
        <v>2022</v>
      </c>
      <c r="CX28" s="626">
        <f t="shared" si="68"/>
        <v>-46.877379771618884</v>
      </c>
      <c r="CY28" s="626">
        <v>1.2009920154530054</v>
      </c>
      <c r="CZ28" s="626">
        <f t="shared" si="69"/>
        <v>-48.50174897511195</v>
      </c>
      <c r="DA28" s="626">
        <f t="shared" si="70"/>
        <v>-25.676944943294433</v>
      </c>
      <c r="DB28" s="626">
        <v>0.6451828267609078</v>
      </c>
      <c r="DC28" s="626">
        <f t="shared" si="71"/>
        <v>-26.580128206765565</v>
      </c>
      <c r="DD28" s="626">
        <f t="shared" si="72"/>
        <v>-10.36963225464541</v>
      </c>
      <c r="DE28" s="626">
        <v>0.24468133235196382</v>
      </c>
      <c r="DF28" s="626">
        <f t="shared" si="73"/>
        <v>-10.751240457978511</v>
      </c>
      <c r="DG28" s="626">
        <f t="shared" si="63"/>
        <v>-15.262570378323382</v>
      </c>
      <c r="DH28" s="633">
        <v>1.55346524715424</v>
      </c>
      <c r="DI28" s="626">
        <f t="shared" si="74"/>
        <v>-4.032052999722247</v>
      </c>
      <c r="DJ28" s="626">
        <v>0.10366163611733804</v>
      </c>
      <c r="DK28" s="626">
        <f t="shared" si="75"/>
        <v>-4.171386161504043</v>
      </c>
      <c r="DM28" s="101">
        <f t="shared" si="76"/>
        <v>16.615960591519787</v>
      </c>
      <c r="DN28" s="101">
        <v>1.2326907430959069</v>
      </c>
      <c r="DO28" s="101">
        <f t="shared" si="77"/>
        <v>17.848651334615695</v>
      </c>
      <c r="DP28" s="101">
        <f t="shared" si="78"/>
        <v>10.13157275625613</v>
      </c>
      <c r="DQ28" s="101">
        <v>0.6622116449730399</v>
      </c>
      <c r="DR28" s="101">
        <f t="shared" si="79"/>
        <v>10.79378440122917</v>
      </c>
      <c r="DS28" s="101">
        <f t="shared" si="80"/>
        <v>4.455149334317504</v>
      </c>
      <c r="DT28" s="101">
        <v>0.25113939936134494</v>
      </c>
      <c r="DU28" s="101">
        <f t="shared" si="81"/>
        <v>4.706288733678849</v>
      </c>
      <c r="DV28" s="101">
        <f t="shared" si="82"/>
        <v>2.0964143032717377</v>
      </c>
      <c r="DW28" s="101">
        <v>0.10639765927820946</v>
      </c>
      <c r="DX28" s="101">
        <f t="shared" si="83"/>
        <v>2.2028119625499474</v>
      </c>
    </row>
    <row r="29" spans="1:128" ht="13.5" thickTop="1">
      <c r="A29" s="412">
        <v>2023</v>
      </c>
      <c r="B29" s="413">
        <v>5.508484668731691</v>
      </c>
      <c r="C29" s="423">
        <v>5.3741313841284795</v>
      </c>
      <c r="D29" s="423">
        <f t="shared" si="84"/>
        <v>9.34</v>
      </c>
      <c r="E29" s="413">
        <f t="shared" si="84"/>
        <v>7.34</v>
      </c>
      <c r="F29" s="423">
        <f t="shared" si="84"/>
        <v>6.5</v>
      </c>
      <c r="G29" s="414">
        <f t="shared" si="84"/>
        <v>5.34</v>
      </c>
      <c r="H29" s="413">
        <f t="shared" si="84"/>
        <v>4.22</v>
      </c>
      <c r="I29" s="422">
        <f t="shared" si="84"/>
        <v>3.5</v>
      </c>
      <c r="J29" s="443">
        <v>0.008</v>
      </c>
      <c r="K29" s="443">
        <v>0.1203</v>
      </c>
      <c r="L29" s="443">
        <v>0.2397</v>
      </c>
      <c r="M29" s="443">
        <v>0.5133</v>
      </c>
      <c r="N29" s="443">
        <v>0.751</v>
      </c>
      <c r="O29" s="443">
        <v>0.8777</v>
      </c>
      <c r="P29" s="442">
        <v>23.95363528326065</v>
      </c>
      <c r="Q29" s="448">
        <v>23.63119546544066</v>
      </c>
      <c r="R29" s="449">
        <v>20.57072188751479</v>
      </c>
      <c r="S29" s="459">
        <v>17.19401586042769</v>
      </c>
      <c r="T29" s="449">
        <v>10.383155796251927</v>
      </c>
      <c r="U29" s="464">
        <v>4.419621595830359</v>
      </c>
      <c r="V29" s="464">
        <v>1.941193978677938</v>
      </c>
      <c r="W29" s="465">
        <v>96.06728724480156</v>
      </c>
      <c r="X29" s="466">
        <v>96.06728724480156</v>
      </c>
      <c r="Y29" s="466">
        <v>96.06728724480156</v>
      </c>
      <c r="Z29" s="466">
        <v>96.06728724480156</v>
      </c>
      <c r="AA29" s="466">
        <v>96.06728724480156</v>
      </c>
      <c r="AB29" s="466">
        <v>96.06728724480156</v>
      </c>
      <c r="AC29" s="466">
        <v>96.06728724480156</v>
      </c>
      <c r="AD29" s="439">
        <f t="shared" si="3"/>
        <v>88.19752982577214</v>
      </c>
      <c r="AE29" s="432">
        <f t="shared" si="4"/>
        <v>87.42871195828089</v>
      </c>
      <c r="AF29" s="432">
        <f t="shared" si="5"/>
        <v>82.16834668688236</v>
      </c>
      <c r="AG29" s="432">
        <f t="shared" si="6"/>
        <v>76.93946793363162</v>
      </c>
      <c r="AH29" s="432">
        <f t="shared" si="7"/>
        <v>66.64081877093587</v>
      </c>
      <c r="AI29" s="432">
        <f t="shared" si="8"/>
        <v>53.9137388220173</v>
      </c>
      <c r="AJ29" s="453">
        <f t="shared" si="9"/>
        <v>44.489127179894936</v>
      </c>
      <c r="AK29" s="433">
        <f t="shared" si="10"/>
        <v>0.7575469729051438</v>
      </c>
      <c r="AL29" s="433">
        <f t="shared" si="11"/>
        <v>0.747349635213177</v>
      </c>
      <c r="AM29" s="433">
        <f t="shared" si="12"/>
        <v>0.650560464500784</v>
      </c>
      <c r="AN29" s="433">
        <f t="shared" si="13"/>
        <v>0.5437702675657081</v>
      </c>
      <c r="AO29" s="433">
        <f t="shared" si="14"/>
        <v>0.3283730485848174</v>
      </c>
      <c r="AP29" s="433">
        <f t="shared" si="15"/>
        <v>0.1397729789952675</v>
      </c>
      <c r="AQ29" s="433">
        <f t="shared" si="16"/>
        <v>0.06139133392403346</v>
      </c>
      <c r="AR29" s="439">
        <f t="shared" si="17"/>
        <v>5.563914514789448</v>
      </c>
      <c r="AS29" s="432">
        <f t="shared" si="18"/>
        <v>5.489018677005343</v>
      </c>
      <c r="AT29" s="432">
        <f t="shared" si="19"/>
        <v>4.778136459714048</v>
      </c>
      <c r="AU29" s="432">
        <f t="shared" si="20"/>
        <v>3.993800242930443</v>
      </c>
      <c r="AV29" s="432">
        <f t="shared" si="21"/>
        <v>2.4117838716722044</v>
      </c>
      <c r="AW29" s="432">
        <f t="shared" si="22"/>
        <v>1.0265830825311835</v>
      </c>
      <c r="AX29" s="432">
        <f t="shared" si="23"/>
        <v>0.4508976289513681</v>
      </c>
      <c r="AY29" s="454">
        <v>10.494388740518293</v>
      </c>
      <c r="AZ29" s="455">
        <v>10.353123802916546</v>
      </c>
      <c r="BA29" s="455">
        <v>9.012291854987389</v>
      </c>
      <c r="BB29" s="455">
        <v>7.5329144956991705</v>
      </c>
      <c r="BC29" s="455">
        <v>4.548991081757882</v>
      </c>
      <c r="BD29" s="456">
        <v>1.9362917805234252</v>
      </c>
      <c r="BE29" s="456">
        <v>0.8504614849519663</v>
      </c>
      <c r="BF29" s="439">
        <f t="shared" si="24"/>
        <v>9.634696580809248</v>
      </c>
      <c r="BG29" s="432">
        <f t="shared" si="25"/>
        <v>9.505003956974488</v>
      </c>
      <c r="BH29" s="432">
        <f t="shared" si="26"/>
        <v>8.27401191888892</v>
      </c>
      <c r="BI29" s="432">
        <f t="shared" si="27"/>
        <v>6.915824001737599</v>
      </c>
      <c r="BJ29" s="432">
        <f t="shared" si="28"/>
        <v>4.17634127201008</v>
      </c>
      <c r="BK29" s="432">
        <f t="shared" si="29"/>
        <v>1.7776722645340792</v>
      </c>
      <c r="BL29" s="453">
        <f t="shared" si="30"/>
        <v>0.780792341867449</v>
      </c>
      <c r="BM29" s="436">
        <f t="shared" si="31"/>
        <v>9.077966712626058</v>
      </c>
      <c r="BN29" s="436">
        <f t="shared" si="32"/>
        <v>7.902280222032996</v>
      </c>
      <c r="BO29" s="436">
        <f t="shared" si="33"/>
        <v>6.60511246100924</v>
      </c>
      <c r="BP29" s="436">
        <f t="shared" si="34"/>
        <v>3.988708181447371</v>
      </c>
      <c r="BQ29" s="436">
        <f t="shared" si="35"/>
        <v>1.69780567335353</v>
      </c>
      <c r="BR29" s="436">
        <f t="shared" si="36"/>
        <v>0.7457131970729036</v>
      </c>
      <c r="BS29" s="439">
        <f t="shared" si="37"/>
        <v>14.912239325691688</v>
      </c>
      <c r="BT29" s="432">
        <f t="shared" si="38"/>
        <v>10.757709597071745</v>
      </c>
      <c r="BU29" s="432">
        <f t="shared" si="39"/>
        <v>8.230557981426543</v>
      </c>
      <c r="BV29" s="432">
        <f t="shared" si="40"/>
        <v>4.4295143628319185</v>
      </c>
      <c r="BW29" s="432">
        <f t="shared" si="41"/>
        <v>1.711738766546076</v>
      </c>
      <c r="BX29" s="453">
        <f t="shared" si="42"/>
        <v>0.7143611771283674</v>
      </c>
      <c r="BY29" s="432">
        <f t="shared" si="50"/>
        <v>-72.99891873017344</v>
      </c>
      <c r="BZ29" s="432">
        <f t="shared" si="43"/>
        <v>-71.61596171402925</v>
      </c>
      <c r="CA29" s="432">
        <f t="shared" si="44"/>
        <v>-57.93719373731971</v>
      </c>
      <c r="CB29" s="432">
        <f t="shared" si="45"/>
        <v>-45.61458847712414</v>
      </c>
      <c r="CC29" s="432">
        <f t="shared" si="46"/>
        <v>-23.57229162969058</v>
      </c>
      <c r="CD29" s="432">
        <f t="shared" si="47"/>
        <v>-9.334749805940943</v>
      </c>
      <c r="CE29" s="453">
        <f t="shared" si="48"/>
        <v>-3.582335478116764</v>
      </c>
      <c r="CF29" s="432">
        <f t="shared" si="51"/>
        <v>-76.04584268370009</v>
      </c>
      <c r="CG29" s="432">
        <f t="shared" si="52"/>
        <v>-61.520960063015885</v>
      </c>
      <c r="CH29" s="432">
        <f t="shared" si="53"/>
        <v>-48.436127036377954</v>
      </c>
      <c r="CI29" s="432">
        <f t="shared" si="54"/>
        <v>-25.030380631118334</v>
      </c>
      <c r="CJ29" s="432">
        <f t="shared" si="55"/>
        <v>-9.91216061677525</v>
      </c>
      <c r="CK29" s="432">
        <f t="shared" si="56"/>
        <v>-3.803924623632314</v>
      </c>
      <c r="CL29" s="12">
        <f t="shared" si="57"/>
        <v>2023</v>
      </c>
      <c r="CM29" s="128">
        <f t="shared" si="58"/>
        <v>-66.02984368896357</v>
      </c>
      <c r="CN29" t="s">
        <v>288</v>
      </c>
      <c r="CO29" s="532">
        <f>SUM(CO13:CO28)</f>
        <v>-660.6654606395205</v>
      </c>
      <c r="CP29" s="179">
        <f>SUM(CP13:CP28)</f>
        <v>147.59021860915897</v>
      </c>
      <c r="CQ29" s="179"/>
      <c r="CR29" s="610">
        <f>SUM(CR13:CR28)</f>
        <v>757.9419913742222</v>
      </c>
      <c r="CT29" s="532">
        <f>SUM(CT13:CT28)</f>
        <v>694.7801587597037</v>
      </c>
      <c r="CU29" s="532">
        <f>SUM(CU13:CU28)</f>
        <v>63.16183261451853</v>
      </c>
      <c r="CW29" s="627" t="s">
        <v>313</v>
      </c>
      <c r="CX29" s="532"/>
      <c r="CZ29" s="532">
        <f>SUM(CZ13:CZ28)</f>
        <v>-807.0244721132243</v>
      </c>
      <c r="DC29" s="532">
        <f>SUM(DC13:DC28)</f>
        <v>-472.32016353482436</v>
      </c>
      <c r="DD29" s="532">
        <f>SUM(DD13:DD28)</f>
        <v>-151.0658228717074</v>
      </c>
      <c r="DE29" s="532">
        <f>SUM(DE13:DE28)</f>
        <v>-22.356057701818276</v>
      </c>
      <c r="DF29" s="532">
        <f>SUM(DF13:DF28)</f>
        <v>-184.1490742059292</v>
      </c>
      <c r="DH29" s="633">
        <v>1.58391451835632</v>
      </c>
      <c r="DK29" s="532">
        <f>SUM(DK13:DK28)</f>
        <v>-70.52568968442068</v>
      </c>
      <c r="DM29" s="70">
        <f aca="true" t="shared" si="85" ref="DM29:DX29">SUM(DM13:DM28)</f>
        <v>147.59021860915897</v>
      </c>
      <c r="DN29" s="70">
        <f t="shared" si="85"/>
        <v>15.903349243856232</v>
      </c>
      <c r="DO29" s="70">
        <f t="shared" si="85"/>
        <v>163.49356785301524</v>
      </c>
      <c r="DP29" s="70">
        <f t="shared" si="85"/>
        <v>95.02166562888127</v>
      </c>
      <c r="DQ29" s="70">
        <f t="shared" si="85"/>
        <v>9.700073026791774</v>
      </c>
      <c r="DR29" s="70">
        <f t="shared" si="85"/>
        <v>104.72173865567302</v>
      </c>
      <c r="DS29" s="70">
        <f t="shared" si="85"/>
        <v>49.035774882351404</v>
      </c>
      <c r="DT29" s="70">
        <f t="shared" si="85"/>
        <v>5.230155210190014</v>
      </c>
      <c r="DU29" s="70">
        <f t="shared" si="85"/>
        <v>54.265930092541424</v>
      </c>
      <c r="DV29" s="70">
        <f t="shared" si="85"/>
        <v>29.936776016865352</v>
      </c>
      <c r="DW29" s="70">
        <f t="shared" si="85"/>
        <v>3.656262324668618</v>
      </c>
      <c r="DX29" s="70">
        <f t="shared" si="85"/>
        <v>33.59303834153397</v>
      </c>
    </row>
    <row r="30" spans="1:112" ht="12.75">
      <c r="A30" s="412">
        <v>2024</v>
      </c>
      <c r="B30" s="413">
        <v>5.6243699264526406</v>
      </c>
      <c r="C30" s="423">
        <v>5.487190172148918</v>
      </c>
      <c r="D30" s="422">
        <f t="shared" si="84"/>
        <v>9.34</v>
      </c>
      <c r="E30" s="422">
        <f t="shared" si="84"/>
        <v>7.34</v>
      </c>
      <c r="F30" s="441">
        <f t="shared" si="84"/>
        <v>6.5</v>
      </c>
      <c r="G30" s="414">
        <f t="shared" si="84"/>
        <v>5.34</v>
      </c>
      <c r="H30" s="413">
        <f t="shared" si="84"/>
        <v>4.22</v>
      </c>
      <c r="I30" s="422">
        <f t="shared" si="84"/>
        <v>3.5</v>
      </c>
      <c r="J30" s="443">
        <v>0.011</v>
      </c>
      <c r="K30" s="443">
        <v>0.146</v>
      </c>
      <c r="L30" s="443">
        <v>0.2553</v>
      </c>
      <c r="M30" s="443">
        <v>0.5373</v>
      </c>
      <c r="N30" s="443">
        <v>0.7687</v>
      </c>
      <c r="O30" s="443">
        <v>0.875</v>
      </c>
      <c r="P30" s="442">
        <v>23.882666186153713</v>
      </c>
      <c r="Q30" s="448">
        <v>23.561181683152185</v>
      </c>
      <c r="R30" s="449">
        <v>20.509775582624904</v>
      </c>
      <c r="S30" s="459">
        <v>17.14307395675307</v>
      </c>
      <c r="T30" s="449">
        <v>10.352392900212696</v>
      </c>
      <c r="U30" s="464">
        <v>4.406527276304269</v>
      </c>
      <c r="V30" s="464">
        <v>1.9354426686013224</v>
      </c>
      <c r="W30" s="465">
        <v>96.06728724480156</v>
      </c>
      <c r="X30" s="466">
        <v>96.06728724480156</v>
      </c>
      <c r="Y30" s="466">
        <v>96.06728724480156</v>
      </c>
      <c r="Z30" s="466">
        <v>96.06728724480156</v>
      </c>
      <c r="AA30" s="466">
        <v>96.06728724480156</v>
      </c>
      <c r="AB30" s="466">
        <v>96.06728724480156</v>
      </c>
      <c r="AC30" s="466">
        <v>96.06728724480156</v>
      </c>
      <c r="AD30" s="439">
        <f t="shared" si="3"/>
        <v>90.0529935492582</v>
      </c>
      <c r="AE30" s="432">
        <f t="shared" si="4"/>
        <v>89.26800160448933</v>
      </c>
      <c r="AF30" s="432">
        <f t="shared" si="5"/>
        <v>83.89697091023092</v>
      </c>
      <c r="AG30" s="432">
        <f t="shared" si="6"/>
        <v>78.55808913466959</v>
      </c>
      <c r="AH30" s="432">
        <f t="shared" si="7"/>
        <v>68.04278118390981</v>
      </c>
      <c r="AI30" s="432">
        <f t="shared" si="8"/>
        <v>55.047954108764756</v>
      </c>
      <c r="AJ30" s="453">
        <f t="shared" si="9"/>
        <v>45.425071324078125</v>
      </c>
      <c r="AK30" s="433">
        <f t="shared" si="10"/>
        <v>0.75530253593149</v>
      </c>
      <c r="AL30" s="433">
        <f t="shared" si="11"/>
        <v>0.7451354105993733</v>
      </c>
      <c r="AM30" s="433">
        <f t="shared" si="12"/>
        <v>0.6486330038780804</v>
      </c>
      <c r="AN30" s="433">
        <f t="shared" si="13"/>
        <v>0.5421592016683451</v>
      </c>
      <c r="AO30" s="433">
        <f t="shared" si="14"/>
        <v>0.3274001549719385</v>
      </c>
      <c r="AP30" s="433">
        <f t="shared" si="15"/>
        <v>0.13935886389324062</v>
      </c>
      <c r="AQ30" s="433">
        <f t="shared" si="16"/>
        <v>0.06120944555981411</v>
      </c>
      <c r="AR30" s="439">
        <f t="shared" si="17"/>
        <v>5.6641344912886495</v>
      </c>
      <c r="AS30" s="432">
        <f t="shared" si="18"/>
        <v>5.587889592680074</v>
      </c>
      <c r="AT30" s="432">
        <f t="shared" si="19"/>
        <v>4.864202613755353</v>
      </c>
      <c r="AU30" s="432">
        <f t="shared" si="20"/>
        <v>4.06573854561735</v>
      </c>
      <c r="AV30" s="432">
        <f t="shared" si="21"/>
        <v>2.455226114053473</v>
      </c>
      <c r="AW30" s="432">
        <f t="shared" si="22"/>
        <v>1.0450744040876656</v>
      </c>
      <c r="AX30" s="432">
        <f t="shared" si="23"/>
        <v>0.45901941976194477</v>
      </c>
      <c r="AY30" s="454">
        <v>10.436033379203295</v>
      </c>
      <c r="AZ30" s="455">
        <v>10.295553962957646</v>
      </c>
      <c r="BA30" s="455">
        <v>8.962177878797096</v>
      </c>
      <c r="BB30" s="455">
        <v>7.49102678236773</v>
      </c>
      <c r="BC30" s="455">
        <v>4.5236958478230305</v>
      </c>
      <c r="BD30" s="456">
        <v>1.9255247878707271</v>
      </c>
      <c r="BE30" s="456">
        <v>0.8457323874822635</v>
      </c>
      <c r="BF30" s="439">
        <f t="shared" si="24"/>
        <v>9.782685381574488</v>
      </c>
      <c r="BG30" s="432">
        <f t="shared" si="25"/>
        <v>9.65100068090488</v>
      </c>
      <c r="BH30" s="432">
        <f t="shared" si="26"/>
        <v>8.401100622837584</v>
      </c>
      <c r="BI30" s="432">
        <f t="shared" si="27"/>
        <v>7.0220509588333915</v>
      </c>
      <c r="BJ30" s="432">
        <f t="shared" si="28"/>
        <v>4.240489813819089</v>
      </c>
      <c r="BK30" s="432">
        <f t="shared" si="29"/>
        <v>1.8049772849232029</v>
      </c>
      <c r="BL30" s="453">
        <f t="shared" si="30"/>
        <v>0.7927853009970391</v>
      </c>
      <c r="BM30" s="436">
        <f t="shared" si="31"/>
        <v>9.07796671262606</v>
      </c>
      <c r="BN30" s="436">
        <f t="shared" si="32"/>
        <v>7.902280222032996</v>
      </c>
      <c r="BO30" s="436">
        <f t="shared" si="33"/>
        <v>6.605112461009241</v>
      </c>
      <c r="BP30" s="436">
        <f t="shared" si="34"/>
        <v>3.988708181447371</v>
      </c>
      <c r="BQ30" s="436">
        <f t="shared" si="35"/>
        <v>1.6978056733535296</v>
      </c>
      <c r="BR30" s="436">
        <f t="shared" si="36"/>
        <v>0.7457131970729036</v>
      </c>
      <c r="BS30" s="439">
        <f t="shared" si="37"/>
        <v>14.91223932569169</v>
      </c>
      <c r="BT30" s="432">
        <f t="shared" si="38"/>
        <v>10.757709597071745</v>
      </c>
      <c r="BU30" s="432">
        <f t="shared" si="39"/>
        <v>8.230557981426543</v>
      </c>
      <c r="BV30" s="432">
        <f t="shared" si="40"/>
        <v>4.4295143628319185</v>
      </c>
      <c r="BW30" s="432">
        <f t="shared" si="41"/>
        <v>1.7117387665460755</v>
      </c>
      <c r="BX30" s="453">
        <f t="shared" si="42"/>
        <v>0.7143611771283674</v>
      </c>
      <c r="BY30" s="432">
        <f t="shared" si="50"/>
        <v>-74.60617367639506</v>
      </c>
      <c r="BZ30" s="432">
        <f t="shared" si="43"/>
        <v>-72.88312868067237</v>
      </c>
      <c r="CA30" s="432">
        <f t="shared" si="44"/>
        <v>-56.812084319571795</v>
      </c>
      <c r="CB30" s="432">
        <f t="shared" si="45"/>
        <v>-45.313158021479495</v>
      </c>
      <c r="CC30" s="432">
        <f t="shared" si="46"/>
        <v>-22.407700858772916</v>
      </c>
      <c r="CD30" s="432">
        <f t="shared" si="47"/>
        <v>-8.56672650650245</v>
      </c>
      <c r="CE30" s="453">
        <f t="shared" si="48"/>
        <v>-3.8012631647634603</v>
      </c>
      <c r="CF30" s="432">
        <f t="shared" si="51"/>
        <v>-77.39139160174871</v>
      </c>
      <c r="CG30" s="432">
        <f t="shared" si="52"/>
        <v>-60.32625581362442</v>
      </c>
      <c r="CH30" s="432">
        <f t="shared" si="53"/>
        <v>-48.11605128145671</v>
      </c>
      <c r="CI30" s="432">
        <f t="shared" si="54"/>
        <v>-23.793752867747187</v>
      </c>
      <c r="CJ30" s="432">
        <f t="shared" si="55"/>
        <v>-9.096630424780708</v>
      </c>
      <c r="CK30" s="432">
        <f t="shared" si="56"/>
        <v>-4.036394313620149</v>
      </c>
      <c r="CL30" s="12">
        <f t="shared" si="57"/>
        <v>2024</v>
      </c>
      <c r="CM30" s="128">
        <f t="shared" si="58"/>
        <v>-67.47029963021885</v>
      </c>
      <c r="CN30" t="s">
        <v>268</v>
      </c>
      <c r="CO30" s="532">
        <f>NPV(0.07,CO13:CO28)</f>
        <v>-349.36639762165026</v>
      </c>
      <c r="CR30" s="610">
        <f>NPV(0.07,CR13:CR28)</f>
        <v>368.5259210469229</v>
      </c>
      <c r="CS30" s="620"/>
      <c r="CT30" s="610">
        <f>NPV(0.07,CT13:CT28)</f>
        <v>337.81542762634604</v>
      </c>
      <c r="CU30" s="610">
        <f>NPV(0.07,CU13:CU28)</f>
        <v>30.710493420576917</v>
      </c>
      <c r="CW30" t="s">
        <v>314</v>
      </c>
      <c r="DD30" s="612">
        <f>DG30*(DD29/DF29)</f>
        <v>-191.03450618258537</v>
      </c>
      <c r="DE30" s="612">
        <f>DG30*(DE29/DF29)</f>
        <v>-28.27097726057598</v>
      </c>
      <c r="DG30" s="532">
        <f>SUM(DG13:DG28)</f>
        <v>-232.8708558042646</v>
      </c>
      <c r="DH30" s="633">
        <v>1.61569118499756</v>
      </c>
    </row>
    <row r="31" spans="1:115" ht="12.75">
      <c r="A31" s="412">
        <v>2025</v>
      </c>
      <c r="B31" s="413">
        <v>5.75312168121338</v>
      </c>
      <c r="C31" s="423">
        <v>5.612801640208176</v>
      </c>
      <c r="D31" s="422">
        <f t="shared" si="84"/>
        <v>9.34</v>
      </c>
      <c r="E31" s="422">
        <f t="shared" si="84"/>
        <v>7.34</v>
      </c>
      <c r="F31" s="441">
        <f t="shared" si="84"/>
        <v>6.5</v>
      </c>
      <c r="G31" s="414">
        <f t="shared" si="84"/>
        <v>5.34</v>
      </c>
      <c r="H31" s="413">
        <f t="shared" si="84"/>
        <v>4.22</v>
      </c>
      <c r="I31" s="422">
        <f t="shared" si="84"/>
        <v>3.5</v>
      </c>
      <c r="J31" s="443">
        <v>0.015</v>
      </c>
      <c r="K31" s="443">
        <v>0.1577</v>
      </c>
      <c r="L31" s="443">
        <v>0.277</v>
      </c>
      <c r="M31" s="443">
        <v>0.5517</v>
      </c>
      <c r="N31" s="443">
        <v>0.7793</v>
      </c>
      <c r="O31" s="443">
        <v>0.8843</v>
      </c>
      <c r="P31" s="442">
        <v>23.81169708904679</v>
      </c>
      <c r="Q31" s="448">
        <v>23.491167900863704</v>
      </c>
      <c r="R31" s="449">
        <v>20.448829277735026</v>
      </c>
      <c r="S31" s="459">
        <v>17.092132053078455</v>
      </c>
      <c r="T31" s="449">
        <v>10.321630004173464</v>
      </c>
      <c r="U31" s="464">
        <v>4.393432956778182</v>
      </c>
      <c r="V31" s="464">
        <v>1.9296913585247069</v>
      </c>
      <c r="W31" s="465">
        <v>96.06728724480156</v>
      </c>
      <c r="X31" s="466">
        <v>96.06728724480156</v>
      </c>
      <c r="Y31" s="466">
        <v>96.06728724480156</v>
      </c>
      <c r="Z31" s="466">
        <v>96.06728724480156</v>
      </c>
      <c r="AA31" s="466">
        <v>96.06728724480156</v>
      </c>
      <c r="AB31" s="466">
        <v>96.06728724480156</v>
      </c>
      <c r="AC31" s="466">
        <v>96.06728724480156</v>
      </c>
      <c r="AD31" s="439">
        <f t="shared" si="3"/>
        <v>92.11446551723691</v>
      </c>
      <c r="AE31" s="432">
        <f t="shared" si="4"/>
        <v>91.31150372132316</v>
      </c>
      <c r="AF31" s="432">
        <f t="shared" si="5"/>
        <v>85.8175206544786</v>
      </c>
      <c r="AG31" s="432">
        <f t="shared" si="6"/>
        <v>80.35642245182368</v>
      </c>
      <c r="AH31" s="432">
        <f t="shared" si="7"/>
        <v>69.60040054230697</v>
      </c>
      <c r="AI31" s="432">
        <f t="shared" si="8"/>
        <v>56.308098939238654</v>
      </c>
      <c r="AJ31" s="453">
        <f t="shared" si="9"/>
        <v>46.46493138299775</v>
      </c>
      <c r="AK31" s="433">
        <f t="shared" si="10"/>
        <v>0.7530580989578364</v>
      </c>
      <c r="AL31" s="433">
        <f t="shared" si="11"/>
        <v>0.7429211859855693</v>
      </c>
      <c r="AM31" s="433">
        <f t="shared" si="12"/>
        <v>0.6467055432553771</v>
      </c>
      <c r="AN31" s="433">
        <f t="shared" si="13"/>
        <v>0.5405481357709822</v>
      </c>
      <c r="AO31" s="433">
        <f t="shared" si="14"/>
        <v>0.3264272613590596</v>
      </c>
      <c r="AP31" s="433">
        <f t="shared" si="15"/>
        <v>0.13894474879121385</v>
      </c>
      <c r="AQ31" s="433">
        <f t="shared" si="16"/>
        <v>0.06102755719559477</v>
      </c>
      <c r="AR31" s="439">
        <f t="shared" si="17"/>
        <v>5.776579835103546</v>
      </c>
      <c r="AS31" s="432">
        <f t="shared" si="18"/>
        <v>5.6988213100351155</v>
      </c>
      <c r="AT31" s="432">
        <f t="shared" si="19"/>
        <v>4.960767576351183</v>
      </c>
      <c r="AU31" s="432">
        <f t="shared" si="20"/>
        <v>4.146452266191348</v>
      </c>
      <c r="AV31" s="432">
        <f t="shared" si="21"/>
        <v>2.5039676728852163</v>
      </c>
      <c r="AW31" s="432">
        <f t="shared" si="22"/>
        <v>1.065821395681972</v>
      </c>
      <c r="AX31" s="432">
        <f t="shared" si="23"/>
        <v>0.46813194993795454</v>
      </c>
      <c r="AY31" s="454">
        <v>10.3776780178883</v>
      </c>
      <c r="AZ31" s="455">
        <v>10.237984122998748</v>
      </c>
      <c r="BA31" s="455">
        <v>8.912063902606809</v>
      </c>
      <c r="BB31" s="455">
        <v>7.449139069036294</v>
      </c>
      <c r="BC31" s="455">
        <v>4.498400613888179</v>
      </c>
      <c r="BD31" s="456">
        <v>1.9147577952180304</v>
      </c>
      <c r="BE31" s="456">
        <v>0.8410032900125606</v>
      </c>
      <c r="BF31" s="439">
        <f t="shared" si="24"/>
        <v>9.95067406756078</v>
      </c>
      <c r="BG31" s="432">
        <f t="shared" si="25"/>
        <v>9.816728071657074</v>
      </c>
      <c r="BH31" s="432">
        <f t="shared" si="26"/>
        <v>8.545364677074392</v>
      </c>
      <c r="BI31" s="432">
        <f t="shared" si="27"/>
        <v>7.142633914074392</v>
      </c>
      <c r="BJ31" s="432">
        <f t="shared" si="28"/>
        <v>4.313307683757277</v>
      </c>
      <c r="BK31" s="432">
        <f t="shared" si="29"/>
        <v>1.8359724309901966</v>
      </c>
      <c r="BL31" s="453">
        <f t="shared" si="30"/>
        <v>0.806399043623841</v>
      </c>
      <c r="BM31" s="436">
        <f t="shared" si="31"/>
        <v>9.077966712626056</v>
      </c>
      <c r="BN31" s="436">
        <f t="shared" si="32"/>
        <v>7.9022802220329975</v>
      </c>
      <c r="BO31" s="436">
        <f t="shared" si="33"/>
        <v>6.6051124610092415</v>
      </c>
      <c r="BP31" s="436">
        <f t="shared" si="34"/>
        <v>3.988708181447371</v>
      </c>
      <c r="BQ31" s="436">
        <f t="shared" si="35"/>
        <v>1.6978056733535296</v>
      </c>
      <c r="BR31" s="436">
        <f t="shared" si="36"/>
        <v>0.7457131970729036</v>
      </c>
      <c r="BS31" s="439">
        <f t="shared" si="37"/>
        <v>14.912239325691687</v>
      </c>
      <c r="BT31" s="432">
        <f t="shared" si="38"/>
        <v>10.757709597071747</v>
      </c>
      <c r="BU31" s="432">
        <f t="shared" si="39"/>
        <v>8.230557981426545</v>
      </c>
      <c r="BV31" s="432">
        <f t="shared" si="40"/>
        <v>4.4295143628319185</v>
      </c>
      <c r="BW31" s="432">
        <f t="shared" si="41"/>
        <v>1.7117387665460755</v>
      </c>
      <c r="BX31" s="453">
        <f t="shared" si="42"/>
        <v>0.7143611771283674</v>
      </c>
      <c r="BY31" s="432">
        <f t="shared" si="50"/>
        <v>-76.38721161457258</v>
      </c>
      <c r="BZ31" s="432">
        <f t="shared" si="43"/>
        <v>-74.20259819392577</v>
      </c>
      <c r="CA31" s="432">
        <f t="shared" si="44"/>
        <v>-57.081474590383536</v>
      </c>
      <c r="CB31" s="432">
        <f t="shared" si="45"/>
        <v>-44.52874269154762</v>
      </c>
      <c r="CC31" s="432">
        <f t="shared" si="46"/>
        <v>-21.940821132499355</v>
      </c>
      <c r="CD31" s="432">
        <f t="shared" si="47"/>
        <v>-8.191445588448445</v>
      </c>
      <c r="CE31" s="453">
        <f t="shared" si="48"/>
        <v>-3.4697519785164297</v>
      </c>
      <c r="CF31" s="432">
        <f t="shared" si="51"/>
        <v>-78.79247829568261</v>
      </c>
      <c r="CG31" s="432">
        <f t="shared" si="52"/>
        <v>-60.61230950423143</v>
      </c>
      <c r="CH31" s="432">
        <f t="shared" si="53"/>
        <v>-47.28311511260545</v>
      </c>
      <c r="CI31" s="432">
        <f t="shared" si="54"/>
        <v>-23.29799380277532</v>
      </c>
      <c r="CJ31" s="432">
        <f t="shared" si="55"/>
        <v>-8.698136109079314</v>
      </c>
      <c r="CK31" s="432">
        <f t="shared" si="56"/>
        <v>-3.684377152726673</v>
      </c>
      <c r="CL31" s="12">
        <f t="shared" si="57"/>
        <v>2025</v>
      </c>
      <c r="CM31" s="128">
        <f t="shared" si="58"/>
        <v>-69.06733627155793</v>
      </c>
      <c r="CN31" s="768" t="s">
        <v>289</v>
      </c>
      <c r="CO31" s="613">
        <f>PMT(0.07,20,-CO30,CO28,0)</f>
        <v>-31.83423998408168</v>
      </c>
      <c r="CR31" s="612">
        <f>PMT(0.07,20,-CR30,CR28,0)</f>
        <v>32.58275777588041</v>
      </c>
      <c r="CS31" s="620"/>
      <c r="CT31" s="612">
        <f>PMT(0.07,20,-CT30,CT28,0)</f>
        <v>29.867527961223708</v>
      </c>
      <c r="CU31" s="612">
        <f>PMT(0.07,20,-CU30,CU28,0)</f>
        <v>2.715229814656701</v>
      </c>
      <c r="CW31" s="627" t="s">
        <v>304</v>
      </c>
      <c r="CX31" s="532">
        <f aca="true" t="shared" si="86" ref="CX31:DG31">NPV($CW$32,CX13:CX28)</f>
        <v>-349.36639762165026</v>
      </c>
      <c r="CY31" s="532">
        <f t="shared" si="86"/>
        <v>-71.95303155561062</v>
      </c>
      <c r="CZ31" s="532">
        <f t="shared" si="86"/>
        <v>-447.38058756702964</v>
      </c>
      <c r="DA31" s="532">
        <f t="shared" si="86"/>
        <v>-203.37685373922008</v>
      </c>
      <c r="DB31" s="532">
        <f t="shared" si="86"/>
        <v>-41.844487622102385</v>
      </c>
      <c r="DC31" s="532">
        <f t="shared" si="86"/>
        <v>-260.3897664924602</v>
      </c>
      <c r="DD31" s="532">
        <f t="shared" si="86"/>
        <v>-77.77645033198557</v>
      </c>
      <c r="DE31" s="532">
        <f t="shared" si="86"/>
        <v>-16.093522063344224</v>
      </c>
      <c r="DF31" s="532">
        <f t="shared" si="86"/>
        <v>-99.67639870568317</v>
      </c>
      <c r="DG31" s="532">
        <f t="shared" si="86"/>
        <v>-124.0167113902117</v>
      </c>
      <c r="DH31" s="633">
        <v>1.64788544178009</v>
      </c>
      <c r="DI31" s="532">
        <f>NPV($CW$32,DI13:DI28)</f>
        <v>-29.004874304401056</v>
      </c>
      <c r="DJ31" s="532">
        <f>NPV($CW$32,DJ13:DJ28)</f>
        <v>-6.449207324745012</v>
      </c>
      <c r="DK31" s="532">
        <f>NPV($CW$32,DK13:DK28)</f>
        <v>-37.64713130336896</v>
      </c>
    </row>
    <row r="32" spans="1:112" ht="12.75">
      <c r="A32" s="412">
        <v>2026</v>
      </c>
      <c r="B32" s="413">
        <v>5.833718605041501</v>
      </c>
      <c r="C32" s="423">
        <v>5.6914327854063425</v>
      </c>
      <c r="D32" s="422">
        <f t="shared" si="84"/>
        <v>9.34</v>
      </c>
      <c r="E32" s="422">
        <f t="shared" si="84"/>
        <v>7.34</v>
      </c>
      <c r="F32" s="441">
        <f t="shared" si="84"/>
        <v>6.5</v>
      </c>
      <c r="G32" s="414">
        <f t="shared" si="84"/>
        <v>5.34</v>
      </c>
      <c r="H32" s="413">
        <f t="shared" si="84"/>
        <v>4.22</v>
      </c>
      <c r="I32" s="422">
        <f t="shared" si="84"/>
        <v>3.5</v>
      </c>
      <c r="J32" s="443">
        <f aca="true" t="shared" si="87" ref="J32:O47">J31+((J31-J29)/3)</f>
        <v>0.017333333333333333</v>
      </c>
      <c r="K32" s="443">
        <f t="shared" si="87"/>
        <v>0.1701666666666667</v>
      </c>
      <c r="L32" s="443">
        <f t="shared" si="87"/>
        <v>0.2894333333333334</v>
      </c>
      <c r="M32" s="443">
        <f t="shared" si="87"/>
        <v>0.5645</v>
      </c>
      <c r="N32" s="443">
        <f t="shared" si="87"/>
        <v>0.7887333333333333</v>
      </c>
      <c r="O32" s="443">
        <f t="shared" si="87"/>
        <v>0.8865</v>
      </c>
      <c r="P32" s="442">
        <v>23.740727991939856</v>
      </c>
      <c r="Q32" s="448">
        <v>23.42115411857523</v>
      </c>
      <c r="R32" s="449">
        <v>20.387882972845134</v>
      </c>
      <c r="S32" s="459">
        <v>17.041190149403835</v>
      </c>
      <c r="T32" s="449">
        <v>10.290867108134236</v>
      </c>
      <c r="U32" s="464">
        <v>4.380338637252095</v>
      </c>
      <c r="V32" s="464">
        <v>1.9239400484480917</v>
      </c>
      <c r="W32" s="465">
        <v>96.06728724480156</v>
      </c>
      <c r="X32" s="466">
        <v>96.06728724480156</v>
      </c>
      <c r="Y32" s="466">
        <v>96.06728724480156</v>
      </c>
      <c r="Z32" s="466">
        <v>96.06728724480156</v>
      </c>
      <c r="AA32" s="466">
        <v>96.06728724480156</v>
      </c>
      <c r="AB32" s="466">
        <v>96.06728724480156</v>
      </c>
      <c r="AC32" s="466">
        <v>96.06728724480156</v>
      </c>
      <c r="AD32" s="439">
        <f t="shared" si="3"/>
        <v>93.40492015597749</v>
      </c>
      <c r="AE32" s="432">
        <f t="shared" si="4"/>
        <v>92.59070946697784</v>
      </c>
      <c r="AF32" s="432">
        <f t="shared" si="5"/>
        <v>87.01975981411488</v>
      </c>
      <c r="AG32" s="432">
        <f t="shared" si="6"/>
        <v>81.48215571774759</v>
      </c>
      <c r="AH32" s="432">
        <f t="shared" si="7"/>
        <v>70.57545000097441</v>
      </c>
      <c r="AI32" s="432">
        <f t="shared" si="8"/>
        <v>57.09693321262655</v>
      </c>
      <c r="AJ32" s="453">
        <f t="shared" si="9"/>
        <v>47.11587025459911</v>
      </c>
      <c r="AK32" s="433">
        <f t="shared" si="10"/>
        <v>0.7508136619841826</v>
      </c>
      <c r="AL32" s="433">
        <f t="shared" si="11"/>
        <v>0.7407069613717656</v>
      </c>
      <c r="AM32" s="433">
        <f t="shared" si="12"/>
        <v>0.6447780826326734</v>
      </c>
      <c r="AN32" s="433">
        <f t="shared" si="13"/>
        <v>0.5389370698736191</v>
      </c>
      <c r="AO32" s="433">
        <f t="shared" si="14"/>
        <v>0.32545436774618075</v>
      </c>
      <c r="AP32" s="433">
        <f t="shared" si="15"/>
        <v>0.13853063368918705</v>
      </c>
      <c r="AQ32" s="433">
        <f t="shared" si="16"/>
        <v>0.060845668831375446</v>
      </c>
      <c r="AR32" s="439">
        <f t="shared" si="17"/>
        <v>5.8400475051152885</v>
      </c>
      <c r="AS32" s="432">
        <f t="shared" si="18"/>
        <v>5.761434641917633</v>
      </c>
      <c r="AT32" s="432">
        <f t="shared" si="19"/>
        <v>5.015271862369618</v>
      </c>
      <c r="AU32" s="432">
        <f t="shared" si="20"/>
        <v>4.1920096152910435</v>
      </c>
      <c r="AV32" s="432">
        <f t="shared" si="21"/>
        <v>2.531478933617217</v>
      </c>
      <c r="AW32" s="432">
        <f t="shared" si="22"/>
        <v>1.0775316468277325</v>
      </c>
      <c r="AX32" s="432">
        <f t="shared" si="23"/>
        <v>0.4732753470637182</v>
      </c>
      <c r="AY32" s="454">
        <v>10.319322656573302</v>
      </c>
      <c r="AZ32" s="455">
        <v>10.180414283039852</v>
      </c>
      <c r="BA32" s="455">
        <v>8.861949926416512</v>
      </c>
      <c r="BB32" s="455">
        <v>7.4072513557048545</v>
      </c>
      <c r="BC32" s="455">
        <v>4.473105379953328</v>
      </c>
      <c r="BD32" s="456">
        <v>1.9039908025653343</v>
      </c>
      <c r="BE32" s="456">
        <v>0.8362741925428581</v>
      </c>
      <c r="BF32" s="439">
        <f t="shared" si="24"/>
        <v>10.033337428846325</v>
      </c>
      <c r="BG32" s="432">
        <f t="shared" si="25"/>
        <v>9.898278701666635</v>
      </c>
      <c r="BH32" s="432">
        <f t="shared" si="26"/>
        <v>8.616353693780361</v>
      </c>
      <c r="BI32" s="432">
        <f t="shared" si="27"/>
        <v>7.2019700076657145</v>
      </c>
      <c r="BJ32" s="432">
        <f t="shared" si="28"/>
        <v>4.349139679557493</v>
      </c>
      <c r="BK32" s="432">
        <f t="shared" si="29"/>
        <v>1.851224428125548</v>
      </c>
      <c r="BL32" s="453">
        <f t="shared" si="30"/>
        <v>0.8130980526588881</v>
      </c>
      <c r="BM32" s="436">
        <f t="shared" si="31"/>
        <v>9.077966712626058</v>
      </c>
      <c r="BN32" s="436">
        <f t="shared" si="32"/>
        <v>7.9022802220329975</v>
      </c>
      <c r="BO32" s="436">
        <f t="shared" si="33"/>
        <v>6.6051124610092415</v>
      </c>
      <c r="BP32" s="436">
        <f t="shared" si="34"/>
        <v>3.9887081814473717</v>
      </c>
      <c r="BQ32" s="436">
        <f t="shared" si="35"/>
        <v>1.6978056733535294</v>
      </c>
      <c r="BR32" s="436">
        <f t="shared" si="36"/>
        <v>0.7457131970729036</v>
      </c>
      <c r="BS32" s="439">
        <f t="shared" si="37"/>
        <v>14.912239325691688</v>
      </c>
      <c r="BT32" s="432">
        <f t="shared" si="38"/>
        <v>10.757709597071747</v>
      </c>
      <c r="BU32" s="432">
        <f t="shared" si="39"/>
        <v>8.230557981426545</v>
      </c>
      <c r="BV32" s="432">
        <f t="shared" si="40"/>
        <v>4.429514362831919</v>
      </c>
      <c r="BW32" s="432">
        <f t="shared" si="41"/>
        <v>1.7117387665460753</v>
      </c>
      <c r="BX32" s="453">
        <f t="shared" si="42"/>
        <v>0.7143611771283674</v>
      </c>
      <c r="BY32" s="432">
        <f t="shared" si="50"/>
        <v>-77.53153522201588</v>
      </c>
      <c r="BZ32" s="432">
        <f t="shared" si="43"/>
        <v>-75.06761167765396</v>
      </c>
      <c r="CA32" s="432">
        <f t="shared" si="44"/>
        <v>-56.7496682131613</v>
      </c>
      <c r="CB32" s="432">
        <f t="shared" si="45"/>
        <v>-44.122326326459856</v>
      </c>
      <c r="CC32" s="432">
        <f t="shared" si="46"/>
        <v>-21.35452900443103</v>
      </c>
      <c r="CD32" s="432">
        <f t="shared" si="47"/>
        <v>-7.783817258633851</v>
      </c>
      <c r="CE32" s="453">
        <f t="shared" si="48"/>
        <v>-3.427996690650097</v>
      </c>
      <c r="CF32" s="432">
        <f t="shared" si="51"/>
        <v>-79.71099810228024</v>
      </c>
      <c r="CG32" s="432">
        <f t="shared" si="52"/>
        <v>-60.259978893013134</v>
      </c>
      <c r="CH32" s="432">
        <f t="shared" si="53"/>
        <v>-46.85155943390134</v>
      </c>
      <c r="CI32" s="432">
        <f t="shared" si="54"/>
        <v>-22.675435955743833</v>
      </c>
      <c r="CJ32" s="432">
        <f t="shared" si="55"/>
        <v>-8.265293498289832</v>
      </c>
      <c r="CK32" s="432">
        <f t="shared" si="56"/>
        <v>-3.64003904741748</v>
      </c>
      <c r="CL32" s="12">
        <f t="shared" si="57"/>
        <v>2026</v>
      </c>
      <c r="CM32" s="128">
        <f t="shared" si="58"/>
        <v>-70.08817609479084</v>
      </c>
      <c r="CN32" s="768"/>
      <c r="CQ32" s="621" t="s">
        <v>296</v>
      </c>
      <c r="CR32" s="622">
        <f>PMT(0.07,16,-CR30,CR28,0)</f>
        <v>35.77216417080966</v>
      </c>
      <c r="CS32" s="623"/>
      <c r="CT32" s="622">
        <f>PMT(0.07,16,-CT30,CT28,0)</f>
        <v>32.79115048990886</v>
      </c>
      <c r="CU32" s="622">
        <f>PMT(0.07,16,-CU30,CU28,0)</f>
        <v>2.981013680900806</v>
      </c>
      <c r="CW32" s="71">
        <v>0.07</v>
      </c>
      <c r="DH32" s="245">
        <v>1.67973053455353</v>
      </c>
    </row>
    <row r="33" spans="1:112" ht="12.75">
      <c r="A33" s="412">
        <v>2027</v>
      </c>
      <c r="B33" s="413">
        <v>5.93260366439819</v>
      </c>
      <c r="C33" s="423">
        <v>5.7879060140470155</v>
      </c>
      <c r="D33" s="422">
        <f t="shared" si="84"/>
        <v>9.34</v>
      </c>
      <c r="E33" s="422">
        <f t="shared" si="84"/>
        <v>7.34</v>
      </c>
      <c r="F33" s="441">
        <f t="shared" si="84"/>
        <v>6.5</v>
      </c>
      <c r="G33" s="414">
        <f t="shared" si="84"/>
        <v>5.34</v>
      </c>
      <c r="H33" s="413">
        <f t="shared" si="84"/>
        <v>4.22</v>
      </c>
      <c r="I33" s="422">
        <f t="shared" si="84"/>
        <v>3.5</v>
      </c>
      <c r="J33" s="443">
        <f t="shared" si="87"/>
        <v>0.019444444444444445</v>
      </c>
      <c r="K33" s="443">
        <f t="shared" si="87"/>
        <v>0.17822222222222225</v>
      </c>
      <c r="L33" s="443">
        <f t="shared" si="87"/>
        <v>0.30081111111111114</v>
      </c>
      <c r="M33" s="443">
        <f t="shared" si="87"/>
        <v>0.5735666666666667</v>
      </c>
      <c r="N33" s="443">
        <f t="shared" si="87"/>
        <v>0.7954111111111111</v>
      </c>
      <c r="O33" s="443">
        <f t="shared" si="87"/>
        <v>0.8903333333333333</v>
      </c>
      <c r="P33" s="442">
        <v>23.740727991939856</v>
      </c>
      <c r="Q33" s="448">
        <v>23.42115411857523</v>
      </c>
      <c r="R33" s="449">
        <v>20.387882972845134</v>
      </c>
      <c r="S33" s="459">
        <v>17.041190149403835</v>
      </c>
      <c r="T33" s="449">
        <v>10.290867108134236</v>
      </c>
      <c r="U33" s="464">
        <v>4.380338637252095</v>
      </c>
      <c r="V33" s="464">
        <v>1.9239400484480917</v>
      </c>
      <c r="W33" s="465">
        <v>96.06728724480156</v>
      </c>
      <c r="X33" s="466">
        <v>96.06728724480156</v>
      </c>
      <c r="Y33" s="466">
        <v>96.06728724480156</v>
      </c>
      <c r="Z33" s="466">
        <v>96.06728724480156</v>
      </c>
      <c r="AA33" s="466">
        <v>96.06728724480156</v>
      </c>
      <c r="AB33" s="466">
        <v>96.06728724480156</v>
      </c>
      <c r="AC33" s="466">
        <v>96.06728724480156</v>
      </c>
      <c r="AD33" s="439">
        <f t="shared" si="3"/>
        <v>94.9881900562172</v>
      </c>
      <c r="AE33" s="432">
        <f t="shared" si="4"/>
        <v>94.16017800349717</v>
      </c>
      <c r="AF33" s="432">
        <f t="shared" si="5"/>
        <v>88.4947973839742</v>
      </c>
      <c r="AG33" s="432">
        <f t="shared" si="6"/>
        <v>82.8633275483013</v>
      </c>
      <c r="AH33" s="432">
        <f t="shared" si="7"/>
        <v>71.77174657181693</v>
      </c>
      <c r="AI33" s="432">
        <f t="shared" si="8"/>
        <v>58.06476077032468</v>
      </c>
      <c r="AJ33" s="453">
        <f t="shared" si="9"/>
        <v>47.91451275729742</v>
      </c>
      <c r="AK33" s="433">
        <f t="shared" si="10"/>
        <v>0.7508136619841826</v>
      </c>
      <c r="AL33" s="433">
        <f t="shared" si="11"/>
        <v>0.7407069613717656</v>
      </c>
      <c r="AM33" s="433">
        <f t="shared" si="12"/>
        <v>0.6447780826326734</v>
      </c>
      <c r="AN33" s="433">
        <f t="shared" si="13"/>
        <v>0.5389370698736191</v>
      </c>
      <c r="AO33" s="433">
        <f t="shared" si="14"/>
        <v>0.32545436774618075</v>
      </c>
      <c r="AP33" s="433">
        <f t="shared" si="15"/>
        <v>0.13853063368918705</v>
      </c>
      <c r="AQ33" s="433">
        <f t="shared" si="16"/>
        <v>0.060845668831375446</v>
      </c>
      <c r="AR33" s="439">
        <f t="shared" si="17"/>
        <v>5.939039843156781</v>
      </c>
      <c r="AS33" s="432">
        <f t="shared" si="18"/>
        <v>5.859094444372514</v>
      </c>
      <c r="AT33" s="432">
        <f t="shared" si="19"/>
        <v>5.10028375433365</v>
      </c>
      <c r="AU33" s="432">
        <f t="shared" si="20"/>
        <v>4.263066714149675</v>
      </c>
      <c r="AV33" s="432">
        <f t="shared" si="21"/>
        <v>2.5743890329138504</v>
      </c>
      <c r="AW33" s="432">
        <f t="shared" si="22"/>
        <v>1.0957964600744992</v>
      </c>
      <c r="AX33" s="432">
        <f t="shared" si="23"/>
        <v>0.4812976504957022</v>
      </c>
      <c r="AY33" s="454">
        <v>10.319322656573302</v>
      </c>
      <c r="AZ33" s="455">
        <v>10.180414283039852</v>
      </c>
      <c r="BA33" s="455">
        <v>8.861949926416512</v>
      </c>
      <c r="BB33" s="455">
        <v>7.4072513557048545</v>
      </c>
      <c r="BC33" s="455">
        <v>4.473105379953328</v>
      </c>
      <c r="BD33" s="456">
        <v>1.9039908025653343</v>
      </c>
      <c r="BE33" s="456">
        <v>0.8362741925428581</v>
      </c>
      <c r="BF33" s="439">
        <f t="shared" si="24"/>
        <v>10.203408567749005</v>
      </c>
      <c r="BG33" s="432">
        <f t="shared" si="25"/>
        <v>10.066060513442316</v>
      </c>
      <c r="BH33" s="432">
        <f t="shared" si="26"/>
        <v>8.762406101195312</v>
      </c>
      <c r="BI33" s="432">
        <f t="shared" si="27"/>
        <v>7.3240477559955135</v>
      </c>
      <c r="BJ33" s="432">
        <f t="shared" si="28"/>
        <v>4.422860228058395</v>
      </c>
      <c r="BK33" s="432">
        <f t="shared" si="29"/>
        <v>1.8826038020465923</v>
      </c>
      <c r="BL33" s="453">
        <f t="shared" si="30"/>
        <v>0.8268805565202328</v>
      </c>
      <c r="BM33" s="436">
        <f t="shared" si="31"/>
        <v>9.077966712626058</v>
      </c>
      <c r="BN33" s="436">
        <f t="shared" si="32"/>
        <v>7.9022802220329975</v>
      </c>
      <c r="BO33" s="436">
        <f t="shared" si="33"/>
        <v>6.6051124610092415</v>
      </c>
      <c r="BP33" s="436">
        <f t="shared" si="34"/>
        <v>3.9887081814473717</v>
      </c>
      <c r="BQ33" s="436">
        <f t="shared" si="35"/>
        <v>1.6978056733535294</v>
      </c>
      <c r="BR33" s="436">
        <f t="shared" si="36"/>
        <v>0.7457131970729036</v>
      </c>
      <c r="BS33" s="439">
        <f t="shared" si="37"/>
        <v>14.912239325691688</v>
      </c>
      <c r="BT33" s="432">
        <f t="shared" si="38"/>
        <v>10.757709597071747</v>
      </c>
      <c r="BU33" s="432">
        <f t="shared" si="39"/>
        <v>8.230557981426545</v>
      </c>
      <c r="BV33" s="432">
        <f t="shared" si="40"/>
        <v>4.429514362831919</v>
      </c>
      <c r="BW33" s="432">
        <f t="shared" si="41"/>
        <v>1.7117387665460753</v>
      </c>
      <c r="BX33" s="453">
        <f t="shared" si="42"/>
        <v>0.7143611771283674</v>
      </c>
      <c r="BY33" s="432">
        <f t="shared" si="50"/>
        <v>-78.84574164531142</v>
      </c>
      <c r="BZ33" s="432">
        <f t="shared" si="43"/>
        <v>-76.11417048650365</v>
      </c>
      <c r="CA33" s="432">
        <f t="shared" si="44"/>
        <v>-56.94310517315661</v>
      </c>
      <c r="CB33" s="432">
        <f t="shared" si="45"/>
        <v>-43.87416015653031</v>
      </c>
      <c r="CC33" s="432">
        <f t="shared" si="46"/>
        <v>-21.06799408076126</v>
      </c>
      <c r="CD33" s="432">
        <f t="shared" si="47"/>
        <v>-7.539468593248406</v>
      </c>
      <c r="CE33" s="453">
        <f t="shared" si="48"/>
        <v>-3.3104271239977274</v>
      </c>
      <c r="CF33" s="432">
        <f t="shared" si="51"/>
        <v>-80.8222929118762</v>
      </c>
      <c r="CG33" s="432">
        <f t="shared" si="52"/>
        <v>-60.465381100523174</v>
      </c>
      <c r="CH33" s="432">
        <f t="shared" si="53"/>
        <v>-46.588042683358545</v>
      </c>
      <c r="CI33" s="432">
        <f t="shared" si="54"/>
        <v>-22.371177111663982</v>
      </c>
      <c r="CJ33" s="432">
        <f t="shared" si="55"/>
        <v>-8.005830388067665</v>
      </c>
      <c r="CK33" s="432">
        <f t="shared" si="56"/>
        <v>-3.5151970910148274</v>
      </c>
      <c r="CL33" s="12">
        <f t="shared" si="57"/>
        <v>2027</v>
      </c>
      <c r="CM33" s="128">
        <f t="shared" si="58"/>
        <v>-71.27621307815612</v>
      </c>
      <c r="CP33" s="29"/>
      <c r="CQ33" s="29"/>
      <c r="CR33" s="386"/>
      <c r="CS33" s="620"/>
      <c r="DC33" s="643" t="s">
        <v>322</v>
      </c>
      <c r="DD33" s="532">
        <f>DF29*(DD29/(DD29+DE29))</f>
        <v>-160.4101589371679</v>
      </c>
      <c r="DE33" s="532">
        <f>DF29*(DE29/(DD29+DE29))</f>
        <v>-23.738915268761307</v>
      </c>
      <c r="DH33" s="245">
        <v>1.71271574497223</v>
      </c>
    </row>
    <row r="34" spans="1:112" ht="12.75">
      <c r="A34" s="412">
        <v>2028</v>
      </c>
      <c r="B34" s="413">
        <v>5.99089939117432</v>
      </c>
      <c r="C34" s="423">
        <v>5.844779893828606</v>
      </c>
      <c r="D34" s="422">
        <f t="shared" si="84"/>
        <v>9.34</v>
      </c>
      <c r="E34" s="422">
        <f t="shared" si="84"/>
        <v>7.34</v>
      </c>
      <c r="F34" s="441">
        <f t="shared" si="84"/>
        <v>6.5</v>
      </c>
      <c r="G34" s="414">
        <f t="shared" si="84"/>
        <v>5.34</v>
      </c>
      <c r="H34" s="413">
        <f t="shared" si="84"/>
        <v>4.22</v>
      </c>
      <c r="I34" s="422">
        <f t="shared" si="84"/>
        <v>3.5</v>
      </c>
      <c r="J34" s="443">
        <f t="shared" si="87"/>
        <v>0.020925925925925928</v>
      </c>
      <c r="K34" s="443">
        <f t="shared" si="87"/>
        <v>0.185062962962963</v>
      </c>
      <c r="L34" s="443">
        <f t="shared" si="87"/>
        <v>0.30874814814814816</v>
      </c>
      <c r="M34" s="443">
        <f t="shared" si="87"/>
        <v>0.5808555555555556</v>
      </c>
      <c r="N34" s="443">
        <f t="shared" si="87"/>
        <v>0.8007814814814814</v>
      </c>
      <c r="O34" s="443">
        <f t="shared" si="87"/>
        <v>0.8923444444444444</v>
      </c>
      <c r="P34" s="442">
        <v>23.740727991939856</v>
      </c>
      <c r="Q34" s="448">
        <v>23.42115411857523</v>
      </c>
      <c r="R34" s="449">
        <v>20.387882972845134</v>
      </c>
      <c r="S34" s="459">
        <v>17.041190149403835</v>
      </c>
      <c r="T34" s="449">
        <v>10.290867108134236</v>
      </c>
      <c r="U34" s="464">
        <v>4.380338637252095</v>
      </c>
      <c r="V34" s="464">
        <v>1.9239400484480917</v>
      </c>
      <c r="W34" s="465">
        <v>96.06728724480156</v>
      </c>
      <c r="X34" s="466">
        <v>96.06728724480156</v>
      </c>
      <c r="Y34" s="466">
        <v>96.06728724480156</v>
      </c>
      <c r="Z34" s="466">
        <v>96.06728724480156</v>
      </c>
      <c r="AA34" s="466">
        <v>96.06728724480156</v>
      </c>
      <c r="AB34" s="466">
        <v>96.06728724480156</v>
      </c>
      <c r="AC34" s="466">
        <v>96.06728724480156</v>
      </c>
      <c r="AD34" s="439">
        <f t="shared" si="3"/>
        <v>95.92157544444169</v>
      </c>
      <c r="AE34" s="432">
        <f t="shared" si="4"/>
        <v>95.08542707129249</v>
      </c>
      <c r="AF34" s="432">
        <f t="shared" si="5"/>
        <v>89.36437654705965</v>
      </c>
      <c r="AG34" s="432">
        <f t="shared" si="6"/>
        <v>83.67757002526048</v>
      </c>
      <c r="AH34" s="432">
        <f t="shared" si="7"/>
        <v>72.47699950376392</v>
      </c>
      <c r="AI34" s="432">
        <f t="shared" si="8"/>
        <v>58.63532432398009</v>
      </c>
      <c r="AJ34" s="453">
        <f t="shared" si="9"/>
        <v>48.385336615137945</v>
      </c>
      <c r="AK34" s="433">
        <f t="shared" si="10"/>
        <v>0.7508136619841826</v>
      </c>
      <c r="AL34" s="433">
        <f t="shared" si="11"/>
        <v>0.7407069613717656</v>
      </c>
      <c r="AM34" s="433">
        <f t="shared" si="12"/>
        <v>0.6447780826326734</v>
      </c>
      <c r="AN34" s="433">
        <f t="shared" si="13"/>
        <v>0.5389370698736191</v>
      </c>
      <c r="AO34" s="433">
        <f t="shared" si="14"/>
        <v>0.32545436774618075</v>
      </c>
      <c r="AP34" s="433">
        <f t="shared" si="15"/>
        <v>0.13853063368918705</v>
      </c>
      <c r="AQ34" s="433">
        <f t="shared" si="16"/>
        <v>0.060845668831375446</v>
      </c>
      <c r="AR34" s="439">
        <f t="shared" si="17"/>
        <v>5.9973988139552015</v>
      </c>
      <c r="AS34" s="432">
        <f t="shared" si="18"/>
        <v>5.916667845227588</v>
      </c>
      <c r="AT34" s="432">
        <f t="shared" si="19"/>
        <v>5.150400830248838</v>
      </c>
      <c r="AU34" s="432">
        <f t="shared" si="20"/>
        <v>4.304957018382849</v>
      </c>
      <c r="AV34" s="432">
        <f t="shared" si="21"/>
        <v>2.59968583144749</v>
      </c>
      <c r="AW34" s="432">
        <f t="shared" si="22"/>
        <v>1.1065641187033912</v>
      </c>
      <c r="AX34" s="432">
        <f t="shared" si="23"/>
        <v>0.4860270404766419</v>
      </c>
      <c r="AY34" s="454">
        <v>10.319322656573302</v>
      </c>
      <c r="AZ34" s="455">
        <v>10.180414283039852</v>
      </c>
      <c r="BA34" s="455">
        <v>8.861949926416512</v>
      </c>
      <c r="BB34" s="455">
        <v>7.4072513557048545</v>
      </c>
      <c r="BC34" s="455">
        <v>4.473105379953328</v>
      </c>
      <c r="BD34" s="456">
        <v>1.9039908025653343</v>
      </c>
      <c r="BE34" s="456">
        <v>0.8362741925428581</v>
      </c>
      <c r="BF34" s="439">
        <f t="shared" si="24"/>
        <v>10.30367063676606</v>
      </c>
      <c r="BG34" s="432">
        <f t="shared" si="25"/>
        <v>10.164972955027633</v>
      </c>
      <c r="BH34" s="432">
        <f t="shared" si="26"/>
        <v>8.848508403131</v>
      </c>
      <c r="BI34" s="432">
        <f t="shared" si="27"/>
        <v>7.396016272861228</v>
      </c>
      <c r="BJ34" s="432">
        <f t="shared" si="28"/>
        <v>4.466320716236828</v>
      </c>
      <c r="BK34" s="432">
        <f t="shared" si="29"/>
        <v>1.9011028899816944</v>
      </c>
      <c r="BL34" s="453">
        <f t="shared" si="30"/>
        <v>0.8350057584933008</v>
      </c>
      <c r="BM34" s="436">
        <f t="shared" si="31"/>
        <v>9.077966712626058</v>
      </c>
      <c r="BN34" s="436">
        <f t="shared" si="32"/>
        <v>7.9022802220329975</v>
      </c>
      <c r="BO34" s="436">
        <f t="shared" si="33"/>
        <v>6.6051124610092415</v>
      </c>
      <c r="BP34" s="436">
        <f t="shared" si="34"/>
        <v>3.9887081814473717</v>
      </c>
      <c r="BQ34" s="436">
        <f t="shared" si="35"/>
        <v>1.6978056733535294</v>
      </c>
      <c r="BR34" s="436">
        <f t="shared" si="36"/>
        <v>0.7457131970729036</v>
      </c>
      <c r="BS34" s="439">
        <f t="shared" si="37"/>
        <v>14.912239325691688</v>
      </c>
      <c r="BT34" s="432">
        <f t="shared" si="38"/>
        <v>10.757709597071747</v>
      </c>
      <c r="BU34" s="432">
        <f t="shared" si="39"/>
        <v>8.230557981426545</v>
      </c>
      <c r="BV34" s="432">
        <f t="shared" si="40"/>
        <v>4.429514362831919</v>
      </c>
      <c r="BW34" s="432">
        <f t="shared" si="41"/>
        <v>1.7117387665460753</v>
      </c>
      <c r="BX34" s="453">
        <f t="shared" si="42"/>
        <v>0.7143611771283674</v>
      </c>
      <c r="BY34" s="432">
        <f t="shared" si="50"/>
        <v>-79.62050599372043</v>
      </c>
      <c r="BZ34" s="432">
        <f t="shared" si="43"/>
        <v>-76.70198325198926</v>
      </c>
      <c r="CA34" s="432">
        <f t="shared" si="44"/>
        <v>-56.836577393813826</v>
      </c>
      <c r="CB34" s="432">
        <f t="shared" si="45"/>
        <v>-43.60013241218882</v>
      </c>
      <c r="CC34" s="432">
        <f t="shared" si="46"/>
        <v>-20.739417118257037</v>
      </c>
      <c r="CD34" s="432">
        <f t="shared" si="47"/>
        <v>-7.302846730607037</v>
      </c>
      <c r="CE34" s="453">
        <f t="shared" si="48"/>
        <v>-3.2504612673380073</v>
      </c>
      <c r="CF34" s="432">
        <f t="shared" si="51"/>
        <v>-81.44646545695889</v>
      </c>
      <c r="CG34" s="432">
        <f t="shared" si="52"/>
        <v>-60.35226393284911</v>
      </c>
      <c r="CH34" s="432">
        <f t="shared" si="53"/>
        <v>-46.297064663397386</v>
      </c>
      <c r="CI34" s="432">
        <f t="shared" si="54"/>
        <v>-22.02227567402275</v>
      </c>
      <c r="CJ34" s="432">
        <f t="shared" si="55"/>
        <v>-7.7545720301362</v>
      </c>
      <c r="CK34" s="432">
        <f t="shared" si="56"/>
        <v>-3.4515219829411885</v>
      </c>
      <c r="CL34" s="12">
        <f t="shared" si="57"/>
        <v>2028</v>
      </c>
      <c r="CM34" s="128">
        <f t="shared" si="58"/>
        <v>-71.9765967340164</v>
      </c>
      <c r="CP34" s="29"/>
      <c r="CQ34" s="29"/>
      <c r="CR34" s="386"/>
      <c r="CS34" s="620"/>
      <c r="DC34" s="643" t="s">
        <v>323</v>
      </c>
      <c r="DD34" s="532">
        <f>DF31*(DD31/(DD31+DE31))</f>
        <v>-82.58739483329663</v>
      </c>
      <c r="DE34" s="532">
        <f>DF31*(DE31/(DD31+DE31))</f>
        <v>-17.08900387238653</v>
      </c>
      <c r="DH34" s="245">
        <v>1.74640226364136</v>
      </c>
    </row>
    <row r="35" spans="1:112" ht="12.75">
      <c r="A35" s="412">
        <v>2029</v>
      </c>
      <c r="B35" s="413">
        <v>6.071451492309571</v>
      </c>
      <c r="C35" s="423">
        <v>5.923367309570313</v>
      </c>
      <c r="D35" s="422">
        <f t="shared" si="84"/>
        <v>9.34</v>
      </c>
      <c r="E35" s="422">
        <f t="shared" si="84"/>
        <v>7.34</v>
      </c>
      <c r="F35" s="441">
        <f t="shared" si="84"/>
        <v>6.5</v>
      </c>
      <c r="G35" s="414">
        <f t="shared" si="84"/>
        <v>5.34</v>
      </c>
      <c r="H35" s="413">
        <f t="shared" si="84"/>
        <v>4.22</v>
      </c>
      <c r="I35" s="422">
        <f t="shared" si="84"/>
        <v>3.5</v>
      </c>
      <c r="J35" s="443">
        <f t="shared" si="87"/>
        <v>0.02212345679012346</v>
      </c>
      <c r="K35" s="443">
        <f t="shared" si="87"/>
        <v>0.19002839506172844</v>
      </c>
      <c r="L35" s="443">
        <f t="shared" si="87"/>
        <v>0.3151864197530864</v>
      </c>
      <c r="M35" s="443">
        <f t="shared" si="87"/>
        <v>0.5863074074074074</v>
      </c>
      <c r="N35" s="443">
        <f t="shared" si="87"/>
        <v>0.8047975308641975</v>
      </c>
      <c r="O35" s="443">
        <f t="shared" si="87"/>
        <v>0.8942925925925925</v>
      </c>
      <c r="P35" s="442">
        <v>23.740727991939856</v>
      </c>
      <c r="Q35" s="448">
        <v>23.42115411857523</v>
      </c>
      <c r="R35" s="449">
        <v>20.387882972845134</v>
      </c>
      <c r="S35" s="459">
        <v>17.041190149403835</v>
      </c>
      <c r="T35" s="449">
        <v>10.290867108134236</v>
      </c>
      <c r="U35" s="464">
        <v>4.380338637252095</v>
      </c>
      <c r="V35" s="464">
        <v>1.9239400484480917</v>
      </c>
      <c r="W35" s="465">
        <v>96.06728724480156</v>
      </c>
      <c r="X35" s="466">
        <v>96.06728724480156</v>
      </c>
      <c r="Y35" s="466">
        <v>96.06728724480156</v>
      </c>
      <c r="Z35" s="466">
        <v>96.06728724480156</v>
      </c>
      <c r="AA35" s="466">
        <v>96.06728724480156</v>
      </c>
      <c r="AB35" s="466">
        <v>96.06728724480156</v>
      </c>
      <c r="AC35" s="466">
        <v>96.06728724480156</v>
      </c>
      <c r="AD35" s="439">
        <f t="shared" si="3"/>
        <v>97.21131241743043</v>
      </c>
      <c r="AE35" s="432">
        <f t="shared" si="4"/>
        <v>96.3639214070877</v>
      </c>
      <c r="AF35" s="432">
        <f t="shared" si="5"/>
        <v>90.56594710057489</v>
      </c>
      <c r="AG35" s="432">
        <f t="shared" si="6"/>
        <v>84.8026772325951</v>
      </c>
      <c r="AH35" s="432">
        <f t="shared" si="7"/>
        <v>73.45150670423659</v>
      </c>
      <c r="AI35" s="432">
        <f t="shared" si="8"/>
        <v>59.42371989977655</v>
      </c>
      <c r="AJ35" s="453">
        <f t="shared" si="9"/>
        <v>49.03591347747477</v>
      </c>
      <c r="AK35" s="433">
        <f t="shared" si="10"/>
        <v>0.7508136619841826</v>
      </c>
      <c r="AL35" s="433">
        <f t="shared" si="11"/>
        <v>0.7407069613717656</v>
      </c>
      <c r="AM35" s="433">
        <f t="shared" si="12"/>
        <v>0.6447780826326734</v>
      </c>
      <c r="AN35" s="433">
        <f t="shared" si="13"/>
        <v>0.5389370698736191</v>
      </c>
      <c r="AO35" s="433">
        <f t="shared" si="14"/>
        <v>0.32545436774618075</v>
      </c>
      <c r="AP35" s="433">
        <f t="shared" si="15"/>
        <v>0.13853063368918705</v>
      </c>
      <c r="AQ35" s="433">
        <f t="shared" si="16"/>
        <v>0.060845668831375446</v>
      </c>
      <c r="AR35" s="439">
        <f t="shared" si="17"/>
        <v>6.078038304667038</v>
      </c>
      <c r="AS35" s="432">
        <f t="shared" si="18"/>
        <v>5.996221847979591</v>
      </c>
      <c r="AT35" s="432">
        <f t="shared" si="19"/>
        <v>5.2196518026781975</v>
      </c>
      <c r="AU35" s="432">
        <f t="shared" si="20"/>
        <v>4.362840369526842</v>
      </c>
      <c r="AV35" s="432">
        <f t="shared" si="21"/>
        <v>2.6346405423082886</v>
      </c>
      <c r="AW35" s="432">
        <f t="shared" si="22"/>
        <v>1.1214426968570734</v>
      </c>
      <c r="AX35" s="432">
        <f t="shared" si="23"/>
        <v>0.49256203576910446</v>
      </c>
      <c r="AY35" s="454">
        <v>10.319322656573302</v>
      </c>
      <c r="AZ35" s="455">
        <v>10.180414283039852</v>
      </c>
      <c r="BA35" s="455">
        <v>8.861949926416512</v>
      </c>
      <c r="BB35" s="455">
        <v>7.4072513557048545</v>
      </c>
      <c r="BC35" s="455">
        <v>4.473105379953328</v>
      </c>
      <c r="BD35" s="456">
        <v>1.9039908025653343</v>
      </c>
      <c r="BE35" s="456">
        <v>0.8362741925428581</v>
      </c>
      <c r="BF35" s="439">
        <f t="shared" si="24"/>
        <v>10.442211157145989</v>
      </c>
      <c r="BG35" s="432">
        <f t="shared" si="25"/>
        <v>10.301648581848662</v>
      </c>
      <c r="BH35" s="432">
        <f t="shared" si="26"/>
        <v>8.96748318425237</v>
      </c>
      <c r="BI35" s="432">
        <f t="shared" si="27"/>
        <v>7.495461216251055</v>
      </c>
      <c r="BJ35" s="432">
        <f t="shared" si="28"/>
        <v>4.526373722395933</v>
      </c>
      <c r="BK35" s="432">
        <f t="shared" si="29"/>
        <v>1.926664633263166</v>
      </c>
      <c r="BL35" s="453">
        <f t="shared" si="30"/>
        <v>0.8462330323823861</v>
      </c>
      <c r="BM35" s="436">
        <f t="shared" si="31"/>
        <v>9.077966712626058</v>
      </c>
      <c r="BN35" s="436">
        <f t="shared" si="32"/>
        <v>7.9022802220329975</v>
      </c>
      <c r="BO35" s="436">
        <f t="shared" si="33"/>
        <v>6.6051124610092415</v>
      </c>
      <c r="BP35" s="436">
        <f t="shared" si="34"/>
        <v>3.9887081814473717</v>
      </c>
      <c r="BQ35" s="436">
        <f t="shared" si="35"/>
        <v>1.6978056733535294</v>
      </c>
      <c r="BR35" s="436">
        <f t="shared" si="36"/>
        <v>0.7457131970729036</v>
      </c>
      <c r="BS35" s="439">
        <f t="shared" si="37"/>
        <v>14.912239325691688</v>
      </c>
      <c r="BT35" s="432">
        <f t="shared" si="38"/>
        <v>10.757709597071747</v>
      </c>
      <c r="BU35" s="432">
        <f t="shared" si="39"/>
        <v>8.230557981426545</v>
      </c>
      <c r="BV35" s="432">
        <f t="shared" si="40"/>
        <v>4.429514362831919</v>
      </c>
      <c r="BW35" s="432">
        <f t="shared" si="41"/>
        <v>1.7117387665460753</v>
      </c>
      <c r="BX35" s="453">
        <f t="shared" si="42"/>
        <v>0.7143611771283674</v>
      </c>
      <c r="BY35" s="432">
        <f t="shared" si="50"/>
        <v>-80.69106295561741</v>
      </c>
      <c r="BZ35" s="432">
        <f t="shared" si="43"/>
        <v>-77.60423764351697</v>
      </c>
      <c r="CA35" s="432">
        <f t="shared" si="44"/>
        <v>-57.12444024960497</v>
      </c>
      <c r="CB35" s="432">
        <f t="shared" si="45"/>
        <v>-43.621563321662954</v>
      </c>
      <c r="CC35" s="432">
        <f t="shared" si="46"/>
        <v>-20.628272891457758</v>
      </c>
      <c r="CD35" s="432">
        <f t="shared" si="47"/>
        <v>-7.173946386749658</v>
      </c>
      <c r="CE35" s="453">
        <f t="shared" si="48"/>
        <v>-3.2058163062646936</v>
      </c>
      <c r="CF35" s="432">
        <f t="shared" si="51"/>
        <v>-82.40452974705069</v>
      </c>
      <c r="CG35" s="432">
        <f t="shared" si="52"/>
        <v>-60.65793284969459</v>
      </c>
      <c r="CH35" s="432">
        <f t="shared" si="53"/>
        <v>-46.31982120441748</v>
      </c>
      <c r="CI35" s="432">
        <f t="shared" si="54"/>
        <v>-21.904256503657777</v>
      </c>
      <c r="CJ35" s="432">
        <f t="shared" si="55"/>
        <v>-7.617698419334254</v>
      </c>
      <c r="CK35" s="432">
        <f t="shared" si="56"/>
        <v>-3.4041154606360355</v>
      </c>
      <c r="CL35" s="12">
        <f t="shared" si="57"/>
        <v>2029</v>
      </c>
      <c r="CM35" s="128">
        <f t="shared" si="58"/>
        <v>-72.9443756468172</v>
      </c>
      <c r="CP35" s="29"/>
      <c r="CQ35" s="29"/>
      <c r="CR35" s="386"/>
      <c r="CS35" s="620"/>
      <c r="DH35" s="245">
        <v>1.78001022338867</v>
      </c>
    </row>
    <row r="36" spans="1:112" ht="12.75">
      <c r="A36" s="467">
        <v>2030</v>
      </c>
      <c r="B36" s="413">
        <v>6.239461727142331</v>
      </c>
      <c r="C36" s="414">
        <v>6.087279733797397</v>
      </c>
      <c r="D36" s="422">
        <f t="shared" si="84"/>
        <v>9.34</v>
      </c>
      <c r="E36" s="422">
        <f t="shared" si="84"/>
        <v>7.34</v>
      </c>
      <c r="F36" s="441">
        <f t="shared" si="84"/>
        <v>6.5</v>
      </c>
      <c r="G36" s="414">
        <f t="shared" si="84"/>
        <v>5.34</v>
      </c>
      <c r="H36" s="413">
        <f t="shared" si="84"/>
        <v>4.22</v>
      </c>
      <c r="I36" s="422">
        <f t="shared" si="84"/>
        <v>3.5</v>
      </c>
      <c r="J36" s="443">
        <f t="shared" si="87"/>
        <v>0.023016460905349798</v>
      </c>
      <c r="K36" s="443">
        <f t="shared" si="87"/>
        <v>0.1939637860082305</v>
      </c>
      <c r="L36" s="443">
        <f t="shared" si="87"/>
        <v>0.3199781893004115</v>
      </c>
      <c r="M36" s="443">
        <f t="shared" si="87"/>
        <v>0.5905543209876543</v>
      </c>
      <c r="N36" s="443">
        <f t="shared" si="87"/>
        <v>0.8079263374485596</v>
      </c>
      <c r="O36" s="443">
        <f t="shared" si="87"/>
        <v>0.8956123456790123</v>
      </c>
      <c r="P36" s="442">
        <v>23.740727991939856</v>
      </c>
      <c r="Q36" s="448">
        <v>23.42115411857523</v>
      </c>
      <c r="R36" s="449">
        <v>20.387882972845134</v>
      </c>
      <c r="S36" s="459">
        <v>17.041190149403835</v>
      </c>
      <c r="T36" s="449">
        <v>10.290867108134236</v>
      </c>
      <c r="U36" s="464">
        <v>4.380338637252095</v>
      </c>
      <c r="V36" s="464">
        <v>1.9239400484480917</v>
      </c>
      <c r="W36" s="465">
        <v>96.06728724480156</v>
      </c>
      <c r="X36" s="466">
        <v>96.06728724480156</v>
      </c>
      <c r="Y36" s="466">
        <v>96.06728724480156</v>
      </c>
      <c r="Z36" s="466">
        <v>96.06728724480156</v>
      </c>
      <c r="AA36" s="466">
        <v>96.06728724480156</v>
      </c>
      <c r="AB36" s="466">
        <v>96.06728724480156</v>
      </c>
      <c r="AC36" s="466">
        <v>96.06728724480156</v>
      </c>
      <c r="AD36" s="439">
        <f t="shared" si="3"/>
        <v>99.901360332388</v>
      </c>
      <c r="AE36" s="432">
        <f t="shared" si="4"/>
        <v>99.03052017437057</v>
      </c>
      <c r="AF36" s="432">
        <f t="shared" si="5"/>
        <v>93.07210334006595</v>
      </c>
      <c r="AG36" s="432">
        <f t="shared" si="6"/>
        <v>87.1493512914</v>
      </c>
      <c r="AH36" s="432">
        <f t="shared" si="7"/>
        <v>75.48406924810772</v>
      </c>
      <c r="AI36" s="432">
        <f t="shared" si="8"/>
        <v>61.068103149423465</v>
      </c>
      <c r="AJ36" s="453">
        <f t="shared" si="9"/>
        <v>50.39284358702515</v>
      </c>
      <c r="AK36" s="433">
        <f t="shared" si="10"/>
        <v>0.7508136619841826</v>
      </c>
      <c r="AL36" s="433">
        <f t="shared" si="11"/>
        <v>0.7407069613717656</v>
      </c>
      <c r="AM36" s="433">
        <f t="shared" si="12"/>
        <v>0.6447780826326734</v>
      </c>
      <c r="AN36" s="433">
        <f t="shared" si="13"/>
        <v>0.5389370698736191</v>
      </c>
      <c r="AO36" s="433">
        <f t="shared" si="14"/>
        <v>0.32545436774618075</v>
      </c>
      <c r="AP36" s="433">
        <f t="shared" si="15"/>
        <v>0.13853063368918705</v>
      </c>
      <c r="AQ36" s="433">
        <f t="shared" si="16"/>
        <v>0.060845668831375446</v>
      </c>
      <c r="AR36" s="439">
        <f t="shared" si="17"/>
        <v>6.246230810887847</v>
      </c>
      <c r="AS36" s="432">
        <f t="shared" si="18"/>
        <v>6.162150315342698</v>
      </c>
      <c r="AT36" s="432">
        <f t="shared" si="19"/>
        <v>5.3640908921157076</v>
      </c>
      <c r="AU36" s="432">
        <f t="shared" si="20"/>
        <v>4.483569627752904</v>
      </c>
      <c r="AV36" s="432">
        <f t="shared" si="21"/>
        <v>2.7075467619781333</v>
      </c>
      <c r="AW36" s="432">
        <f t="shared" si="22"/>
        <v>1.152475449253942</v>
      </c>
      <c r="AX36" s="432">
        <f t="shared" si="23"/>
        <v>0.5061922959143255</v>
      </c>
      <c r="AY36" s="454">
        <v>10.319322656573302</v>
      </c>
      <c r="AZ36" s="455">
        <v>10.180414283039852</v>
      </c>
      <c r="BA36" s="455">
        <v>8.861949926416512</v>
      </c>
      <c r="BB36" s="455">
        <v>7.4072513557048545</v>
      </c>
      <c r="BC36" s="455">
        <v>4.473105379953328</v>
      </c>
      <c r="BD36" s="456">
        <v>1.9039908025653343</v>
      </c>
      <c r="BE36" s="456">
        <v>0.8362741925428581</v>
      </c>
      <c r="BF36" s="439">
        <f t="shared" si="24"/>
        <v>10.731169794286972</v>
      </c>
      <c r="BG36" s="432">
        <f t="shared" si="25"/>
        <v>10.586717547580047</v>
      </c>
      <c r="BH36" s="432">
        <f t="shared" si="26"/>
        <v>9.215632898954603</v>
      </c>
      <c r="BI36" s="432">
        <f t="shared" si="27"/>
        <v>7.7028768895405975</v>
      </c>
      <c r="BJ36" s="432">
        <f t="shared" si="28"/>
        <v>4.651628303282207</v>
      </c>
      <c r="BK36" s="432">
        <f t="shared" si="29"/>
        <v>1.9799796235729021</v>
      </c>
      <c r="BL36" s="453">
        <f t="shared" si="30"/>
        <v>0.8696501362946698</v>
      </c>
      <c r="BM36" s="436">
        <f t="shared" si="31"/>
        <v>9.077966712626058</v>
      </c>
      <c r="BN36" s="436">
        <f t="shared" si="32"/>
        <v>7.9022802220329975</v>
      </c>
      <c r="BO36" s="436">
        <f t="shared" si="33"/>
        <v>6.6051124610092415</v>
      </c>
      <c r="BP36" s="436">
        <f t="shared" si="34"/>
        <v>3.9887081814473717</v>
      </c>
      <c r="BQ36" s="436">
        <f t="shared" si="35"/>
        <v>1.6978056733535294</v>
      </c>
      <c r="BR36" s="436">
        <f t="shared" si="36"/>
        <v>0.7457131970729036</v>
      </c>
      <c r="BS36" s="439">
        <f t="shared" si="37"/>
        <v>14.912239325691688</v>
      </c>
      <c r="BT36" s="432">
        <f t="shared" si="38"/>
        <v>10.757709597071747</v>
      </c>
      <c r="BU36" s="432">
        <f t="shared" si="39"/>
        <v>8.230557981426545</v>
      </c>
      <c r="BV36" s="432">
        <f t="shared" si="40"/>
        <v>4.429514362831919</v>
      </c>
      <c r="BW36" s="432">
        <f t="shared" si="41"/>
        <v>1.7117387665460753</v>
      </c>
      <c r="BX36" s="453">
        <f t="shared" si="42"/>
        <v>0.7143611771283674</v>
      </c>
      <c r="BY36" s="432">
        <f t="shared" si="50"/>
        <v>-82.92395972721317</v>
      </c>
      <c r="BZ36" s="432">
        <f t="shared" si="43"/>
        <v>-79.65909324196696</v>
      </c>
      <c r="CA36" s="432">
        <f t="shared" si="44"/>
        <v>-58.35315593118206</v>
      </c>
      <c r="CB36" s="432">
        <f t="shared" si="45"/>
        <v>-44.44341410934993</v>
      </c>
      <c r="CC36" s="432">
        <f t="shared" si="46"/>
        <v>-20.931582075798783</v>
      </c>
      <c r="CD36" s="432">
        <f t="shared" si="47"/>
        <v>-7.214160331827791</v>
      </c>
      <c r="CE36" s="453">
        <f t="shared" si="48"/>
        <v>-3.244757614895032</v>
      </c>
      <c r="CF36" s="432">
        <f t="shared" si="51"/>
        <v>-84.5864906093711</v>
      </c>
      <c r="CG36" s="432">
        <f t="shared" si="52"/>
        <v>-61.96265203781801</v>
      </c>
      <c r="CH36" s="432">
        <f t="shared" si="53"/>
        <v>-47.19250844081154</v>
      </c>
      <c r="CI36" s="432">
        <f t="shared" si="54"/>
        <v>-22.226327198023675</v>
      </c>
      <c r="CJ36" s="432">
        <f t="shared" si="55"/>
        <v>-7.66039984046875</v>
      </c>
      <c r="CK36" s="432">
        <f t="shared" si="56"/>
        <v>-3.445465525050796</v>
      </c>
      <c r="CL36" s="12">
        <f t="shared" si="57"/>
        <v>2030</v>
      </c>
      <c r="CM36" s="128">
        <f t="shared" si="58"/>
        <v>-74.9629047741065</v>
      </c>
      <c r="CP36" s="29"/>
      <c r="CQ36" s="29"/>
      <c r="CR36" s="386"/>
      <c r="CS36" s="620"/>
      <c r="DH36" s="245">
        <v>1.81480956077576</v>
      </c>
    </row>
    <row r="37" spans="1:97" ht="12.75">
      <c r="A37" s="468">
        <v>2031</v>
      </c>
      <c r="B37" s="413">
        <v>6.323070514286038</v>
      </c>
      <c r="C37" s="414">
        <v>6.168849282230282</v>
      </c>
      <c r="D37" s="422">
        <f t="shared" si="84"/>
        <v>9.34</v>
      </c>
      <c r="E37" s="422">
        <f t="shared" si="84"/>
        <v>7.34</v>
      </c>
      <c r="F37" s="441">
        <f t="shared" si="84"/>
        <v>6.5</v>
      </c>
      <c r="G37" s="414">
        <f t="shared" si="84"/>
        <v>5.34</v>
      </c>
      <c r="H37" s="413">
        <f t="shared" si="84"/>
        <v>4.22</v>
      </c>
      <c r="I37" s="422">
        <f t="shared" si="84"/>
        <v>3.5</v>
      </c>
      <c r="J37" s="443">
        <f t="shared" si="87"/>
        <v>0.023713305898491088</v>
      </c>
      <c r="K37" s="443">
        <f t="shared" si="87"/>
        <v>0.19693072702331965</v>
      </c>
      <c r="L37" s="443">
        <f t="shared" si="87"/>
        <v>0.32372153635116596</v>
      </c>
      <c r="M37" s="443">
        <f t="shared" si="87"/>
        <v>0.5937872427983538</v>
      </c>
      <c r="N37" s="443">
        <f t="shared" si="87"/>
        <v>0.8103079561042523</v>
      </c>
      <c r="O37" s="443">
        <f t="shared" si="87"/>
        <v>0.8967016460905349</v>
      </c>
      <c r="P37" s="442">
        <v>23.740727991939856</v>
      </c>
      <c r="Q37" s="448">
        <v>23.42115411857523</v>
      </c>
      <c r="R37" s="449">
        <v>20.387882972845134</v>
      </c>
      <c r="S37" s="459">
        <v>17.041190149403835</v>
      </c>
      <c r="T37" s="449">
        <v>10.290867108134236</v>
      </c>
      <c r="U37" s="464">
        <v>4.380338637252095</v>
      </c>
      <c r="V37" s="464">
        <v>1.9239400484480917</v>
      </c>
      <c r="W37" s="465">
        <v>96.06728724480156</v>
      </c>
      <c r="X37" s="466">
        <v>96.06728724480156</v>
      </c>
      <c r="Y37" s="466">
        <v>96.06728724480156</v>
      </c>
      <c r="Z37" s="466">
        <v>96.06728724480156</v>
      </c>
      <c r="AA37" s="466">
        <v>96.06728724480156</v>
      </c>
      <c r="AB37" s="466">
        <v>96.06728724480156</v>
      </c>
      <c r="AC37" s="466">
        <v>96.06728724480156</v>
      </c>
      <c r="AD37" s="439">
        <f t="shared" si="3"/>
        <v>101.240038560842</v>
      </c>
      <c r="AE37" s="432">
        <f t="shared" si="4"/>
        <v>100.35752914470714</v>
      </c>
      <c r="AF37" s="432">
        <f t="shared" si="5"/>
        <v>94.31926952482284</v>
      </c>
      <c r="AG37" s="432">
        <f t="shared" si="6"/>
        <v>88.31715259870475</v>
      </c>
      <c r="AH37" s="432">
        <f t="shared" si="7"/>
        <v>76.49555577603236</v>
      </c>
      <c r="AI37" s="432">
        <f t="shared" si="8"/>
        <v>61.886415731625746</v>
      </c>
      <c r="AJ37" s="453">
        <f t="shared" si="9"/>
        <v>51.068107691091285</v>
      </c>
      <c r="AK37" s="433">
        <f t="shared" si="10"/>
        <v>0.7508136619841826</v>
      </c>
      <c r="AL37" s="433">
        <f t="shared" si="11"/>
        <v>0.7407069613717656</v>
      </c>
      <c r="AM37" s="433">
        <f t="shared" si="12"/>
        <v>0.6447780826326734</v>
      </c>
      <c r="AN37" s="433">
        <f t="shared" si="13"/>
        <v>0.5389370698736191</v>
      </c>
      <c r="AO37" s="433">
        <f t="shared" si="14"/>
        <v>0.32545436774618075</v>
      </c>
      <c r="AP37" s="433">
        <f t="shared" si="15"/>
        <v>0.13853063368918705</v>
      </c>
      <c r="AQ37" s="433">
        <f t="shared" si="16"/>
        <v>0.060845668831375446</v>
      </c>
      <c r="AR37" s="439">
        <f t="shared" si="17"/>
        <v>6.329930303753745</v>
      </c>
      <c r="AS37" s="432">
        <f t="shared" si="18"/>
        <v>6.244723129568291</v>
      </c>
      <c r="AT37" s="432">
        <f t="shared" si="19"/>
        <v>5.435969710070058</v>
      </c>
      <c r="AU37" s="432">
        <f t="shared" si="20"/>
        <v>4.543649460764793</v>
      </c>
      <c r="AV37" s="432">
        <f t="shared" si="21"/>
        <v>2.7438278885886405</v>
      </c>
      <c r="AW37" s="432">
        <f t="shared" si="22"/>
        <v>1.1679186202739449</v>
      </c>
      <c r="AX37" s="432">
        <f t="shared" si="23"/>
        <v>0.5129752726795774</v>
      </c>
      <c r="AY37" s="454">
        <v>10.319322656573302</v>
      </c>
      <c r="AZ37" s="455">
        <v>10.180414283039852</v>
      </c>
      <c r="BA37" s="455">
        <v>8.861949926416512</v>
      </c>
      <c r="BB37" s="455">
        <v>7.4072513557048545</v>
      </c>
      <c r="BC37" s="455">
        <v>4.473105379953328</v>
      </c>
      <c r="BD37" s="456">
        <v>1.9039908025653343</v>
      </c>
      <c r="BE37" s="456">
        <v>0.8362741925428581</v>
      </c>
      <c r="BF37" s="439">
        <f t="shared" si="24"/>
        <v>10.874967469530418</v>
      </c>
      <c r="BG37" s="432">
        <f t="shared" si="25"/>
        <v>10.72857956271762</v>
      </c>
      <c r="BH37" s="432">
        <f t="shared" si="26"/>
        <v>9.339122379800596</v>
      </c>
      <c r="BI37" s="432">
        <f t="shared" si="27"/>
        <v>7.8060954398604405</v>
      </c>
      <c r="BJ37" s="432">
        <f t="shared" si="28"/>
        <v>4.7139601225461885</v>
      </c>
      <c r="BK37" s="432">
        <f t="shared" si="29"/>
        <v>2.006511350528779</v>
      </c>
      <c r="BL37" s="453">
        <f t="shared" si="30"/>
        <v>0.8813034481210185</v>
      </c>
      <c r="BM37" s="436">
        <f t="shared" si="31"/>
        <v>9.077966712626058</v>
      </c>
      <c r="BN37" s="436">
        <f t="shared" si="32"/>
        <v>7.9022802220329975</v>
      </c>
      <c r="BO37" s="436">
        <f t="shared" si="33"/>
        <v>6.6051124610092415</v>
      </c>
      <c r="BP37" s="436">
        <f t="shared" si="34"/>
        <v>3.9887081814473717</v>
      </c>
      <c r="BQ37" s="436">
        <f t="shared" si="35"/>
        <v>1.6978056733535294</v>
      </c>
      <c r="BR37" s="436">
        <f t="shared" si="36"/>
        <v>0.7457131970729036</v>
      </c>
      <c r="BS37" s="439">
        <f t="shared" si="37"/>
        <v>14.912239325691688</v>
      </c>
      <c r="BT37" s="432">
        <f t="shared" si="38"/>
        <v>10.757709597071747</v>
      </c>
      <c r="BU37" s="432">
        <f t="shared" si="39"/>
        <v>8.230557981426545</v>
      </c>
      <c r="BV37" s="432">
        <f t="shared" si="40"/>
        <v>4.429514362831919</v>
      </c>
      <c r="BW37" s="432">
        <f t="shared" si="41"/>
        <v>1.7117387665460753</v>
      </c>
      <c r="BX37" s="453">
        <f t="shared" si="42"/>
        <v>0.7143611771283674</v>
      </c>
      <c r="BY37" s="432">
        <f t="shared" si="50"/>
        <v>-84.03514078755784</v>
      </c>
      <c r="BZ37" s="432">
        <f t="shared" si="43"/>
        <v>-80.65079917183444</v>
      </c>
      <c r="CA37" s="432">
        <f t="shared" si="44"/>
        <v>-58.85129154306331</v>
      </c>
      <c r="CB37" s="432">
        <f t="shared" si="45"/>
        <v>-44.7128344978917</v>
      </c>
      <c r="CC37" s="432">
        <f t="shared" si="46"/>
        <v>-20.985493493877918</v>
      </c>
      <c r="CD37" s="432">
        <f t="shared" si="47"/>
        <v>-7.177895177406953</v>
      </c>
      <c r="CE37" s="453">
        <f t="shared" si="48"/>
        <v>-3.240403897526247</v>
      </c>
      <c r="CF37" s="432">
        <f t="shared" si="51"/>
        <v>-85.63953955720672</v>
      </c>
      <c r="CG37" s="432">
        <f t="shared" si="52"/>
        <v>-62.491600354221745</v>
      </c>
      <c r="CH37" s="432">
        <f t="shared" si="53"/>
        <v>-47.47859411211259</v>
      </c>
      <c r="CI37" s="432">
        <f t="shared" si="54"/>
        <v>-22.283573363822185</v>
      </c>
      <c r="CJ37" s="432">
        <f t="shared" si="55"/>
        <v>-7.62189146660931</v>
      </c>
      <c r="CK37" s="432">
        <f t="shared" si="56"/>
        <v>-3.4408425038947303</v>
      </c>
      <c r="CL37" s="12">
        <f t="shared" si="57"/>
        <v>2031</v>
      </c>
      <c r="CM37" s="128">
        <f t="shared" si="58"/>
        <v>-75.96740769807951</v>
      </c>
      <c r="CP37" s="29"/>
      <c r="CQ37" s="29"/>
      <c r="CR37" s="386"/>
      <c r="CS37" s="620"/>
    </row>
    <row r="38" spans="1:97" ht="12.75">
      <c r="A38" s="412">
        <v>2032</v>
      </c>
      <c r="B38" s="413">
        <v>6.4077996591774715</v>
      </c>
      <c r="C38" s="423">
        <v>6.251511862612168</v>
      </c>
      <c r="D38" s="422">
        <f t="shared" si="84"/>
        <v>9.34</v>
      </c>
      <c r="E38" s="422">
        <f t="shared" si="84"/>
        <v>7.34</v>
      </c>
      <c r="F38" s="441">
        <f t="shared" si="84"/>
        <v>6.5</v>
      </c>
      <c r="G38" s="414">
        <f t="shared" si="84"/>
        <v>5.34</v>
      </c>
      <c r="H38" s="413">
        <f t="shared" si="84"/>
        <v>4.22</v>
      </c>
      <c r="I38" s="422">
        <f t="shared" si="84"/>
        <v>3.5</v>
      </c>
      <c r="J38" s="443">
        <f t="shared" si="87"/>
        <v>0.024243255601280298</v>
      </c>
      <c r="K38" s="443">
        <f t="shared" si="87"/>
        <v>0.19923150434385006</v>
      </c>
      <c r="L38" s="443">
        <f t="shared" si="87"/>
        <v>0.32656657521719246</v>
      </c>
      <c r="M38" s="443">
        <f t="shared" si="87"/>
        <v>0.5962805212620026</v>
      </c>
      <c r="N38" s="443">
        <f t="shared" si="87"/>
        <v>0.812144764517604</v>
      </c>
      <c r="O38" s="443">
        <f t="shared" si="87"/>
        <v>0.8975046639231824</v>
      </c>
      <c r="P38" s="442">
        <v>21.502559181250714</v>
      </c>
      <c r="Q38" s="448">
        <v>21.21311329201188</v>
      </c>
      <c r="R38" s="449">
        <v>18.465805275762953</v>
      </c>
      <c r="S38" s="459">
        <v>15.434623564656818</v>
      </c>
      <c r="T38" s="449">
        <v>9.320690548923729</v>
      </c>
      <c r="U38" s="464">
        <v>3.9673800573179525</v>
      </c>
      <c r="V38" s="464">
        <v>1.742559653898513</v>
      </c>
      <c r="W38" s="465">
        <v>76.85382979584125</v>
      </c>
      <c r="X38" s="466">
        <v>76.85382979584125</v>
      </c>
      <c r="Y38" s="466">
        <v>76.85382979584125</v>
      </c>
      <c r="Z38" s="466">
        <v>76.85382979584125</v>
      </c>
      <c r="AA38" s="466">
        <v>76.85382979584125</v>
      </c>
      <c r="AB38" s="466">
        <v>76.85382979584125</v>
      </c>
      <c r="AC38" s="466">
        <v>76.85382979584125</v>
      </c>
      <c r="AD38" s="439">
        <f t="shared" si="3"/>
        <v>82.07732406204582</v>
      </c>
      <c r="AE38" s="432">
        <f t="shared" si="4"/>
        <v>81.36185602819697</v>
      </c>
      <c r="AF38" s="432">
        <f t="shared" si="5"/>
        <v>76.46651818916436</v>
      </c>
      <c r="AG38" s="432">
        <f t="shared" si="6"/>
        <v>71.60048195482192</v>
      </c>
      <c r="AH38" s="432">
        <f t="shared" si="7"/>
        <v>62.01647697874495</v>
      </c>
      <c r="AI38" s="432">
        <f t="shared" si="8"/>
        <v>50.17255496194362</v>
      </c>
      <c r="AJ38" s="453">
        <f t="shared" si="9"/>
        <v>41.401936267321524</v>
      </c>
      <c r="AK38" s="433">
        <f t="shared" si="10"/>
        <v>0.68003033463791</v>
      </c>
      <c r="AL38" s="433">
        <f t="shared" si="11"/>
        <v>0.6708764481977191</v>
      </c>
      <c r="AM38" s="433">
        <f t="shared" si="12"/>
        <v>0.583991311693958</v>
      </c>
      <c r="AN38" s="433">
        <f t="shared" si="13"/>
        <v>0.4881285124812403</v>
      </c>
      <c r="AO38" s="433">
        <f t="shared" si="14"/>
        <v>0.2947719971196625</v>
      </c>
      <c r="AP38" s="433">
        <f t="shared" si="15"/>
        <v>0.1254705900480061</v>
      </c>
      <c r="AQ38" s="433">
        <f t="shared" si="16"/>
        <v>0.05510941346927619</v>
      </c>
      <c r="AR38" s="439">
        <f t="shared" si="17"/>
        <v>5.809997528697521</v>
      </c>
      <c r="AS38" s="432">
        <f t="shared" si="18"/>
        <v>5.731789168148716</v>
      </c>
      <c r="AT38" s="432">
        <f t="shared" si="19"/>
        <v>4.989465770713531</v>
      </c>
      <c r="AU38" s="432">
        <f t="shared" si="20"/>
        <v>4.17043962121613</v>
      </c>
      <c r="AV38" s="432">
        <f t="shared" si="21"/>
        <v>2.518453203571248</v>
      </c>
      <c r="AW38" s="432">
        <f t="shared" si="22"/>
        <v>1.0719872055285462</v>
      </c>
      <c r="AX38" s="432">
        <f t="shared" si="23"/>
        <v>0.4708401077945311</v>
      </c>
      <c r="AY38" s="454">
        <v>10.319322656573302</v>
      </c>
      <c r="AZ38" s="455">
        <v>10.180414283039852</v>
      </c>
      <c r="BA38" s="455">
        <v>8.861949926416512</v>
      </c>
      <c r="BB38" s="455">
        <v>7.4072513557048545</v>
      </c>
      <c r="BC38" s="455">
        <v>4.473105379953328</v>
      </c>
      <c r="BD38" s="456">
        <v>1.9039908025653343</v>
      </c>
      <c r="BE38" s="456">
        <v>0.8362741925428581</v>
      </c>
      <c r="BF38" s="439">
        <f t="shared" si="24"/>
        <v>11.020692033622128</v>
      </c>
      <c r="BG38" s="432">
        <f t="shared" si="25"/>
        <v>10.872342528858036</v>
      </c>
      <c r="BH38" s="432">
        <f t="shared" si="26"/>
        <v>9.464266619689925</v>
      </c>
      <c r="BI38" s="432">
        <f t="shared" si="27"/>
        <v>7.910697118754571</v>
      </c>
      <c r="BJ38" s="432">
        <f t="shared" si="28"/>
        <v>4.777127188188308</v>
      </c>
      <c r="BK38" s="432">
        <f t="shared" si="29"/>
        <v>2.033398602625865</v>
      </c>
      <c r="BL38" s="453">
        <f t="shared" si="30"/>
        <v>0.8931129143258401</v>
      </c>
      <c r="BM38" s="436">
        <f t="shared" si="31"/>
        <v>7.262373370100846</v>
      </c>
      <c r="BN38" s="436">
        <f t="shared" si="32"/>
        <v>6.321824177626397</v>
      </c>
      <c r="BO38" s="436">
        <f t="shared" si="33"/>
        <v>5.284089968807393</v>
      </c>
      <c r="BP38" s="436">
        <f t="shared" si="34"/>
        <v>3.190966545157897</v>
      </c>
      <c r="BQ38" s="436">
        <f t="shared" si="35"/>
        <v>1.358244538682824</v>
      </c>
      <c r="BR38" s="436">
        <f t="shared" si="36"/>
        <v>0.5965705576583229</v>
      </c>
      <c r="BS38" s="439">
        <f t="shared" si="37"/>
        <v>11.92979146055335</v>
      </c>
      <c r="BT38" s="432">
        <f t="shared" si="38"/>
        <v>8.606167677657394</v>
      </c>
      <c r="BU38" s="432">
        <f t="shared" si="39"/>
        <v>6.584446385141236</v>
      </c>
      <c r="BV38" s="432">
        <f t="shared" si="40"/>
        <v>3.543611490265535</v>
      </c>
      <c r="BW38" s="432">
        <f t="shared" si="41"/>
        <v>1.3693910132368607</v>
      </c>
      <c r="BX38" s="453">
        <f t="shared" si="42"/>
        <v>0.571488941702694</v>
      </c>
      <c r="BY38" s="432">
        <f t="shared" si="50"/>
        <v>-65.24663449972617</v>
      </c>
      <c r="BZ38" s="432">
        <f t="shared" si="43"/>
        <v>-62.49603107565589</v>
      </c>
      <c r="CA38" s="432">
        <f t="shared" si="44"/>
        <v>-45.063626614942216</v>
      </c>
      <c r="CB38" s="432">
        <f t="shared" si="45"/>
        <v>-33.98676093326784</v>
      </c>
      <c r="CC38" s="432">
        <f t="shared" si="46"/>
        <v>-15.628692860700816</v>
      </c>
      <c r="CD38" s="432">
        <f t="shared" si="47"/>
        <v>-5.207647576997192</v>
      </c>
      <c r="CE38" s="453">
        <f t="shared" si="48"/>
        <v>-2.36663835927104</v>
      </c>
      <c r="CF38" s="432">
        <f t="shared" si="51"/>
        <v>-66.36178910104552</v>
      </c>
      <c r="CG38" s="432">
        <f t="shared" si="52"/>
        <v>-47.85108484615352</v>
      </c>
      <c r="CH38" s="432">
        <f t="shared" si="53"/>
        <v>-36.089047935713296</v>
      </c>
      <c r="CI38" s="432">
        <f t="shared" si="54"/>
        <v>-16.595422168350208</v>
      </c>
      <c r="CJ38" s="432">
        <f t="shared" si="55"/>
        <v>-5.5297721194310485</v>
      </c>
      <c r="CK38" s="432">
        <f t="shared" si="56"/>
        <v>-2.5130292751913106</v>
      </c>
      <c r="CL38" s="12">
        <f t="shared" si="57"/>
        <v>2032</v>
      </c>
      <c r="CM38" s="128">
        <f t="shared" si="58"/>
        <v>-59.519345214851214</v>
      </c>
      <c r="CP38" s="29"/>
      <c r="CQ38" s="29"/>
      <c r="CR38" s="386"/>
      <c r="CS38" s="620"/>
    </row>
    <row r="39" spans="1:97" ht="12.75">
      <c r="A39" s="412">
        <v>2033</v>
      </c>
      <c r="B39" s="413">
        <v>6.49366417461045</v>
      </c>
      <c r="C39" s="423">
        <v>6.335282121571172</v>
      </c>
      <c r="D39" s="422">
        <f t="shared" si="84"/>
        <v>9.34</v>
      </c>
      <c r="E39" s="422">
        <f t="shared" si="84"/>
        <v>7.34</v>
      </c>
      <c r="F39" s="441">
        <f t="shared" si="84"/>
        <v>6.5</v>
      </c>
      <c r="G39" s="414">
        <f t="shared" si="84"/>
        <v>5.34</v>
      </c>
      <c r="H39" s="413">
        <f t="shared" si="84"/>
        <v>4.22</v>
      </c>
      <c r="I39" s="422">
        <f t="shared" si="84"/>
        <v>3.5</v>
      </c>
      <c r="J39" s="443">
        <f t="shared" si="87"/>
        <v>0.024652187166590466</v>
      </c>
      <c r="K39" s="443">
        <f t="shared" si="87"/>
        <v>0.20098741045572324</v>
      </c>
      <c r="L39" s="443">
        <f t="shared" si="87"/>
        <v>0.32876270385611944</v>
      </c>
      <c r="M39" s="443">
        <f t="shared" si="87"/>
        <v>0.5981892546867854</v>
      </c>
      <c r="N39" s="443">
        <f t="shared" si="87"/>
        <v>0.8135509068739522</v>
      </c>
      <c r="O39" s="443">
        <f t="shared" si="87"/>
        <v>0.8981354366712391</v>
      </c>
      <c r="P39" s="442">
        <v>19.26439037056157</v>
      </c>
      <c r="Q39" s="448">
        <v>19.005072465448528</v>
      </c>
      <c r="R39" s="449">
        <v>16.543727578680773</v>
      </c>
      <c r="S39" s="459">
        <v>13.828056979909801</v>
      </c>
      <c r="T39" s="449">
        <v>8.350513989713221</v>
      </c>
      <c r="U39" s="464">
        <v>3.5544214773838085</v>
      </c>
      <c r="V39" s="464">
        <v>1.5611792593489346</v>
      </c>
      <c r="W39" s="465">
        <v>57.64037234688094</v>
      </c>
      <c r="X39" s="466">
        <v>57.64037234688094</v>
      </c>
      <c r="Y39" s="466">
        <v>57.64037234688094</v>
      </c>
      <c r="Z39" s="466">
        <v>57.64037234688094</v>
      </c>
      <c r="AA39" s="466">
        <v>57.64037234688094</v>
      </c>
      <c r="AB39" s="466">
        <v>57.64037234688094</v>
      </c>
      <c r="AC39" s="466">
        <v>57.64037234688094</v>
      </c>
      <c r="AD39" s="439">
        <f t="shared" si="3"/>
        <v>62.38287015335794</v>
      </c>
      <c r="AE39" s="432">
        <f t="shared" si="4"/>
        <v>61.839078674231125</v>
      </c>
      <c r="AF39" s="432">
        <f t="shared" si="5"/>
        <v>58.118377149674394</v>
      </c>
      <c r="AG39" s="432">
        <f t="shared" si="6"/>
        <v>54.41994630976241</v>
      </c>
      <c r="AH39" s="432">
        <f t="shared" si="7"/>
        <v>47.135623327695114</v>
      </c>
      <c r="AI39" s="432">
        <f t="shared" si="8"/>
        <v>38.13365039882526</v>
      </c>
      <c r="AJ39" s="453">
        <f t="shared" si="9"/>
        <v>31.467541659977737</v>
      </c>
      <c r="AK39" s="433">
        <f t="shared" si="10"/>
        <v>0.6092470072916373</v>
      </c>
      <c r="AL39" s="433">
        <f t="shared" si="11"/>
        <v>0.6010459350236725</v>
      </c>
      <c r="AM39" s="433">
        <f t="shared" si="12"/>
        <v>0.5232045407552427</v>
      </c>
      <c r="AN39" s="433">
        <f t="shared" si="13"/>
        <v>0.4373199550888615</v>
      </c>
      <c r="AO39" s="433">
        <f t="shared" si="14"/>
        <v>0.2640896264931442</v>
      </c>
      <c r="AP39" s="433">
        <f t="shared" si="15"/>
        <v>0.11241054640682506</v>
      </c>
      <c r="AQ39" s="433">
        <f t="shared" si="16"/>
        <v>0.049373158107176934</v>
      </c>
      <c r="AR39" s="439">
        <f t="shared" si="17"/>
        <v>5.274993952984449</v>
      </c>
      <c r="AS39" s="432">
        <f t="shared" si="18"/>
        <v>5.20398727407795</v>
      </c>
      <c r="AT39" s="432">
        <f t="shared" si="19"/>
        <v>4.53001944306111</v>
      </c>
      <c r="AU39" s="432">
        <f t="shared" si="20"/>
        <v>3.7864119002703878</v>
      </c>
      <c r="AV39" s="432">
        <f t="shared" si="21"/>
        <v>2.286545795259714</v>
      </c>
      <c r="AW39" s="432">
        <f t="shared" si="22"/>
        <v>0.9732751174005138</v>
      </c>
      <c r="AX39" s="432">
        <f t="shared" si="23"/>
        <v>0.42748361065060314</v>
      </c>
      <c r="AY39" s="454">
        <v>10.319322656573302</v>
      </c>
      <c r="AZ39" s="455">
        <v>10.180414283039852</v>
      </c>
      <c r="BA39" s="455">
        <v>8.861949926416512</v>
      </c>
      <c r="BB39" s="455">
        <v>7.4072513557048545</v>
      </c>
      <c r="BC39" s="455">
        <v>4.473105379953328</v>
      </c>
      <c r="BD39" s="456">
        <v>1.9039908025653343</v>
      </c>
      <c r="BE39" s="456">
        <v>0.8362741925428581</v>
      </c>
      <c r="BF39" s="439">
        <f t="shared" si="24"/>
        <v>11.168369306872664</v>
      </c>
      <c r="BG39" s="432">
        <f t="shared" si="25"/>
        <v>11.018031918744736</v>
      </c>
      <c r="BH39" s="432">
        <f t="shared" si="26"/>
        <v>9.59108779239377</v>
      </c>
      <c r="BI39" s="432">
        <f t="shared" si="27"/>
        <v>8.016700460145884</v>
      </c>
      <c r="BJ39" s="432">
        <f t="shared" si="28"/>
        <v>4.841140692510032</v>
      </c>
      <c r="BK39" s="432">
        <f t="shared" si="29"/>
        <v>2.0606461439010517</v>
      </c>
      <c r="BL39" s="453">
        <f t="shared" si="30"/>
        <v>0.9050806273778065</v>
      </c>
      <c r="BM39" s="436">
        <f t="shared" si="31"/>
        <v>5.446780027575636</v>
      </c>
      <c r="BN39" s="436">
        <f t="shared" si="32"/>
        <v>4.741368133219796</v>
      </c>
      <c r="BO39" s="436">
        <f t="shared" si="33"/>
        <v>3.963067476605545</v>
      </c>
      <c r="BP39" s="436">
        <f t="shared" si="34"/>
        <v>2.3932249088684223</v>
      </c>
      <c r="BQ39" s="436">
        <f t="shared" si="35"/>
        <v>1.0186834040121175</v>
      </c>
      <c r="BR39" s="436">
        <f t="shared" si="36"/>
        <v>0.4474279182437422</v>
      </c>
      <c r="BS39" s="439">
        <f t="shared" si="37"/>
        <v>8.947343595415015</v>
      </c>
      <c r="BT39" s="432">
        <f t="shared" si="38"/>
        <v>6.4546257582430435</v>
      </c>
      <c r="BU39" s="432">
        <f t="shared" si="39"/>
        <v>4.9383347888559275</v>
      </c>
      <c r="BV39" s="432">
        <f t="shared" si="40"/>
        <v>2.6577086176991505</v>
      </c>
      <c r="BW39" s="432">
        <f t="shared" si="41"/>
        <v>1.0270432599276451</v>
      </c>
      <c r="BX39" s="453">
        <f t="shared" si="42"/>
        <v>0.42861670627702053</v>
      </c>
      <c r="BY39" s="432">
        <f t="shared" si="50"/>
        <v>-45.939506893500834</v>
      </c>
      <c r="BZ39" s="432">
        <f t="shared" si="43"/>
        <v>-43.87201935076381</v>
      </c>
      <c r="CA39" s="432">
        <f t="shared" si="44"/>
        <v>-31.018909274407306</v>
      </c>
      <c r="CB39" s="432">
        <f t="shared" si="45"/>
        <v>-23.10204495911279</v>
      </c>
      <c r="CC39" s="432">
        <f t="shared" si="46"/>
        <v>-10.222100715138271</v>
      </c>
      <c r="CD39" s="432">
        <f t="shared" si="47"/>
        <v>-3.2405112976322417</v>
      </c>
      <c r="CE39" s="453">
        <f t="shared" si="48"/>
        <v>-1.4879072995381155</v>
      </c>
      <c r="CF39" s="432">
        <f t="shared" si="51"/>
        <v>-46.58576945578972</v>
      </c>
      <c r="CG39" s="432">
        <f t="shared" si="52"/>
        <v>-32.93761667714159</v>
      </c>
      <c r="CH39" s="432">
        <f t="shared" si="53"/>
        <v>-24.531046355945332</v>
      </c>
      <c r="CI39" s="432">
        <f t="shared" si="54"/>
        <v>-10.854399553892522</v>
      </c>
      <c r="CJ39" s="432">
        <f t="shared" si="55"/>
        <v>-3.440956547347743</v>
      </c>
      <c r="CK39" s="432">
        <f t="shared" si="56"/>
        <v>-1.5799433774334015</v>
      </c>
      <c r="CL39" s="12">
        <f t="shared" si="57"/>
        <v>2033</v>
      </c>
      <c r="CM39" s="128">
        <f t="shared" si="58"/>
        <v>-42.61683394934614</v>
      </c>
      <c r="CP39" s="29"/>
      <c r="CQ39" s="29"/>
      <c r="CR39" s="386"/>
      <c r="CS39" s="620"/>
    </row>
    <row r="40" spans="1:91" ht="12.75">
      <c r="A40" s="412">
        <v>2034</v>
      </c>
      <c r="B40" s="413">
        <v>6.580679274550231</v>
      </c>
      <c r="C40" s="423">
        <v>6.420174902000226</v>
      </c>
      <c r="D40" s="422">
        <f t="shared" si="84"/>
        <v>9.34</v>
      </c>
      <c r="E40" s="422">
        <f t="shared" si="84"/>
        <v>7.34</v>
      </c>
      <c r="F40" s="441">
        <f t="shared" si="84"/>
        <v>6.5</v>
      </c>
      <c r="G40" s="414">
        <f t="shared" si="84"/>
        <v>5.34</v>
      </c>
      <c r="H40" s="413">
        <f t="shared" si="84"/>
        <v>4.22</v>
      </c>
      <c r="I40" s="422">
        <f t="shared" si="84"/>
        <v>3.5</v>
      </c>
      <c r="J40" s="443">
        <f t="shared" si="87"/>
        <v>0.02496514758929026</v>
      </c>
      <c r="K40" s="443">
        <f t="shared" si="87"/>
        <v>0.20233963826652443</v>
      </c>
      <c r="L40" s="443">
        <f t="shared" si="87"/>
        <v>0.33044309302443725</v>
      </c>
      <c r="M40" s="443">
        <f t="shared" si="87"/>
        <v>0.5996565919829293</v>
      </c>
      <c r="N40" s="443">
        <f t="shared" si="87"/>
        <v>0.8146318904638521</v>
      </c>
      <c r="O40" s="443">
        <f t="shared" si="87"/>
        <v>0.8986133668648071</v>
      </c>
      <c r="P40" s="442">
        <v>17.02622155987243</v>
      </c>
      <c r="Q40" s="448">
        <v>16.797031638885173</v>
      </c>
      <c r="R40" s="449">
        <v>14.621649881598595</v>
      </c>
      <c r="S40" s="459">
        <v>12.221490395162784</v>
      </c>
      <c r="T40" s="449">
        <v>7.380337430502714</v>
      </c>
      <c r="U40" s="464">
        <v>3.1414628974496663</v>
      </c>
      <c r="V40" s="464">
        <v>1.379798864799356</v>
      </c>
      <c r="W40" s="465">
        <v>38.426914897920625</v>
      </c>
      <c r="X40" s="466">
        <v>38.426914897920625</v>
      </c>
      <c r="Y40" s="466">
        <v>38.426914897920625</v>
      </c>
      <c r="Z40" s="466">
        <v>38.426914897920625</v>
      </c>
      <c r="AA40" s="466">
        <v>38.426914897920625</v>
      </c>
      <c r="AB40" s="466">
        <v>38.426914897920625</v>
      </c>
      <c r="AC40" s="466">
        <v>38.426914897920625</v>
      </c>
      <c r="AD40" s="439">
        <f t="shared" si="3"/>
        <v>42.14586707560863</v>
      </c>
      <c r="AE40" s="432">
        <f t="shared" si="4"/>
        <v>41.778481552310545</v>
      </c>
      <c r="AF40" s="432">
        <f t="shared" si="5"/>
        <v>39.26477560232002</v>
      </c>
      <c r="AG40" s="432">
        <f t="shared" si="6"/>
        <v>36.76611572687549</v>
      </c>
      <c r="AH40" s="432">
        <f t="shared" si="7"/>
        <v>31.84482712019082</v>
      </c>
      <c r="AI40" s="432">
        <f t="shared" si="8"/>
        <v>25.763094209446347</v>
      </c>
      <c r="AJ40" s="453">
        <f t="shared" si="9"/>
        <v>21.25947114548096</v>
      </c>
      <c r="AK40" s="433">
        <f t="shared" si="10"/>
        <v>0.5384636799453646</v>
      </c>
      <c r="AL40" s="433">
        <f t="shared" si="11"/>
        <v>0.5312154218496259</v>
      </c>
      <c r="AM40" s="433">
        <f t="shared" si="12"/>
        <v>0.4624177698165273</v>
      </c>
      <c r="AN40" s="433">
        <f t="shared" si="13"/>
        <v>0.3865113976964827</v>
      </c>
      <c r="AO40" s="433">
        <f t="shared" si="14"/>
        <v>0.233407255866626</v>
      </c>
      <c r="AP40" s="433">
        <f t="shared" si="15"/>
        <v>0.0993505027656441</v>
      </c>
      <c r="AQ40" s="433">
        <f t="shared" si="16"/>
        <v>0.04363690274507767</v>
      </c>
      <c r="AR40" s="439">
        <f t="shared" si="17"/>
        <v>4.724609038286013</v>
      </c>
      <c r="AS40" s="432">
        <f t="shared" si="18"/>
        <v>4.661011089183055</v>
      </c>
      <c r="AT40" s="432">
        <f t="shared" si="19"/>
        <v>4.057364045353815</v>
      </c>
      <c r="AU40" s="432">
        <f t="shared" si="20"/>
        <v>3.391343392264914</v>
      </c>
      <c r="AV40" s="432">
        <f t="shared" si="21"/>
        <v>2.047971054948198</v>
      </c>
      <c r="AW40" s="432">
        <f t="shared" si="22"/>
        <v>0.871725059288026</v>
      </c>
      <c r="AX40" s="432">
        <f t="shared" si="23"/>
        <v>0.3828806153334623</v>
      </c>
      <c r="AY40" s="454">
        <v>10.319322656573302</v>
      </c>
      <c r="AZ40" s="455">
        <v>10.180414283039852</v>
      </c>
      <c r="BA40" s="455">
        <v>8.861949926416512</v>
      </c>
      <c r="BB40" s="455">
        <v>7.4072513557048545</v>
      </c>
      <c r="BC40" s="455">
        <v>4.473105379953328</v>
      </c>
      <c r="BD40" s="456">
        <v>1.9039908025653343</v>
      </c>
      <c r="BE40" s="456">
        <v>0.8362741925428581</v>
      </c>
      <c r="BF40" s="439">
        <f t="shared" si="24"/>
        <v>11.31802545558476</v>
      </c>
      <c r="BG40" s="432">
        <f t="shared" si="25"/>
        <v>11.165673546455917</v>
      </c>
      <c r="BH40" s="432">
        <f t="shared" si="26"/>
        <v>9.719608368811848</v>
      </c>
      <c r="BI40" s="432">
        <f t="shared" si="27"/>
        <v>8.12412424631184</v>
      </c>
      <c r="BJ40" s="432">
        <f t="shared" si="28"/>
        <v>4.9060119777896665</v>
      </c>
      <c r="BK40" s="432">
        <f t="shared" si="29"/>
        <v>2.0882588022293262</v>
      </c>
      <c r="BL40" s="453">
        <f t="shared" si="30"/>
        <v>0.9172087077846692</v>
      </c>
      <c r="BM40" s="436">
        <f t="shared" si="31"/>
        <v>3.631186685050423</v>
      </c>
      <c r="BN40" s="436">
        <f t="shared" si="32"/>
        <v>3.1609120888131983</v>
      </c>
      <c r="BO40" s="436">
        <f t="shared" si="33"/>
        <v>2.6420449844036966</v>
      </c>
      <c r="BP40" s="436">
        <f t="shared" si="34"/>
        <v>1.5954832725789485</v>
      </c>
      <c r="BQ40" s="436">
        <f t="shared" si="35"/>
        <v>0.6791222693414121</v>
      </c>
      <c r="BR40" s="436">
        <f t="shared" si="36"/>
        <v>0.29828527882916145</v>
      </c>
      <c r="BS40" s="439">
        <f t="shared" si="37"/>
        <v>5.964895730276675</v>
      </c>
      <c r="BT40" s="432">
        <f t="shared" si="38"/>
        <v>4.303083838828697</v>
      </c>
      <c r="BU40" s="432">
        <f t="shared" si="39"/>
        <v>3.292223192570618</v>
      </c>
      <c r="BV40" s="432">
        <f t="shared" si="40"/>
        <v>1.7718057451327676</v>
      </c>
      <c r="BW40" s="432">
        <f t="shared" si="41"/>
        <v>0.6846955066184304</v>
      </c>
      <c r="BX40" s="453">
        <f t="shared" si="42"/>
        <v>0.285744470851347</v>
      </c>
      <c r="BY40" s="432">
        <f t="shared" si="50"/>
        <v>-26.103232581737856</v>
      </c>
      <c r="BZ40" s="432">
        <f t="shared" si="43"/>
        <v>-24.759876456400615</v>
      </c>
      <c r="CA40" s="432">
        <f t="shared" si="44"/>
        <v>-16.672298268785546</v>
      </c>
      <c r="CB40" s="432">
        <f t="shared" si="45"/>
        <v>-12.013646674335765</v>
      </c>
      <c r="CC40" s="432">
        <f t="shared" si="46"/>
        <v>-4.732408589491678</v>
      </c>
      <c r="CD40" s="432">
        <f t="shared" si="47"/>
        <v>-1.2578974129407192</v>
      </c>
      <c r="CE40" s="453">
        <f t="shared" si="48"/>
        <v>-0.5985630775422341</v>
      </c>
      <c r="CF40" s="432">
        <f t="shared" si="51"/>
        <v>-26.291424771894693</v>
      </c>
      <c r="CG40" s="432">
        <f t="shared" si="52"/>
        <v>-17.703580891456813</v>
      </c>
      <c r="CH40" s="432">
        <f t="shared" si="53"/>
        <v>-12.756763481054062</v>
      </c>
      <c r="CI40" s="432">
        <f t="shared" si="54"/>
        <v>-5.0251367222926815</v>
      </c>
      <c r="CJ40" s="432">
        <f t="shared" si="55"/>
        <v>-1.3357059863092544</v>
      </c>
      <c r="CK40" s="432">
        <f t="shared" si="56"/>
        <v>-0.6355878290486084</v>
      </c>
      <c r="CL40" s="12">
        <f t="shared" si="57"/>
        <v>2034</v>
      </c>
      <c r="CM40" s="128">
        <f t="shared" si="58"/>
        <v>-25.250648088298735</v>
      </c>
    </row>
    <row r="41" spans="1:91" ht="12.75">
      <c r="A41" s="412">
        <v>2035</v>
      </c>
      <c r="B41" s="413">
        <v>6.668860376829205</v>
      </c>
      <c r="C41" s="423">
        <v>6.506205245687029</v>
      </c>
      <c r="D41" s="422">
        <f t="shared" si="84"/>
        <v>9.34</v>
      </c>
      <c r="E41" s="422">
        <f t="shared" si="84"/>
        <v>7.34</v>
      </c>
      <c r="F41" s="441">
        <f t="shared" si="84"/>
        <v>6.5</v>
      </c>
      <c r="G41" s="414">
        <f t="shared" si="84"/>
        <v>5.34</v>
      </c>
      <c r="H41" s="413">
        <f t="shared" si="84"/>
        <v>4.22</v>
      </c>
      <c r="I41" s="422">
        <f t="shared" si="84"/>
        <v>3.5</v>
      </c>
      <c r="J41" s="443">
        <f t="shared" si="87"/>
        <v>0.025205778251960246</v>
      </c>
      <c r="K41" s="443">
        <f t="shared" si="87"/>
        <v>0.2033756829074159</v>
      </c>
      <c r="L41" s="443">
        <f t="shared" si="87"/>
        <v>0.3317352656268522</v>
      </c>
      <c r="M41" s="443">
        <f t="shared" si="87"/>
        <v>0.6007819488899049</v>
      </c>
      <c r="N41" s="443">
        <f t="shared" si="87"/>
        <v>0.8154609324459348</v>
      </c>
      <c r="O41" s="443">
        <f t="shared" si="87"/>
        <v>0.8989829345120153</v>
      </c>
      <c r="P41" s="442">
        <v>14.78805274918329</v>
      </c>
      <c r="Q41" s="448">
        <v>14.58899081232182</v>
      </c>
      <c r="R41" s="449">
        <v>12.699572184516416</v>
      </c>
      <c r="S41" s="449">
        <v>10.614923810415767</v>
      </c>
      <c r="T41" s="449">
        <v>6.4101608712922085</v>
      </c>
      <c r="U41" s="464">
        <v>2.7285043175155224</v>
      </c>
      <c r="V41" s="464">
        <v>1.1984184702497775</v>
      </c>
      <c r="W41" s="465">
        <v>19.213457448960312</v>
      </c>
      <c r="X41" s="466">
        <v>19.213457448960312</v>
      </c>
      <c r="Y41" s="466">
        <v>19.213457448960312</v>
      </c>
      <c r="Z41" s="466">
        <v>19.213457448960312</v>
      </c>
      <c r="AA41" s="466">
        <v>19.213457448960312</v>
      </c>
      <c r="AB41" s="466">
        <v>19.213457448960312</v>
      </c>
      <c r="AC41" s="466">
        <v>19.213457448960312</v>
      </c>
      <c r="AD41" s="439">
        <f t="shared" si="3"/>
        <v>21.35531084721089</v>
      </c>
      <c r="AE41" s="432">
        <f t="shared" si="4"/>
        <v>21.169156602555756</v>
      </c>
      <c r="AF41" s="432">
        <f t="shared" si="5"/>
        <v>19.895461797695557</v>
      </c>
      <c r="AG41" s="432">
        <f t="shared" si="6"/>
        <v>18.629390838807808</v>
      </c>
      <c r="AH41" s="432">
        <f t="shared" si="7"/>
        <v>16.13577390180069</v>
      </c>
      <c r="AI41" s="432">
        <f t="shared" si="8"/>
        <v>13.054159835926463</v>
      </c>
      <c r="AJ41" s="453">
        <f t="shared" si="9"/>
        <v>10.772174029415202</v>
      </c>
      <c r="AK41" s="433">
        <f t="shared" si="10"/>
        <v>0.467680352599092</v>
      </c>
      <c r="AL41" s="433">
        <f t="shared" si="11"/>
        <v>0.46138490867557935</v>
      </c>
      <c r="AM41" s="433">
        <f t="shared" si="12"/>
        <v>0.401630998877812</v>
      </c>
      <c r="AN41" s="433">
        <f t="shared" si="13"/>
        <v>0.33570284030410397</v>
      </c>
      <c r="AO41" s="433">
        <f t="shared" si="14"/>
        <v>0.2027248852401078</v>
      </c>
      <c r="AP41" s="433">
        <f t="shared" si="15"/>
        <v>0.08629045912446306</v>
      </c>
      <c r="AQ41" s="433">
        <f t="shared" si="16"/>
        <v>0.037900647382978415</v>
      </c>
      <c r="AR41" s="439">
        <f t="shared" si="17"/>
        <v>4.158526629959461</v>
      </c>
      <c r="AS41" s="432">
        <f t="shared" si="18"/>
        <v>4.102548714578043</v>
      </c>
      <c r="AT41" s="432">
        <f t="shared" si="19"/>
        <v>3.5712280726967665</v>
      </c>
      <c r="AU41" s="432">
        <f t="shared" si="20"/>
        <v>2.985007160124081</v>
      </c>
      <c r="AV41" s="432">
        <f t="shared" si="21"/>
        <v>1.8025919394333365</v>
      </c>
      <c r="AW41" s="432">
        <f t="shared" si="22"/>
        <v>0.7672786983380424</v>
      </c>
      <c r="AX41" s="432">
        <f t="shared" si="23"/>
        <v>0.3370055007846936</v>
      </c>
      <c r="AY41" s="454">
        <v>10.319322656573302</v>
      </c>
      <c r="AZ41" s="455">
        <v>10.180414283039852</v>
      </c>
      <c r="BA41" s="455">
        <v>8.861949926416512</v>
      </c>
      <c r="BB41" s="455">
        <v>7.4072513557048545</v>
      </c>
      <c r="BC41" s="455">
        <v>4.473105379953328</v>
      </c>
      <c r="BD41" s="456">
        <v>1.9039908025653343</v>
      </c>
      <c r="BE41" s="456">
        <v>0.8362741925428581</v>
      </c>
      <c r="BF41" s="439">
        <f t="shared" si="24"/>
        <v>11.469686996689596</v>
      </c>
      <c r="BG41" s="432">
        <f t="shared" si="25"/>
        <v>11.315293571978426</v>
      </c>
      <c r="BH41" s="432">
        <f t="shared" si="26"/>
        <v>9.849851120953927</v>
      </c>
      <c r="BI41" s="432">
        <f t="shared" si="27"/>
        <v>8.232987511212418</v>
      </c>
      <c r="BJ41" s="432">
        <f t="shared" si="28"/>
        <v>4.971752538292049</v>
      </c>
      <c r="BK41" s="432">
        <f t="shared" si="29"/>
        <v>2.116241470179199</v>
      </c>
      <c r="BL41" s="453">
        <f t="shared" si="30"/>
        <v>0.9294993044689839</v>
      </c>
      <c r="BM41" s="436">
        <f t="shared" si="31"/>
        <v>1.8155933425252115</v>
      </c>
      <c r="BN41" s="436">
        <f t="shared" si="32"/>
        <v>1.580456044406601</v>
      </c>
      <c r="BO41" s="436">
        <f t="shared" si="33"/>
        <v>1.3210224922018483</v>
      </c>
      <c r="BP41" s="436">
        <f t="shared" si="34"/>
        <v>0.7977416362894747</v>
      </c>
      <c r="BQ41" s="436">
        <f t="shared" si="35"/>
        <v>0.3395611346707057</v>
      </c>
      <c r="BR41" s="436">
        <f t="shared" si="36"/>
        <v>0.14914263941458072</v>
      </c>
      <c r="BS41" s="439">
        <f t="shared" si="37"/>
        <v>2.9824478651383375</v>
      </c>
      <c r="BT41" s="432">
        <f t="shared" si="38"/>
        <v>2.1515419194143512</v>
      </c>
      <c r="BU41" s="432">
        <f t="shared" si="39"/>
        <v>1.646111596285309</v>
      </c>
      <c r="BV41" s="432">
        <f t="shared" si="40"/>
        <v>0.8859028725663842</v>
      </c>
      <c r="BW41" s="432">
        <f t="shared" si="41"/>
        <v>0.34234775330921485</v>
      </c>
      <c r="BX41" s="453">
        <f t="shared" si="42"/>
        <v>0.1428722354256735</v>
      </c>
      <c r="BY41" s="432">
        <f t="shared" si="50"/>
        <v>-5.727097220561834</v>
      </c>
      <c r="BZ41" s="432">
        <f t="shared" si="43"/>
        <v>-5.142554329357538</v>
      </c>
      <c r="CA41" s="432">
        <f t="shared" si="44"/>
        <v>-1.9905581670152968</v>
      </c>
      <c r="CB41" s="432">
        <f t="shared" si="45"/>
        <v>-0.6852969814478057</v>
      </c>
      <c r="CC41" s="432">
        <f t="shared" si="46"/>
        <v>0.8648867218029765</v>
      </c>
      <c r="CD41" s="432">
        <f t="shared" si="47"/>
        <v>0.7536889028279461</v>
      </c>
      <c r="CE41" s="453">
        <f t="shared" si="48"/>
        <v>0.3067710973395371</v>
      </c>
      <c r="CF41" s="432">
        <f t="shared" si="51"/>
        <v>-5.46065246019164</v>
      </c>
      <c r="CG41" s="432">
        <f t="shared" si="52"/>
        <v>-2.1136862453380445</v>
      </c>
      <c r="CH41" s="432">
        <f t="shared" si="53"/>
        <v>-0.7276867502092829</v>
      </c>
      <c r="CI41" s="432">
        <f t="shared" si="54"/>
        <v>0.9183852036796145</v>
      </c>
      <c r="CJ41" s="432">
        <f t="shared" si="55"/>
        <v>0.8003091261382415</v>
      </c>
      <c r="CK41" s="432">
        <f t="shared" si="56"/>
        <v>0.3257467476502309</v>
      </c>
      <c r="CL41" s="12">
        <f t="shared" si="57"/>
        <v>2035</v>
      </c>
      <c r="CM41" s="128">
        <f t="shared" si="58"/>
        <v>-7.41139616747131</v>
      </c>
    </row>
    <row r="42" spans="1:91" ht="12.75">
      <c r="A42" s="412">
        <v>2036</v>
      </c>
      <c r="B42" s="413">
        <v>6.7582231058787166</v>
      </c>
      <c r="C42" s="423">
        <v>6.593388395979236</v>
      </c>
      <c r="D42" s="422">
        <f t="shared" si="84"/>
        <v>9.34</v>
      </c>
      <c r="E42" s="422">
        <f t="shared" si="84"/>
        <v>7.34</v>
      </c>
      <c r="F42" s="441">
        <f t="shared" si="84"/>
        <v>6.5</v>
      </c>
      <c r="G42" s="414">
        <f t="shared" si="84"/>
        <v>5.34</v>
      </c>
      <c r="H42" s="413">
        <f t="shared" si="84"/>
        <v>4.22</v>
      </c>
      <c r="I42" s="422">
        <f t="shared" si="84"/>
        <v>3.5</v>
      </c>
      <c r="J42" s="443">
        <f t="shared" si="87"/>
        <v>0.025390308613750173</v>
      </c>
      <c r="K42" s="443">
        <f t="shared" si="87"/>
        <v>0.2041717737246468</v>
      </c>
      <c r="L42" s="443">
        <f t="shared" si="87"/>
        <v>0.33272611955042974</v>
      </c>
      <c r="M42" s="443">
        <f t="shared" si="87"/>
        <v>0.6016461802909447</v>
      </c>
      <c r="N42" s="443">
        <f t="shared" si="87"/>
        <v>0.8160976076365957</v>
      </c>
      <c r="O42" s="443">
        <f t="shared" si="87"/>
        <v>0.899265433792274</v>
      </c>
      <c r="P42" s="442">
        <v>12.549883938494148</v>
      </c>
      <c r="Q42" s="448">
        <v>12.380949985758466</v>
      </c>
      <c r="R42" s="449">
        <v>10.777494487434236</v>
      </c>
      <c r="S42" s="449">
        <v>9.00835722566875</v>
      </c>
      <c r="T42" s="449">
        <v>5.439984312081701</v>
      </c>
      <c r="U42" s="464">
        <v>2.3155457375813797</v>
      </c>
      <c r="V42" s="464">
        <v>1.0170380757001989</v>
      </c>
      <c r="W42" s="465">
        <v>0</v>
      </c>
      <c r="X42" s="466">
        <v>0</v>
      </c>
      <c r="Y42" s="466">
        <v>0</v>
      </c>
      <c r="Z42" s="466">
        <v>0</v>
      </c>
      <c r="AA42" s="466">
        <v>0</v>
      </c>
      <c r="AB42" s="466">
        <v>0</v>
      </c>
      <c r="AC42" s="466">
        <v>0</v>
      </c>
      <c r="AD42" s="439">
        <f t="shared" si="3"/>
        <v>0</v>
      </c>
      <c r="AE42" s="432">
        <f t="shared" si="4"/>
        <v>0</v>
      </c>
      <c r="AF42" s="432">
        <f t="shared" si="5"/>
        <v>0</v>
      </c>
      <c r="AG42" s="432">
        <f t="shared" si="6"/>
        <v>0</v>
      </c>
      <c r="AH42" s="432">
        <f t="shared" si="7"/>
        <v>0</v>
      </c>
      <c r="AI42" s="432">
        <f t="shared" si="8"/>
        <v>0</v>
      </c>
      <c r="AJ42" s="453">
        <f t="shared" si="9"/>
        <v>0</v>
      </c>
      <c r="AK42" s="433">
        <f t="shared" si="10"/>
        <v>0.39689702525281934</v>
      </c>
      <c r="AL42" s="433">
        <f t="shared" si="11"/>
        <v>0.39155439550153276</v>
      </c>
      <c r="AM42" s="433">
        <f t="shared" si="12"/>
        <v>0.34084422793909663</v>
      </c>
      <c r="AN42" s="433">
        <f t="shared" si="13"/>
        <v>0.28489428291172514</v>
      </c>
      <c r="AO42" s="433">
        <f t="shared" si="14"/>
        <v>0.17204251461358952</v>
      </c>
      <c r="AP42" s="433">
        <f t="shared" si="15"/>
        <v>0.07323041548328209</v>
      </c>
      <c r="AQ42" s="433">
        <f t="shared" si="16"/>
        <v>0.03216439202087915</v>
      </c>
      <c r="AR42" s="439">
        <f t="shared" si="17"/>
        <v>3.5764248622908426</v>
      </c>
      <c r="AS42" s="432">
        <f t="shared" si="18"/>
        <v>3.5282826171824424</v>
      </c>
      <c r="AT42" s="432">
        <f t="shared" si="19"/>
        <v>3.0713351156845263</v>
      </c>
      <c r="AU42" s="432">
        <f t="shared" si="20"/>
        <v>2.5671721673423584</v>
      </c>
      <c r="AV42" s="432">
        <f t="shared" si="21"/>
        <v>1.5502689299400498</v>
      </c>
      <c r="AW42" s="432">
        <f t="shared" si="22"/>
        <v>0.659876647962954</v>
      </c>
      <c r="AX42" s="432">
        <f t="shared" si="23"/>
        <v>0.2898321831227287</v>
      </c>
      <c r="AY42" s="454">
        <v>10.319322656573302</v>
      </c>
      <c r="AZ42" s="455">
        <v>10.180414283039852</v>
      </c>
      <c r="BA42" s="455">
        <v>8.861949926416512</v>
      </c>
      <c r="BB42" s="455">
        <v>7.4072513557048545</v>
      </c>
      <c r="BC42" s="455">
        <v>4.473105379953328</v>
      </c>
      <c r="BD42" s="456">
        <v>1.9039908025653343</v>
      </c>
      <c r="BE42" s="456">
        <v>0.8362741925428581</v>
      </c>
      <c r="BF42" s="439">
        <f t="shared" si="24"/>
        <v>11.623380802445237</v>
      </c>
      <c r="BG42" s="432">
        <f t="shared" si="25"/>
        <v>11.466918505842937</v>
      </c>
      <c r="BH42" s="432">
        <f t="shared" si="26"/>
        <v>9.98183912597471</v>
      </c>
      <c r="BI42" s="432">
        <f t="shared" si="27"/>
        <v>8.343309543862665</v>
      </c>
      <c r="BJ42" s="432">
        <f t="shared" si="28"/>
        <v>5.038374022305162</v>
      </c>
      <c r="BK42" s="432">
        <f t="shared" si="29"/>
        <v>2.1445991058796006</v>
      </c>
      <c r="BL42" s="453">
        <f t="shared" si="30"/>
        <v>0.9419545951488684</v>
      </c>
      <c r="BM42" s="436">
        <f t="shared" si="31"/>
        <v>0</v>
      </c>
      <c r="BN42" s="436">
        <f t="shared" si="32"/>
        <v>0</v>
      </c>
      <c r="BO42" s="436">
        <f t="shared" si="33"/>
        <v>0</v>
      </c>
      <c r="BP42" s="436">
        <f t="shared" si="34"/>
        <v>0</v>
      </c>
      <c r="BQ42" s="436">
        <f t="shared" si="35"/>
        <v>0</v>
      </c>
      <c r="BR42" s="436">
        <f t="shared" si="36"/>
        <v>0</v>
      </c>
      <c r="BS42" s="439">
        <f t="shared" si="37"/>
        <v>0</v>
      </c>
      <c r="BT42" s="432">
        <f t="shared" si="38"/>
        <v>0</v>
      </c>
      <c r="BU42" s="432">
        <f t="shared" si="39"/>
        <v>0</v>
      </c>
      <c r="BV42" s="432">
        <f t="shared" si="40"/>
        <v>0</v>
      </c>
      <c r="BW42" s="432">
        <f t="shared" si="41"/>
        <v>0</v>
      </c>
      <c r="BX42" s="453">
        <f t="shared" si="42"/>
        <v>0</v>
      </c>
      <c r="BY42" s="432">
        <f t="shared" si="50"/>
        <v>15.199805664736079</v>
      </c>
      <c r="BZ42" s="432">
        <f t="shared" si="43"/>
        <v>14.99520112302538</v>
      </c>
      <c r="CA42" s="432">
        <f t="shared" si="44"/>
        <v>13.053174241659237</v>
      </c>
      <c r="CB42" s="432">
        <f t="shared" si="45"/>
        <v>10.910481711205023</v>
      </c>
      <c r="CC42" s="432">
        <f t="shared" si="46"/>
        <v>6.588642952245213</v>
      </c>
      <c r="CD42" s="432">
        <f t="shared" si="47"/>
        <v>2.8044757538425547</v>
      </c>
      <c r="CE42" s="453">
        <f t="shared" si="48"/>
        <v>1.231786778271597</v>
      </c>
      <c r="CF42" s="432">
        <f t="shared" si="51"/>
        <v>15.922745129995882</v>
      </c>
      <c r="CG42" s="432">
        <f t="shared" si="52"/>
        <v>13.860592124251133</v>
      </c>
      <c r="CH42" s="432">
        <f t="shared" si="53"/>
        <v>11.585361083703077</v>
      </c>
      <c r="CI42" s="432">
        <f t="shared" si="54"/>
        <v>6.996190422551533</v>
      </c>
      <c r="CJ42" s="432">
        <f t="shared" si="55"/>
        <v>2.9779495643522678</v>
      </c>
      <c r="CK42" s="432">
        <f t="shared" si="56"/>
        <v>1.3079802507483975</v>
      </c>
      <c r="CL42" s="12">
        <f t="shared" si="57"/>
        <v>2036</v>
      </c>
      <c r="CM42" s="128">
        <f t="shared" si="58"/>
        <v>10.910481711205023</v>
      </c>
    </row>
    <row r="43" spans="1:91" ht="12.75">
      <c r="A43" s="412">
        <v>2037</v>
      </c>
      <c r="B43" s="413">
        <v>6.848783295497492</v>
      </c>
      <c r="C43" s="423">
        <v>6.681739800485359</v>
      </c>
      <c r="D43" s="422">
        <f t="shared" si="84"/>
        <v>9.34</v>
      </c>
      <c r="E43" s="422">
        <f t="shared" si="84"/>
        <v>7.34</v>
      </c>
      <c r="F43" s="441">
        <f t="shared" si="84"/>
        <v>6.5</v>
      </c>
      <c r="G43" s="414">
        <f t="shared" si="84"/>
        <v>5.34</v>
      </c>
      <c r="H43" s="413">
        <f t="shared" si="84"/>
        <v>4.22</v>
      </c>
      <c r="I43" s="422">
        <f t="shared" si="84"/>
        <v>3.5</v>
      </c>
      <c r="J43" s="443">
        <f t="shared" si="87"/>
        <v>0.02553202895523681</v>
      </c>
      <c r="K43" s="443">
        <f t="shared" si="87"/>
        <v>0.2047824855440209</v>
      </c>
      <c r="L43" s="443">
        <f t="shared" si="87"/>
        <v>0.3334871283924272</v>
      </c>
      <c r="M43" s="443">
        <f t="shared" si="87"/>
        <v>0.6023093763936166</v>
      </c>
      <c r="N43" s="443">
        <f t="shared" si="87"/>
        <v>0.8165861800275102</v>
      </c>
      <c r="O43" s="443">
        <f t="shared" si="87"/>
        <v>0.8994827894347629</v>
      </c>
      <c r="P43" s="442">
        <v>11.155452389772572</v>
      </c>
      <c r="Q43" s="448">
        <v>11.005288876229748</v>
      </c>
      <c r="R43" s="449">
        <v>9.579995099941543</v>
      </c>
      <c r="S43" s="449">
        <v>8.007428645038889</v>
      </c>
      <c r="T43" s="449">
        <v>4.83554161073929</v>
      </c>
      <c r="U43" s="464">
        <v>2.0582628778501153</v>
      </c>
      <c r="V43" s="464">
        <v>0.9040338450668435</v>
      </c>
      <c r="W43" s="469">
        <v>0</v>
      </c>
      <c r="X43" s="470">
        <v>0</v>
      </c>
      <c r="Y43" s="470">
        <v>0</v>
      </c>
      <c r="Z43" s="470">
        <v>0</v>
      </c>
      <c r="AA43" s="470">
        <v>0</v>
      </c>
      <c r="AB43" s="470">
        <v>0</v>
      </c>
      <c r="AC43" s="470">
        <v>0</v>
      </c>
      <c r="AD43" s="439">
        <f t="shared" si="3"/>
        <v>0</v>
      </c>
      <c r="AE43" s="432">
        <f t="shared" si="4"/>
        <v>0</v>
      </c>
      <c r="AF43" s="432">
        <f t="shared" si="5"/>
        <v>0</v>
      </c>
      <c r="AG43" s="432">
        <f t="shared" si="6"/>
        <v>0</v>
      </c>
      <c r="AH43" s="432">
        <f t="shared" si="7"/>
        <v>0</v>
      </c>
      <c r="AI43" s="432">
        <f t="shared" si="8"/>
        <v>0</v>
      </c>
      <c r="AJ43" s="453">
        <f t="shared" si="9"/>
        <v>0</v>
      </c>
      <c r="AK43" s="433">
        <f t="shared" si="10"/>
        <v>0.3527973557802837</v>
      </c>
      <c r="AL43" s="433">
        <f t="shared" si="11"/>
        <v>0.34804835155691805</v>
      </c>
      <c r="AM43" s="433">
        <f t="shared" si="12"/>
        <v>0.3029726470569748</v>
      </c>
      <c r="AN43" s="433">
        <f t="shared" si="13"/>
        <v>0.2532393625882001</v>
      </c>
      <c r="AO43" s="433">
        <f t="shared" si="14"/>
        <v>0.15292667965652404</v>
      </c>
      <c r="AP43" s="433">
        <f t="shared" si="15"/>
        <v>0.0650937026518063</v>
      </c>
      <c r="AQ43" s="433">
        <f t="shared" si="16"/>
        <v>0.028590570685225917</v>
      </c>
      <c r="AR43" s="439">
        <f t="shared" si="17"/>
        <v>3.22164351595159</v>
      </c>
      <c r="AS43" s="432">
        <f t="shared" si="18"/>
        <v>3.178276981557945</v>
      </c>
      <c r="AT43" s="432">
        <f t="shared" si="19"/>
        <v>2.7666586722086217</v>
      </c>
      <c r="AU43" s="432">
        <f t="shared" si="20"/>
        <v>2.3125086883419965</v>
      </c>
      <c r="AV43" s="432">
        <f t="shared" si="21"/>
        <v>1.3964822520899973</v>
      </c>
      <c r="AW43" s="432">
        <f t="shared" si="22"/>
        <v>0.594416884485029</v>
      </c>
      <c r="AX43" s="432">
        <f t="shared" si="23"/>
        <v>0.2610808305569541</v>
      </c>
      <c r="AY43" s="454">
        <v>9.172731250287377</v>
      </c>
      <c r="AZ43" s="455">
        <v>9.049257140479869</v>
      </c>
      <c r="BA43" s="455">
        <v>7.8772888234813445</v>
      </c>
      <c r="BB43" s="455">
        <v>6.584223427293204</v>
      </c>
      <c r="BC43" s="455">
        <v>3.976093671069625</v>
      </c>
      <c r="BD43" s="456">
        <v>1.6924362689469639</v>
      </c>
      <c r="BE43" s="456">
        <v>0.7433548378158739</v>
      </c>
      <c r="BF43" s="439">
        <f t="shared" si="24"/>
        <v>10.470341426842669</v>
      </c>
      <c r="BG43" s="432">
        <f t="shared" si="25"/>
        <v>10.329400190063321</v>
      </c>
      <c r="BH43" s="432">
        <f t="shared" si="26"/>
        <v>8.991640684678021</v>
      </c>
      <c r="BI43" s="432">
        <f t="shared" si="27"/>
        <v>7.515653237111491</v>
      </c>
      <c r="BJ43" s="432">
        <f t="shared" si="28"/>
        <v>4.538567319292491</v>
      </c>
      <c r="BK43" s="432">
        <f t="shared" si="29"/>
        <v>1.9318548745763444</v>
      </c>
      <c r="BL43" s="453">
        <f t="shared" si="30"/>
        <v>0.8485126993101006</v>
      </c>
      <c r="BM43" s="436">
        <f t="shared" si="31"/>
        <v>0</v>
      </c>
      <c r="BN43" s="436">
        <f t="shared" si="32"/>
        <v>0</v>
      </c>
      <c r="BO43" s="436">
        <f t="shared" si="33"/>
        <v>0</v>
      </c>
      <c r="BP43" s="436">
        <f t="shared" si="34"/>
        <v>0</v>
      </c>
      <c r="BQ43" s="436">
        <f t="shared" si="35"/>
        <v>0</v>
      </c>
      <c r="BR43" s="436">
        <f t="shared" si="36"/>
        <v>0</v>
      </c>
      <c r="BS43" s="439">
        <f t="shared" si="37"/>
        <v>0</v>
      </c>
      <c r="BT43" s="432">
        <f t="shared" si="38"/>
        <v>0</v>
      </c>
      <c r="BU43" s="432">
        <f t="shared" si="39"/>
        <v>0</v>
      </c>
      <c r="BV43" s="432">
        <f t="shared" si="40"/>
        <v>0</v>
      </c>
      <c r="BW43" s="432">
        <f t="shared" si="41"/>
        <v>0</v>
      </c>
      <c r="BX43" s="453">
        <f t="shared" si="42"/>
        <v>0</v>
      </c>
      <c r="BY43" s="432">
        <f t="shared" si="50"/>
        <v>13.69198494279426</v>
      </c>
      <c r="BZ43" s="432">
        <f t="shared" si="43"/>
        <v>13.507677171621266</v>
      </c>
      <c r="CA43" s="432">
        <f t="shared" si="44"/>
        <v>11.758299356886642</v>
      </c>
      <c r="CB43" s="432">
        <f t="shared" si="45"/>
        <v>9.828161925453488</v>
      </c>
      <c r="CC43" s="432">
        <f t="shared" si="46"/>
        <v>5.935049571382488</v>
      </c>
      <c r="CD43" s="432">
        <f t="shared" si="47"/>
        <v>2.5262717590613732</v>
      </c>
      <c r="CE43" s="453">
        <f t="shared" si="48"/>
        <v>1.1095935298670547</v>
      </c>
      <c r="CF43" s="432">
        <f t="shared" si="51"/>
        <v>14.343208813100293</v>
      </c>
      <c r="CG43" s="432">
        <f t="shared" si="52"/>
        <v>12.485621385525421</v>
      </c>
      <c r="CH43" s="432">
        <f t="shared" si="53"/>
        <v>10.436093264199735</v>
      </c>
      <c r="CI43" s="432">
        <f t="shared" si="54"/>
        <v>6.302168332634421</v>
      </c>
      <c r="CJ43" s="432">
        <f t="shared" si="55"/>
        <v>2.682536967568523</v>
      </c>
      <c r="CK43" s="432">
        <f t="shared" si="56"/>
        <v>1.1782286098741566</v>
      </c>
      <c r="CL43" s="12">
        <f t="shared" si="57"/>
        <v>2037</v>
      </c>
      <c r="CM43" s="128">
        <f t="shared" si="58"/>
        <v>9.828161925453488</v>
      </c>
    </row>
    <row r="44" spans="1:91" ht="12.75">
      <c r="A44" s="412">
        <v>2038</v>
      </c>
      <c r="B44" s="413">
        <v>6.940556991657159</v>
      </c>
      <c r="C44" s="423">
        <v>6.771275113811863</v>
      </c>
      <c r="D44" s="422">
        <f t="shared" si="84"/>
        <v>9.34</v>
      </c>
      <c r="E44" s="422">
        <f t="shared" si="84"/>
        <v>7.34</v>
      </c>
      <c r="F44" s="441">
        <f t="shared" si="84"/>
        <v>6.5</v>
      </c>
      <c r="G44" s="414">
        <f t="shared" si="84"/>
        <v>5.34</v>
      </c>
      <c r="H44" s="413">
        <f t="shared" si="84"/>
        <v>4.22</v>
      </c>
      <c r="I44" s="422">
        <f t="shared" si="84"/>
        <v>3.5</v>
      </c>
      <c r="J44" s="443">
        <f t="shared" si="87"/>
        <v>0.025640779189662333</v>
      </c>
      <c r="K44" s="443">
        <f t="shared" si="87"/>
        <v>0.20525141975622258</v>
      </c>
      <c r="L44" s="443">
        <f t="shared" si="87"/>
        <v>0.3340710826476189</v>
      </c>
      <c r="M44" s="443">
        <f t="shared" si="87"/>
        <v>0.6028185188948538</v>
      </c>
      <c r="N44" s="443">
        <f t="shared" si="87"/>
        <v>0.8169612625547019</v>
      </c>
      <c r="O44" s="443">
        <f t="shared" si="87"/>
        <v>0.8996494077423455</v>
      </c>
      <c r="P44" s="442">
        <v>9.761020841051002</v>
      </c>
      <c r="Q44" s="448">
        <v>9.629627766701025</v>
      </c>
      <c r="R44" s="449">
        <v>8.382495712448847</v>
      </c>
      <c r="S44" s="449">
        <v>7.0065000644090265</v>
      </c>
      <c r="T44" s="449">
        <v>4.231098909396878</v>
      </c>
      <c r="U44" s="464">
        <v>1.8009800181188504</v>
      </c>
      <c r="V44" s="464">
        <v>0.7910296144334881</v>
      </c>
      <c r="W44" s="469">
        <v>0</v>
      </c>
      <c r="X44" s="470">
        <v>0</v>
      </c>
      <c r="Y44" s="470">
        <v>0</v>
      </c>
      <c r="Z44" s="470">
        <v>0</v>
      </c>
      <c r="AA44" s="470">
        <v>0</v>
      </c>
      <c r="AB44" s="470">
        <v>0</v>
      </c>
      <c r="AC44" s="470">
        <v>0</v>
      </c>
      <c r="AD44" s="439">
        <f t="shared" si="3"/>
        <v>0</v>
      </c>
      <c r="AE44" s="432">
        <f t="shared" si="4"/>
        <v>0</v>
      </c>
      <c r="AF44" s="432">
        <f t="shared" si="5"/>
        <v>0</v>
      </c>
      <c r="AG44" s="432">
        <f t="shared" si="6"/>
        <v>0</v>
      </c>
      <c r="AH44" s="432">
        <f t="shared" si="7"/>
        <v>0</v>
      </c>
      <c r="AI44" s="432">
        <f t="shared" si="8"/>
        <v>0</v>
      </c>
      <c r="AJ44" s="453">
        <f t="shared" si="9"/>
        <v>0</v>
      </c>
      <c r="AK44" s="433">
        <f t="shared" si="10"/>
        <v>0.3086976863077483</v>
      </c>
      <c r="AL44" s="433">
        <f t="shared" si="11"/>
        <v>0.30454230761230316</v>
      </c>
      <c r="AM44" s="433">
        <f t="shared" si="12"/>
        <v>0.26510106617485285</v>
      </c>
      <c r="AN44" s="433">
        <f t="shared" si="13"/>
        <v>0.22158444226467508</v>
      </c>
      <c r="AO44" s="433">
        <f t="shared" si="14"/>
        <v>0.1338108446994585</v>
      </c>
      <c r="AP44" s="433">
        <f t="shared" si="15"/>
        <v>0.0569569898203305</v>
      </c>
      <c r="AQ44" s="433">
        <f t="shared" si="16"/>
        <v>0.025016749349572678</v>
      </c>
      <c r="AR44" s="439">
        <f t="shared" si="17"/>
        <v>2.8567118466821744</v>
      </c>
      <c r="AS44" s="432">
        <f t="shared" si="18"/>
        <v>2.818257656471968</v>
      </c>
      <c r="AT44" s="432">
        <f t="shared" si="19"/>
        <v>2.4532654111141894</v>
      </c>
      <c r="AU44" s="432">
        <f t="shared" si="20"/>
        <v>2.050559266670057</v>
      </c>
      <c r="AV44" s="432">
        <f t="shared" si="21"/>
        <v>1.2382957249845026</v>
      </c>
      <c r="AW44" s="432">
        <f t="shared" si="22"/>
        <v>0.5270843118949873</v>
      </c>
      <c r="AX44" s="432">
        <f t="shared" si="23"/>
        <v>0.2315068994756151</v>
      </c>
      <c r="AY44" s="454">
        <v>8.026139844001456</v>
      </c>
      <c r="AZ44" s="455">
        <v>7.918099997919882</v>
      </c>
      <c r="BA44" s="455">
        <v>6.892627720546175</v>
      </c>
      <c r="BB44" s="455">
        <v>5.761195498881553</v>
      </c>
      <c r="BC44" s="455">
        <v>3.4790819621859215</v>
      </c>
      <c r="BD44" s="456">
        <v>1.480881735328593</v>
      </c>
      <c r="BE44" s="456">
        <v>0.6504354830888897</v>
      </c>
      <c r="BF44" s="439">
        <f t="shared" si="24"/>
        <v>9.284313501717067</v>
      </c>
      <c r="BG44" s="432">
        <f t="shared" si="25"/>
        <v>9.159337383533895</v>
      </c>
      <c r="BH44" s="432">
        <f t="shared" si="26"/>
        <v>7.9731125861211165</v>
      </c>
      <c r="BI44" s="432">
        <f t="shared" si="27"/>
        <v>6.664317616677685</v>
      </c>
      <c r="BJ44" s="432">
        <f t="shared" si="28"/>
        <v>4.024461106199634</v>
      </c>
      <c r="BK44" s="432">
        <f t="shared" si="29"/>
        <v>1.7130240136587087</v>
      </c>
      <c r="BL44" s="453">
        <f t="shared" si="30"/>
        <v>0.7523974232957491</v>
      </c>
      <c r="BM44" s="436">
        <f t="shared" si="31"/>
        <v>0</v>
      </c>
      <c r="BN44" s="436">
        <f t="shared" si="32"/>
        <v>0</v>
      </c>
      <c r="BO44" s="436">
        <f t="shared" si="33"/>
        <v>0</v>
      </c>
      <c r="BP44" s="436">
        <f t="shared" si="34"/>
        <v>0</v>
      </c>
      <c r="BQ44" s="436">
        <f t="shared" si="35"/>
        <v>0</v>
      </c>
      <c r="BR44" s="436">
        <f t="shared" si="36"/>
        <v>0</v>
      </c>
      <c r="BS44" s="439">
        <f t="shared" si="37"/>
        <v>0</v>
      </c>
      <c r="BT44" s="432">
        <f t="shared" si="38"/>
        <v>0</v>
      </c>
      <c r="BU44" s="432">
        <f t="shared" si="39"/>
        <v>0</v>
      </c>
      <c r="BV44" s="432">
        <f t="shared" si="40"/>
        <v>0</v>
      </c>
      <c r="BW44" s="432">
        <f t="shared" si="41"/>
        <v>0</v>
      </c>
      <c r="BX44" s="453">
        <f t="shared" si="42"/>
        <v>0</v>
      </c>
      <c r="BY44" s="432">
        <f t="shared" si="50"/>
        <v>12.141025348399241</v>
      </c>
      <c r="BZ44" s="432">
        <f t="shared" si="43"/>
        <v>11.977595040005863</v>
      </c>
      <c r="CA44" s="432">
        <f t="shared" si="44"/>
        <v>10.426377997235306</v>
      </c>
      <c r="CB44" s="432">
        <f t="shared" si="45"/>
        <v>8.714876883347742</v>
      </c>
      <c r="CC44" s="432">
        <f t="shared" si="46"/>
        <v>5.262756831184136</v>
      </c>
      <c r="CD44" s="432">
        <f t="shared" si="47"/>
        <v>2.240108325553696</v>
      </c>
      <c r="CE44" s="453">
        <f t="shared" si="48"/>
        <v>0.9839043227713642</v>
      </c>
      <c r="CF44" s="432">
        <f t="shared" si="51"/>
        <v>12.718481834796354</v>
      </c>
      <c r="CG44" s="432">
        <f t="shared" si="52"/>
        <v>11.071312623080027</v>
      </c>
      <c r="CH44" s="432">
        <f t="shared" si="53"/>
        <v>9.253944799697509</v>
      </c>
      <c r="CI44" s="432">
        <f t="shared" si="54"/>
        <v>5.588290214755257</v>
      </c>
      <c r="CJ44" s="432">
        <f t="shared" si="55"/>
        <v>2.3786725925671983</v>
      </c>
      <c r="CK44" s="432">
        <f t="shared" si="56"/>
        <v>1.0447647640906617</v>
      </c>
      <c r="CL44" s="12">
        <f t="shared" si="57"/>
        <v>2038</v>
      </c>
      <c r="CM44" s="128">
        <f t="shared" si="58"/>
        <v>8.714876883347742</v>
      </c>
    </row>
    <row r="45" spans="1:91" ht="12.75">
      <c r="A45" s="412">
        <v>2039</v>
      </c>
      <c r="B45" s="413">
        <v>7.0335604553453654</v>
      </c>
      <c r="C45" s="423">
        <v>6.862010200336942</v>
      </c>
      <c r="D45" s="422">
        <f t="shared" si="84"/>
        <v>9.34</v>
      </c>
      <c r="E45" s="422">
        <f t="shared" si="84"/>
        <v>7.34</v>
      </c>
      <c r="F45" s="441">
        <f t="shared" si="84"/>
        <v>6.5</v>
      </c>
      <c r="G45" s="414">
        <f t="shared" si="84"/>
        <v>5.34</v>
      </c>
      <c r="H45" s="413">
        <f t="shared" si="84"/>
        <v>4.22</v>
      </c>
      <c r="I45" s="422">
        <f t="shared" si="84"/>
        <v>3.5</v>
      </c>
      <c r="J45" s="443">
        <f t="shared" si="87"/>
        <v>0.025724269381633053</v>
      </c>
      <c r="K45" s="443">
        <f t="shared" si="87"/>
        <v>0.20561130176674783</v>
      </c>
      <c r="L45" s="443">
        <f t="shared" si="87"/>
        <v>0.3345194036800153</v>
      </c>
      <c r="M45" s="443">
        <f t="shared" si="87"/>
        <v>0.6032092984294902</v>
      </c>
      <c r="N45" s="443">
        <f t="shared" si="87"/>
        <v>0.817249147527404</v>
      </c>
      <c r="O45" s="443">
        <f t="shared" si="87"/>
        <v>0.899777399059036</v>
      </c>
      <c r="P45" s="442">
        <v>8.366589292329433</v>
      </c>
      <c r="Q45" s="448">
        <v>8.25396665717231</v>
      </c>
      <c r="R45" s="449">
        <v>7.184996324956156</v>
      </c>
      <c r="S45" s="449">
        <v>6.005571483779166</v>
      </c>
      <c r="T45" s="449">
        <v>3.6266562080544666</v>
      </c>
      <c r="U45" s="464">
        <v>1.5436971583875867</v>
      </c>
      <c r="V45" s="464">
        <v>0.6780253838001326</v>
      </c>
      <c r="W45" s="469">
        <v>0</v>
      </c>
      <c r="X45" s="470">
        <v>0</v>
      </c>
      <c r="Y45" s="470">
        <v>0</v>
      </c>
      <c r="Z45" s="470">
        <v>0</v>
      </c>
      <c r="AA45" s="470">
        <v>0</v>
      </c>
      <c r="AB45" s="470">
        <v>0</v>
      </c>
      <c r="AC45" s="470">
        <v>0</v>
      </c>
      <c r="AD45" s="439">
        <f t="shared" si="3"/>
        <v>0</v>
      </c>
      <c r="AE45" s="432">
        <f t="shared" si="4"/>
        <v>0</v>
      </c>
      <c r="AF45" s="432">
        <f t="shared" si="5"/>
        <v>0</v>
      </c>
      <c r="AG45" s="432">
        <f t="shared" si="6"/>
        <v>0</v>
      </c>
      <c r="AH45" s="432">
        <f t="shared" si="7"/>
        <v>0</v>
      </c>
      <c r="AI45" s="432">
        <f t="shared" si="8"/>
        <v>0</v>
      </c>
      <c r="AJ45" s="453">
        <f t="shared" si="9"/>
        <v>0</v>
      </c>
      <c r="AK45" s="433">
        <f t="shared" si="10"/>
        <v>0.26459801683521295</v>
      </c>
      <c r="AL45" s="433">
        <f t="shared" si="11"/>
        <v>0.26103626366768845</v>
      </c>
      <c r="AM45" s="433">
        <f t="shared" si="12"/>
        <v>0.22722948529273104</v>
      </c>
      <c r="AN45" s="433">
        <f t="shared" si="13"/>
        <v>0.1899295219411501</v>
      </c>
      <c r="AO45" s="433">
        <f t="shared" si="14"/>
        <v>0.114695009742393</v>
      </c>
      <c r="AP45" s="433">
        <f t="shared" si="15"/>
        <v>0.04882027698885473</v>
      </c>
      <c r="AQ45" s="433">
        <f t="shared" si="16"/>
        <v>0.021442928013919435</v>
      </c>
      <c r="AR45" s="439">
        <f t="shared" si="17"/>
        <v>2.4814215303666143</v>
      </c>
      <c r="AS45" s="432">
        <f t="shared" si="18"/>
        <v>2.4480191220588794</v>
      </c>
      <c r="AT45" s="432">
        <f t="shared" si="19"/>
        <v>2.1309764293912457</v>
      </c>
      <c r="AU45" s="432">
        <f t="shared" si="20"/>
        <v>1.7811743664372308</v>
      </c>
      <c r="AV45" s="432">
        <f t="shared" si="21"/>
        <v>1.0756190465993956</v>
      </c>
      <c r="AW45" s="432">
        <f t="shared" si="22"/>
        <v>0.45784049286375456</v>
      </c>
      <c r="AX45" s="432">
        <f t="shared" si="23"/>
        <v>0.2010935073673614</v>
      </c>
      <c r="AY45" s="454">
        <v>6.879548437715536</v>
      </c>
      <c r="AZ45" s="455">
        <v>6.7869428553599</v>
      </c>
      <c r="BA45" s="455">
        <v>5.907966617611008</v>
      </c>
      <c r="BB45" s="455">
        <v>4.938167570469902</v>
      </c>
      <c r="BC45" s="455">
        <v>2.982070253302218</v>
      </c>
      <c r="BD45" s="456">
        <v>1.269327201710223</v>
      </c>
      <c r="BE45" s="456">
        <v>0.5575161283619053</v>
      </c>
      <c r="BF45" s="439">
        <f t="shared" si="24"/>
        <v>8.064619973691496</v>
      </c>
      <c r="BG45" s="432">
        <f t="shared" si="25"/>
        <v>7.956062146691359</v>
      </c>
      <c r="BH45" s="432">
        <f t="shared" si="26"/>
        <v>6.9256733955215495</v>
      </c>
      <c r="BI45" s="432">
        <f t="shared" si="27"/>
        <v>5.788816690921</v>
      </c>
      <c r="BJ45" s="432">
        <f t="shared" si="28"/>
        <v>3.495761901448036</v>
      </c>
      <c r="BK45" s="432">
        <f t="shared" si="29"/>
        <v>1.4879816018072023</v>
      </c>
      <c r="BL45" s="453">
        <f t="shared" si="30"/>
        <v>0.6535538989439247</v>
      </c>
      <c r="BM45" s="436">
        <f t="shared" si="31"/>
        <v>0</v>
      </c>
      <c r="BN45" s="436">
        <f t="shared" si="32"/>
        <v>0</v>
      </c>
      <c r="BO45" s="436">
        <f t="shared" si="33"/>
        <v>0</v>
      </c>
      <c r="BP45" s="436">
        <f t="shared" si="34"/>
        <v>0</v>
      </c>
      <c r="BQ45" s="436">
        <f t="shared" si="35"/>
        <v>0</v>
      </c>
      <c r="BR45" s="436">
        <f t="shared" si="36"/>
        <v>0</v>
      </c>
      <c r="BS45" s="439">
        <f t="shared" si="37"/>
        <v>0</v>
      </c>
      <c r="BT45" s="432">
        <f t="shared" si="38"/>
        <v>0</v>
      </c>
      <c r="BU45" s="432">
        <f t="shared" si="39"/>
        <v>0</v>
      </c>
      <c r="BV45" s="432">
        <f t="shared" si="40"/>
        <v>0</v>
      </c>
      <c r="BW45" s="432">
        <f t="shared" si="41"/>
        <v>0</v>
      </c>
      <c r="BX45" s="453">
        <f t="shared" si="42"/>
        <v>0</v>
      </c>
      <c r="BY45" s="432">
        <f t="shared" si="50"/>
        <v>10.54604150405811</v>
      </c>
      <c r="BZ45" s="432">
        <f t="shared" si="43"/>
        <v>10.404081268750238</v>
      </c>
      <c r="CA45" s="432">
        <f t="shared" si="44"/>
        <v>9.056649824912796</v>
      </c>
      <c r="CB45" s="432">
        <f t="shared" si="45"/>
        <v>7.569991057358231</v>
      </c>
      <c r="CC45" s="432">
        <f t="shared" si="46"/>
        <v>4.571380948047432</v>
      </c>
      <c r="CD45" s="432">
        <f t="shared" si="47"/>
        <v>1.9458220946709568</v>
      </c>
      <c r="CE45" s="453">
        <f t="shared" si="48"/>
        <v>0.8546474063112861</v>
      </c>
      <c r="CF45" s="432">
        <f t="shared" si="51"/>
        <v>11.047636706899395</v>
      </c>
      <c r="CG45" s="432">
        <f t="shared" si="52"/>
        <v>9.616858467625116</v>
      </c>
      <c r="CH45" s="432">
        <f t="shared" si="53"/>
        <v>8.038240851440104</v>
      </c>
      <c r="CI45" s="432">
        <f t="shared" si="54"/>
        <v>4.854148545971124</v>
      </c>
      <c r="CJ45" s="432">
        <f t="shared" si="55"/>
        <v>2.0661829759779424</v>
      </c>
      <c r="CK45" s="432">
        <f t="shared" si="56"/>
        <v>0.9075125245109799</v>
      </c>
      <c r="CL45" s="12">
        <f t="shared" si="57"/>
        <v>2039</v>
      </c>
      <c r="CM45" s="128">
        <f t="shared" si="58"/>
        <v>7.569991057358231</v>
      </c>
    </row>
    <row r="46" spans="1:91" ht="12.75">
      <c r="A46" s="412">
        <v>2040</v>
      </c>
      <c r="B46" s="413">
        <v>7.127810165446994</v>
      </c>
      <c r="C46" s="423">
        <v>6.953961137021459</v>
      </c>
      <c r="D46" s="422">
        <f t="shared" si="84"/>
        <v>9.34</v>
      </c>
      <c r="E46" s="422">
        <f t="shared" si="84"/>
        <v>7.34</v>
      </c>
      <c r="F46" s="441">
        <f t="shared" si="84"/>
        <v>6.5</v>
      </c>
      <c r="G46" s="414">
        <f t="shared" si="84"/>
        <v>5.34</v>
      </c>
      <c r="H46" s="413">
        <f t="shared" si="84"/>
        <v>4.22</v>
      </c>
      <c r="I46" s="422">
        <f t="shared" si="84"/>
        <v>3.5</v>
      </c>
      <c r="J46" s="443">
        <f t="shared" si="87"/>
        <v>0.025788349523765134</v>
      </c>
      <c r="K46" s="443">
        <f t="shared" si="87"/>
        <v>0.20588757384099013</v>
      </c>
      <c r="L46" s="443">
        <f t="shared" si="87"/>
        <v>0.3348634954425447</v>
      </c>
      <c r="M46" s="443">
        <f t="shared" si="87"/>
        <v>0.6035092724414481</v>
      </c>
      <c r="N46" s="443">
        <f t="shared" si="87"/>
        <v>0.8174701366940352</v>
      </c>
      <c r="O46" s="443">
        <f t="shared" si="87"/>
        <v>0.899875602267127</v>
      </c>
      <c r="P46" s="442">
        <v>6.972157743607857</v>
      </c>
      <c r="Q46" s="448">
        <v>6.878305547643591</v>
      </c>
      <c r="R46" s="449">
        <v>5.9874969374634635</v>
      </c>
      <c r="S46" s="449">
        <v>5.004642903149306</v>
      </c>
      <c r="T46" s="449">
        <v>3.0222135067120552</v>
      </c>
      <c r="U46" s="464">
        <v>1.2864142986563223</v>
      </c>
      <c r="V46" s="464">
        <v>0.5650211531667771</v>
      </c>
      <c r="W46" s="469">
        <v>0</v>
      </c>
      <c r="X46" s="470">
        <v>0</v>
      </c>
      <c r="Y46" s="470">
        <v>0</v>
      </c>
      <c r="Z46" s="470">
        <v>0</v>
      </c>
      <c r="AA46" s="470">
        <v>0</v>
      </c>
      <c r="AB46" s="470">
        <v>0</v>
      </c>
      <c r="AC46" s="470">
        <v>0</v>
      </c>
      <c r="AD46" s="439">
        <f t="shared" si="3"/>
        <v>0</v>
      </c>
      <c r="AE46" s="432">
        <f t="shared" si="4"/>
        <v>0</v>
      </c>
      <c r="AF46" s="432">
        <f t="shared" si="5"/>
        <v>0</v>
      </c>
      <c r="AG46" s="432">
        <f t="shared" si="6"/>
        <v>0</v>
      </c>
      <c r="AH46" s="432">
        <f t="shared" si="7"/>
        <v>0</v>
      </c>
      <c r="AI46" s="432">
        <f t="shared" si="8"/>
        <v>0</v>
      </c>
      <c r="AJ46" s="453">
        <f t="shared" si="9"/>
        <v>0</v>
      </c>
      <c r="AK46" s="433">
        <f t="shared" si="10"/>
        <v>0.22049834736267732</v>
      </c>
      <c r="AL46" s="433">
        <f t="shared" si="11"/>
        <v>0.2175302197230737</v>
      </c>
      <c r="AM46" s="433">
        <f t="shared" si="12"/>
        <v>0.1893579044106092</v>
      </c>
      <c r="AN46" s="433">
        <f t="shared" si="13"/>
        <v>0.1582746016176251</v>
      </c>
      <c r="AO46" s="433">
        <f t="shared" si="14"/>
        <v>0.09557917478532749</v>
      </c>
      <c r="AP46" s="433">
        <f t="shared" si="15"/>
        <v>0.04068356415737895</v>
      </c>
      <c r="AQ46" s="433">
        <f t="shared" si="16"/>
        <v>0.017869106678266196</v>
      </c>
      <c r="AR46" s="439">
        <f t="shared" si="17"/>
        <v>2.0955604823946046</v>
      </c>
      <c r="AS46" s="432">
        <f t="shared" si="18"/>
        <v>2.0673521485787236</v>
      </c>
      <c r="AT46" s="432">
        <f t="shared" si="19"/>
        <v>1.7996095946209072</v>
      </c>
      <c r="AU46" s="432">
        <f t="shared" si="20"/>
        <v>1.5042017524562419</v>
      </c>
      <c r="AV46" s="432">
        <f t="shared" si="21"/>
        <v>0.9083602848531895</v>
      </c>
      <c r="AW46" s="432">
        <f t="shared" si="22"/>
        <v>0.3866462962234408</v>
      </c>
      <c r="AX46" s="432">
        <f t="shared" si="23"/>
        <v>0.16982346697173673</v>
      </c>
      <c r="AY46" s="454">
        <v>5.732957031429611</v>
      </c>
      <c r="AZ46" s="455">
        <v>5.655785712799917</v>
      </c>
      <c r="BA46" s="455">
        <v>4.92330551467584</v>
      </c>
      <c r="BB46" s="455">
        <v>4.115139642058253</v>
      </c>
      <c r="BC46" s="455">
        <v>2.4850585444185147</v>
      </c>
      <c r="BD46" s="456">
        <v>1.0577726680918527</v>
      </c>
      <c r="BE46" s="456">
        <v>0.4645967736349211</v>
      </c>
      <c r="BF46" s="439">
        <f t="shared" si="24"/>
        <v>6.810571567782466</v>
      </c>
      <c r="BG46" s="432">
        <f t="shared" si="25"/>
        <v>6.718894482880853</v>
      </c>
      <c r="BH46" s="432">
        <f t="shared" si="26"/>
        <v>5.848731182517949</v>
      </c>
      <c r="BI46" s="432">
        <f t="shared" si="27"/>
        <v>4.888655695482786</v>
      </c>
      <c r="BJ46" s="432">
        <f t="shared" si="28"/>
        <v>2.952170925772866</v>
      </c>
      <c r="BK46" s="432">
        <f t="shared" si="29"/>
        <v>1.2566004627261826</v>
      </c>
      <c r="BL46" s="453">
        <f t="shared" si="30"/>
        <v>0.5519262676581443</v>
      </c>
      <c r="BM46" s="436">
        <f t="shared" si="31"/>
        <v>0</v>
      </c>
      <c r="BN46" s="436">
        <f t="shared" si="32"/>
        <v>0</v>
      </c>
      <c r="BO46" s="436">
        <f t="shared" si="33"/>
        <v>0</v>
      </c>
      <c r="BP46" s="436">
        <f t="shared" si="34"/>
        <v>0</v>
      </c>
      <c r="BQ46" s="436">
        <f t="shared" si="35"/>
        <v>0</v>
      </c>
      <c r="BR46" s="436">
        <f t="shared" si="36"/>
        <v>0</v>
      </c>
      <c r="BS46" s="439">
        <f t="shared" si="37"/>
        <v>0</v>
      </c>
      <c r="BT46" s="432">
        <f t="shared" si="38"/>
        <v>0</v>
      </c>
      <c r="BU46" s="432">
        <f t="shared" si="39"/>
        <v>0</v>
      </c>
      <c r="BV46" s="432">
        <f t="shared" si="40"/>
        <v>0</v>
      </c>
      <c r="BW46" s="432">
        <f t="shared" si="41"/>
        <v>0</v>
      </c>
      <c r="BX46" s="453">
        <f t="shared" si="42"/>
        <v>0</v>
      </c>
      <c r="BY46" s="432">
        <f t="shared" si="50"/>
        <v>8.90613205017707</v>
      </c>
      <c r="BZ46" s="432">
        <f t="shared" si="43"/>
        <v>8.786246631459576</v>
      </c>
      <c r="CA46" s="432">
        <f t="shared" si="44"/>
        <v>7.6483407771388565</v>
      </c>
      <c r="CB46" s="432">
        <f t="shared" si="45"/>
        <v>6.392857447939027</v>
      </c>
      <c r="CC46" s="432">
        <f t="shared" si="46"/>
        <v>3.8605312106260556</v>
      </c>
      <c r="CD46" s="432">
        <f t="shared" si="47"/>
        <v>1.6432467589496236</v>
      </c>
      <c r="CE46" s="453">
        <f t="shared" si="48"/>
        <v>0.7217497346298811</v>
      </c>
      <c r="CF46" s="432">
        <f t="shared" si="51"/>
        <v>9.32972919897654</v>
      </c>
      <c r="CG46" s="432">
        <f t="shared" si="52"/>
        <v>8.121436975909411</v>
      </c>
      <c r="CH46" s="432">
        <f t="shared" si="53"/>
        <v>6.78829439904117</v>
      </c>
      <c r="CI46" s="432">
        <f t="shared" si="54"/>
        <v>4.0993284470726135</v>
      </c>
      <c r="CJ46" s="432">
        <f t="shared" si="55"/>
        <v>1.744891523213373</v>
      </c>
      <c r="CK46" s="432">
        <f t="shared" si="56"/>
        <v>0.7663943269495225</v>
      </c>
      <c r="CL46" s="12">
        <f t="shared" si="57"/>
        <v>2040</v>
      </c>
      <c r="CM46" s="128">
        <f t="shared" si="58"/>
        <v>6.392857447939027</v>
      </c>
    </row>
    <row r="47" spans="1:91" ht="12.75">
      <c r="A47" s="412">
        <v>2041</v>
      </c>
      <c r="B47" s="413">
        <v>7.223322821663984</v>
      </c>
      <c r="C47" s="423">
        <v>7.047144216257546</v>
      </c>
      <c r="D47" s="422">
        <f t="shared" si="84"/>
        <v>9.34</v>
      </c>
      <c r="E47" s="422">
        <f t="shared" si="84"/>
        <v>7.34</v>
      </c>
      <c r="F47" s="441">
        <f t="shared" si="84"/>
        <v>6.5</v>
      </c>
      <c r="G47" s="414">
        <f t="shared" si="84"/>
        <v>5.34</v>
      </c>
      <c r="H47" s="413">
        <f t="shared" si="84"/>
        <v>4.22</v>
      </c>
      <c r="I47" s="422">
        <f t="shared" si="84"/>
        <v>3.5</v>
      </c>
      <c r="J47" s="443">
        <f t="shared" si="87"/>
        <v>0.025837539635132734</v>
      </c>
      <c r="K47" s="443">
        <f t="shared" si="87"/>
        <v>0.20609962520257932</v>
      </c>
      <c r="L47" s="443">
        <f t="shared" si="87"/>
        <v>0.33512763304085325</v>
      </c>
      <c r="M47" s="443">
        <f t="shared" si="87"/>
        <v>0.6037395236236462</v>
      </c>
      <c r="N47" s="443">
        <f t="shared" si="87"/>
        <v>0.8176397614071463</v>
      </c>
      <c r="O47" s="443">
        <f t="shared" si="87"/>
        <v>0.8999510004420542</v>
      </c>
      <c r="P47" s="442">
        <v>5.577726194886286</v>
      </c>
      <c r="Q47" s="448">
        <v>5.502644438114874</v>
      </c>
      <c r="R47" s="449">
        <v>4.7899975499707725</v>
      </c>
      <c r="S47" s="449">
        <v>4.0037143225194445</v>
      </c>
      <c r="T47" s="449">
        <v>2.417770805369644</v>
      </c>
      <c r="U47" s="464">
        <v>1.0291314389250577</v>
      </c>
      <c r="V47" s="464">
        <v>0.45201692253342174</v>
      </c>
      <c r="W47" s="469">
        <v>0</v>
      </c>
      <c r="X47" s="470">
        <v>0</v>
      </c>
      <c r="Y47" s="470">
        <v>0</v>
      </c>
      <c r="Z47" s="470">
        <v>0</v>
      </c>
      <c r="AA47" s="470">
        <v>0</v>
      </c>
      <c r="AB47" s="470">
        <v>0</v>
      </c>
      <c r="AC47" s="470">
        <v>0</v>
      </c>
      <c r="AD47" s="439">
        <f t="shared" si="3"/>
        <v>0</v>
      </c>
      <c r="AE47" s="432">
        <f t="shared" si="4"/>
        <v>0</v>
      </c>
      <c r="AF47" s="432">
        <f t="shared" si="5"/>
        <v>0</v>
      </c>
      <c r="AG47" s="432">
        <f t="shared" si="6"/>
        <v>0</v>
      </c>
      <c r="AH47" s="432">
        <f t="shared" si="7"/>
        <v>0</v>
      </c>
      <c r="AI47" s="432">
        <f t="shared" si="8"/>
        <v>0</v>
      </c>
      <c r="AJ47" s="453">
        <f t="shared" si="9"/>
        <v>0</v>
      </c>
      <c r="AK47" s="433">
        <f t="shared" si="10"/>
        <v>0.17639867789014185</v>
      </c>
      <c r="AL47" s="433">
        <f t="shared" si="11"/>
        <v>0.17402417577845902</v>
      </c>
      <c r="AM47" s="433">
        <f t="shared" si="12"/>
        <v>0.15148632352848743</v>
      </c>
      <c r="AN47" s="433">
        <f t="shared" si="13"/>
        <v>0.12661968129410006</v>
      </c>
      <c r="AO47" s="433">
        <f t="shared" si="14"/>
        <v>0.07646333982826198</v>
      </c>
      <c r="AP47" s="433">
        <f t="shared" si="15"/>
        <v>0.03254685132590315</v>
      </c>
      <c r="AQ47" s="433">
        <f t="shared" si="16"/>
        <v>0.014295285342612958</v>
      </c>
      <c r="AR47" s="439">
        <f t="shared" si="17"/>
        <v>1.6989127942869544</v>
      </c>
      <c r="AS47" s="432">
        <f t="shared" si="18"/>
        <v>1.6760437338957437</v>
      </c>
      <c r="AT47" s="432">
        <f t="shared" si="19"/>
        <v>1.4589794905510627</v>
      </c>
      <c r="AU47" s="432">
        <f t="shared" si="20"/>
        <v>1.2194864447513243</v>
      </c>
      <c r="AV47" s="432">
        <f t="shared" si="21"/>
        <v>0.7364258501361779</v>
      </c>
      <c r="AW47" s="432">
        <f t="shared" si="22"/>
        <v>0.31346188527426794</v>
      </c>
      <c r="AX47" s="432">
        <f t="shared" si="23"/>
        <v>0.13767928114332645</v>
      </c>
      <c r="AY47" s="454">
        <v>4.586365625143689</v>
      </c>
      <c r="AZ47" s="455">
        <v>4.524628570239934</v>
      </c>
      <c r="BA47" s="455">
        <v>3.938644411740673</v>
      </c>
      <c r="BB47" s="455">
        <v>3.292111713646602</v>
      </c>
      <c r="BC47" s="455">
        <v>1.9880468355348115</v>
      </c>
      <c r="BD47" s="456">
        <v>0.846218134473482</v>
      </c>
      <c r="BE47" s="456">
        <v>0.37167741890793693</v>
      </c>
      <c r="BF47" s="439">
        <f t="shared" si="24"/>
        <v>5.521466581432602</v>
      </c>
      <c r="BG47" s="432">
        <f t="shared" si="25"/>
        <v>5.447142135161166</v>
      </c>
      <c r="BH47" s="432">
        <f t="shared" si="26"/>
        <v>4.741683344290953</v>
      </c>
      <c r="BI47" s="432">
        <f t="shared" si="27"/>
        <v>3.9633309454418044</v>
      </c>
      <c r="BJ47" s="432">
        <f t="shared" si="28"/>
        <v>2.3933840129425783</v>
      </c>
      <c r="BK47" s="432">
        <f t="shared" si="29"/>
        <v>1.0187511271413707</v>
      </c>
      <c r="BL47" s="453">
        <f t="shared" si="30"/>
        <v>0.44745766371581097</v>
      </c>
      <c r="BM47" s="436">
        <f t="shared" si="31"/>
        <v>0</v>
      </c>
      <c r="BN47" s="436">
        <f t="shared" si="32"/>
        <v>0</v>
      </c>
      <c r="BO47" s="436">
        <f t="shared" si="33"/>
        <v>0</v>
      </c>
      <c r="BP47" s="436">
        <f t="shared" si="34"/>
        <v>0</v>
      </c>
      <c r="BQ47" s="436">
        <f t="shared" si="35"/>
        <v>0</v>
      </c>
      <c r="BR47" s="436">
        <f t="shared" si="36"/>
        <v>0</v>
      </c>
      <c r="BS47" s="439">
        <f t="shared" si="37"/>
        <v>0</v>
      </c>
      <c r="BT47" s="432">
        <f t="shared" si="38"/>
        <v>0</v>
      </c>
      <c r="BU47" s="432">
        <f t="shared" si="39"/>
        <v>0</v>
      </c>
      <c r="BV47" s="432">
        <f t="shared" si="40"/>
        <v>0</v>
      </c>
      <c r="BW47" s="432">
        <f t="shared" si="41"/>
        <v>0</v>
      </c>
      <c r="BX47" s="453">
        <f t="shared" si="42"/>
        <v>0</v>
      </c>
      <c r="BY47" s="432">
        <f t="shared" si="50"/>
        <v>7.220379375719556</v>
      </c>
      <c r="BZ47" s="432">
        <f t="shared" si="43"/>
        <v>7.123185869056909</v>
      </c>
      <c r="CA47" s="432">
        <f t="shared" si="44"/>
        <v>6.200662834842015</v>
      </c>
      <c r="CB47" s="432">
        <f t="shared" si="45"/>
        <v>5.1828173901931285</v>
      </c>
      <c r="CC47" s="432">
        <f t="shared" si="46"/>
        <v>3.1298098630787563</v>
      </c>
      <c r="CD47" s="432">
        <f t="shared" si="47"/>
        <v>1.3322130124156386</v>
      </c>
      <c r="CE47" s="453">
        <f t="shared" si="48"/>
        <v>0.5851369448591375</v>
      </c>
      <c r="CF47" s="432">
        <f t="shared" si="51"/>
        <v>7.563798056194263</v>
      </c>
      <c r="CG47" s="432">
        <f t="shared" si="52"/>
        <v>6.584211385109279</v>
      </c>
      <c r="CH47" s="432">
        <f t="shared" si="53"/>
        <v>5.5034060351906575</v>
      </c>
      <c r="CI47" s="432">
        <f t="shared" si="54"/>
        <v>3.3234075586107092</v>
      </c>
      <c r="CJ47" s="432">
        <f t="shared" si="55"/>
        <v>1.4146184556995456</v>
      </c>
      <c r="CK47" s="432">
        <f t="shared" si="56"/>
        <v>0.6213312087445172</v>
      </c>
      <c r="CL47" s="12">
        <f t="shared" si="57"/>
        <v>2041</v>
      </c>
      <c r="CM47" s="128">
        <f t="shared" si="58"/>
        <v>5.1828173901931285</v>
      </c>
    </row>
    <row r="48" spans="1:91" ht="12.75">
      <c r="A48" s="412">
        <v>2042</v>
      </c>
      <c r="B48" s="413">
        <v>7.320115347474283</v>
      </c>
      <c r="C48" s="423">
        <v>7.141575948755398</v>
      </c>
      <c r="D48" s="422">
        <f t="shared" si="84"/>
        <v>9.34</v>
      </c>
      <c r="E48" s="422">
        <f t="shared" si="84"/>
        <v>7.34</v>
      </c>
      <c r="F48" s="441">
        <f t="shared" si="84"/>
        <v>6.5</v>
      </c>
      <c r="G48" s="414">
        <f t="shared" si="84"/>
        <v>5.34</v>
      </c>
      <c r="H48" s="413">
        <f t="shared" si="84"/>
        <v>4.22</v>
      </c>
      <c r="I48" s="422">
        <f t="shared" si="84"/>
        <v>3.5</v>
      </c>
      <c r="J48" s="443">
        <f aca="true" t="shared" si="88" ref="J48:O50">J47+((J47-J45)/3)</f>
        <v>0.025875296386299294</v>
      </c>
      <c r="K48" s="443">
        <f t="shared" si="88"/>
        <v>0.2062623996811898</v>
      </c>
      <c r="L48" s="443">
        <f t="shared" si="88"/>
        <v>0.33533037616113254</v>
      </c>
      <c r="M48" s="443">
        <f t="shared" si="88"/>
        <v>0.6039162653550316</v>
      </c>
      <c r="N48" s="443">
        <f t="shared" si="88"/>
        <v>0.8177699660337271</v>
      </c>
      <c r="O48" s="443">
        <f t="shared" si="88"/>
        <v>0.900008867569727</v>
      </c>
      <c r="P48" s="442">
        <v>4.183294646164716</v>
      </c>
      <c r="Q48" s="448">
        <v>4.126983328586155</v>
      </c>
      <c r="R48" s="449">
        <v>3.592498162478079</v>
      </c>
      <c r="S48" s="449">
        <v>3.002785741889584</v>
      </c>
      <c r="T48" s="449">
        <v>1.8133281040272329</v>
      </c>
      <c r="U48" s="464">
        <v>0.7718485791937935</v>
      </c>
      <c r="V48" s="464">
        <v>0.3390126919000663</v>
      </c>
      <c r="W48" s="467"/>
      <c r="X48" s="420"/>
      <c r="Y48" s="420"/>
      <c r="Z48" s="420"/>
      <c r="AA48" s="420"/>
      <c r="AB48" s="420"/>
      <c r="AC48" s="420"/>
      <c r="AD48" s="439">
        <f t="shared" si="3"/>
        <v>0</v>
      </c>
      <c r="AE48" s="432">
        <f t="shared" si="4"/>
        <v>0</v>
      </c>
      <c r="AF48" s="432">
        <f t="shared" si="5"/>
        <v>0</v>
      </c>
      <c r="AG48" s="432">
        <f t="shared" si="6"/>
        <v>0</v>
      </c>
      <c r="AH48" s="432">
        <f t="shared" si="7"/>
        <v>0</v>
      </c>
      <c r="AI48" s="432">
        <f t="shared" si="8"/>
        <v>0</v>
      </c>
      <c r="AJ48" s="453">
        <f t="shared" si="9"/>
        <v>0</v>
      </c>
      <c r="AK48" s="433">
        <f t="shared" si="10"/>
        <v>0.13229900841760645</v>
      </c>
      <c r="AL48" s="433">
        <f t="shared" si="11"/>
        <v>0.13051813183384423</v>
      </c>
      <c r="AM48" s="433">
        <f t="shared" si="12"/>
        <v>0.11361474264636555</v>
      </c>
      <c r="AN48" s="433">
        <f t="shared" si="13"/>
        <v>0.09496476097057507</v>
      </c>
      <c r="AO48" s="433">
        <f t="shared" si="14"/>
        <v>0.057347504871196484</v>
      </c>
      <c r="AP48" s="433">
        <f t="shared" si="15"/>
        <v>0.02441013849442737</v>
      </c>
      <c r="AQ48" s="433">
        <f t="shared" si="16"/>
        <v>0.010721464006959718</v>
      </c>
      <c r="AR48" s="439">
        <f t="shared" si="17"/>
        <v>1.2912586692978003</v>
      </c>
      <c r="AS48" s="432">
        <f t="shared" si="18"/>
        <v>1.2738770399474597</v>
      </c>
      <c r="AT48" s="432">
        <f t="shared" si="19"/>
        <v>1.108897361793335</v>
      </c>
      <c r="AU48" s="432">
        <f t="shared" si="20"/>
        <v>0.9268706723332445</v>
      </c>
      <c r="AV48" s="432">
        <f t="shared" si="21"/>
        <v>0.5597204673960021</v>
      </c>
      <c r="AW48" s="432">
        <f t="shared" si="22"/>
        <v>0.2382467059027074</v>
      </c>
      <c r="AX48" s="432">
        <f t="shared" si="23"/>
        <v>0.10464313763298526</v>
      </c>
      <c r="AY48" s="454">
        <v>3.4397742188577674</v>
      </c>
      <c r="AZ48" s="455">
        <v>3.39347142767995</v>
      </c>
      <c r="BA48" s="455">
        <v>2.9539833088055043</v>
      </c>
      <c r="BB48" s="455">
        <v>2.469083785234952</v>
      </c>
      <c r="BC48" s="455">
        <v>1.4910351266511086</v>
      </c>
      <c r="BD48" s="456">
        <v>0.6346636008551116</v>
      </c>
      <c r="BE48" s="456">
        <v>0.27875806418095267</v>
      </c>
      <c r="BF48" s="439">
        <f t="shared" si="24"/>
        <v>4.19659067521785</v>
      </c>
      <c r="BG48" s="432">
        <f t="shared" si="25"/>
        <v>4.140100379829244</v>
      </c>
      <c r="BH48" s="432">
        <f t="shared" si="26"/>
        <v>3.6039164258283387</v>
      </c>
      <c r="BI48" s="432">
        <f t="shared" si="27"/>
        <v>3.0123296850830443</v>
      </c>
      <c r="BJ48" s="432">
        <f t="shared" si="28"/>
        <v>1.8190915190370067</v>
      </c>
      <c r="BK48" s="432">
        <f t="shared" si="29"/>
        <v>0.7743017941837992</v>
      </c>
      <c r="BL48" s="453">
        <f t="shared" si="30"/>
        <v>0.34009019730720214</v>
      </c>
      <c r="BM48" s="436">
        <f t="shared" si="31"/>
        <v>0</v>
      </c>
      <c r="BN48" s="436">
        <f t="shared" si="32"/>
        <v>0</v>
      </c>
      <c r="BO48" s="436">
        <f t="shared" si="33"/>
        <v>0</v>
      </c>
      <c r="BP48" s="436">
        <f t="shared" si="34"/>
        <v>0</v>
      </c>
      <c r="BQ48" s="436">
        <f t="shared" si="35"/>
        <v>0</v>
      </c>
      <c r="BR48" s="436">
        <f t="shared" si="36"/>
        <v>0</v>
      </c>
      <c r="BS48" s="439">
        <f t="shared" si="37"/>
        <v>0</v>
      </c>
      <c r="BT48" s="432">
        <f t="shared" si="38"/>
        <v>0</v>
      </c>
      <c r="BU48" s="432">
        <f t="shared" si="39"/>
        <v>0</v>
      </c>
      <c r="BV48" s="432">
        <f t="shared" si="40"/>
        <v>0</v>
      </c>
      <c r="BW48" s="432">
        <f t="shared" si="41"/>
        <v>0</v>
      </c>
      <c r="BX48" s="453">
        <f t="shared" si="42"/>
        <v>0</v>
      </c>
      <c r="BY48" s="432">
        <f t="shared" si="50"/>
        <v>5.48784934451565</v>
      </c>
      <c r="BZ48" s="432">
        <f t="shared" si="43"/>
        <v>5.413977419776703</v>
      </c>
      <c r="CA48" s="432">
        <f t="shared" si="44"/>
        <v>4.712813787621673</v>
      </c>
      <c r="CB48" s="432">
        <f t="shared" si="45"/>
        <v>3.939200357416289</v>
      </c>
      <c r="CC48" s="432">
        <f t="shared" si="46"/>
        <v>2.378811986433009</v>
      </c>
      <c r="CD48" s="432">
        <f t="shared" si="47"/>
        <v>1.0125485000865067</v>
      </c>
      <c r="CE48" s="453">
        <f t="shared" si="48"/>
        <v>0.4447333349401874</v>
      </c>
      <c r="CF48" s="432">
        <f t="shared" si="51"/>
        <v>5.748864712610448</v>
      </c>
      <c r="CG48" s="432">
        <f t="shared" si="52"/>
        <v>5.004329863252307</v>
      </c>
      <c r="CH48" s="432">
        <f t="shared" si="53"/>
        <v>4.182863757046661</v>
      </c>
      <c r="CI48" s="432">
        <f t="shared" si="54"/>
        <v>2.52595591492207</v>
      </c>
      <c r="CJ48" s="432">
        <f t="shared" si="55"/>
        <v>1.07518075725444</v>
      </c>
      <c r="CK48" s="432">
        <f t="shared" si="56"/>
        <v>0.4722427852062702</v>
      </c>
      <c r="CL48" s="12">
        <f t="shared" si="57"/>
        <v>2042</v>
      </c>
      <c r="CM48" s="128">
        <f t="shared" si="58"/>
        <v>3.939200357416289</v>
      </c>
    </row>
    <row r="49" spans="1:91" ht="12.75">
      <c r="A49" s="412">
        <v>2043</v>
      </c>
      <c r="B49" s="413">
        <v>7.418204893130438</v>
      </c>
      <c r="C49" s="423">
        <v>7.237273066468721</v>
      </c>
      <c r="D49" s="422">
        <f t="shared" si="84"/>
        <v>9.34</v>
      </c>
      <c r="E49" s="422">
        <f t="shared" si="84"/>
        <v>7.34</v>
      </c>
      <c r="F49" s="441">
        <f t="shared" si="84"/>
        <v>6.5</v>
      </c>
      <c r="G49" s="414">
        <f t="shared" si="84"/>
        <v>5.34</v>
      </c>
      <c r="H49" s="413">
        <f t="shared" si="84"/>
        <v>4.22</v>
      </c>
      <c r="I49" s="422">
        <f t="shared" si="84"/>
        <v>3.5</v>
      </c>
      <c r="J49" s="443">
        <f t="shared" si="88"/>
        <v>0.02590427867381068</v>
      </c>
      <c r="K49" s="443">
        <f t="shared" si="88"/>
        <v>0.20638734162792305</v>
      </c>
      <c r="L49" s="443">
        <f t="shared" si="88"/>
        <v>0.3354860030673285</v>
      </c>
      <c r="M49" s="443">
        <f t="shared" si="88"/>
        <v>0.6040519296595595</v>
      </c>
      <c r="N49" s="443">
        <f t="shared" si="88"/>
        <v>0.8178699091469577</v>
      </c>
      <c r="O49" s="443">
        <f t="shared" si="88"/>
        <v>0.9000532893372603</v>
      </c>
      <c r="P49" s="442">
        <v>2.788863097443143</v>
      </c>
      <c r="Q49" s="448">
        <v>2.751322219057437</v>
      </c>
      <c r="R49" s="449">
        <v>2.3949987749853863</v>
      </c>
      <c r="S49" s="449">
        <v>2.0018571612597222</v>
      </c>
      <c r="T49" s="449">
        <v>1.208885402684822</v>
      </c>
      <c r="U49" s="464">
        <v>0.5145657194625288</v>
      </c>
      <c r="V49" s="464">
        <v>0.22600846126671087</v>
      </c>
      <c r="W49" s="467"/>
      <c r="X49" s="420"/>
      <c r="Y49" s="420"/>
      <c r="Z49" s="420"/>
      <c r="AA49" s="420"/>
      <c r="AB49" s="420"/>
      <c r="AC49" s="420"/>
      <c r="AD49" s="439">
        <f t="shared" si="3"/>
        <v>0</v>
      </c>
      <c r="AE49" s="432">
        <f t="shared" si="4"/>
        <v>0</v>
      </c>
      <c r="AF49" s="432">
        <f t="shared" si="5"/>
        <v>0</v>
      </c>
      <c r="AG49" s="432">
        <f t="shared" si="6"/>
        <v>0</v>
      </c>
      <c r="AH49" s="432">
        <f t="shared" si="7"/>
        <v>0</v>
      </c>
      <c r="AI49" s="432">
        <f t="shared" si="8"/>
        <v>0</v>
      </c>
      <c r="AJ49" s="453">
        <f t="shared" si="9"/>
        <v>0</v>
      </c>
      <c r="AK49" s="433">
        <f t="shared" si="10"/>
        <v>0.08819933894507093</v>
      </c>
      <c r="AL49" s="433">
        <f t="shared" si="11"/>
        <v>0.08701208788922951</v>
      </c>
      <c r="AM49" s="433">
        <f t="shared" si="12"/>
        <v>0.07574316176424371</v>
      </c>
      <c r="AN49" s="433">
        <f t="shared" si="13"/>
        <v>0.06330984064705003</v>
      </c>
      <c r="AO49" s="433">
        <f t="shared" si="14"/>
        <v>0.03823166991413099</v>
      </c>
      <c r="AP49" s="433">
        <f t="shared" si="15"/>
        <v>0.016273425662951577</v>
      </c>
      <c r="AQ49" s="433">
        <f t="shared" si="16"/>
        <v>0.007147642671306479</v>
      </c>
      <c r="AR49" s="439">
        <f t="shared" si="17"/>
        <v>0.8723743569775935</v>
      </c>
      <c r="AS49" s="432">
        <f t="shared" si="18"/>
        <v>0.8606313281885041</v>
      </c>
      <c r="AT49" s="432">
        <f t="shared" si="19"/>
        <v>0.7491710576275773</v>
      </c>
      <c r="AU49" s="432">
        <f t="shared" si="20"/>
        <v>0.6261938262283397</v>
      </c>
      <c r="AV49" s="432">
        <f t="shared" si="21"/>
        <v>0.378147147772739</v>
      </c>
      <c r="AW49" s="432">
        <f t="shared" si="22"/>
        <v>0.1609594745078691</v>
      </c>
      <c r="AX49" s="432">
        <f t="shared" si="23"/>
        <v>0.07069690378484485</v>
      </c>
      <c r="AY49" s="454">
        <v>2.2931828125718443</v>
      </c>
      <c r="AZ49" s="455">
        <v>2.262314285119967</v>
      </c>
      <c r="BA49" s="455">
        <v>1.9693222058703366</v>
      </c>
      <c r="BB49" s="455">
        <v>1.646055856823301</v>
      </c>
      <c r="BC49" s="455">
        <v>0.9940234177674058</v>
      </c>
      <c r="BD49" s="456">
        <v>0.423109067236741</v>
      </c>
      <c r="BE49" s="456">
        <v>0.18583870945396846</v>
      </c>
      <c r="BF49" s="439">
        <f t="shared" si="24"/>
        <v>2.8352166601771795</v>
      </c>
      <c r="BG49" s="432">
        <f t="shared" si="25"/>
        <v>2.7970518166126377</v>
      </c>
      <c r="BH49" s="432">
        <f t="shared" si="26"/>
        <v>2.4348059372896262</v>
      </c>
      <c r="BI49" s="432">
        <f t="shared" si="27"/>
        <v>2.0351299352421046</v>
      </c>
      <c r="BJ49" s="432">
        <f t="shared" si="28"/>
        <v>1.2289782302614018</v>
      </c>
      <c r="BK49" s="432">
        <f t="shared" si="29"/>
        <v>0.5231182921505746</v>
      </c>
      <c r="BL49" s="453">
        <f t="shared" si="30"/>
        <v>0.2297649373007458</v>
      </c>
      <c r="BM49" s="436">
        <f t="shared" si="31"/>
        <v>0</v>
      </c>
      <c r="BN49" s="436">
        <f t="shared" si="32"/>
        <v>0</v>
      </c>
      <c r="BO49" s="436">
        <f t="shared" si="33"/>
        <v>0</v>
      </c>
      <c r="BP49" s="436">
        <f t="shared" si="34"/>
        <v>0</v>
      </c>
      <c r="BQ49" s="436">
        <f t="shared" si="35"/>
        <v>0</v>
      </c>
      <c r="BR49" s="436">
        <f t="shared" si="36"/>
        <v>0</v>
      </c>
      <c r="BS49" s="439">
        <f t="shared" si="37"/>
        <v>0</v>
      </c>
      <c r="BT49" s="432">
        <f t="shared" si="38"/>
        <v>0</v>
      </c>
      <c r="BU49" s="432">
        <f t="shared" si="39"/>
        <v>0</v>
      </c>
      <c r="BV49" s="432">
        <f t="shared" si="40"/>
        <v>0</v>
      </c>
      <c r="BW49" s="432">
        <f t="shared" si="41"/>
        <v>0</v>
      </c>
      <c r="BX49" s="453">
        <f t="shared" si="42"/>
        <v>0</v>
      </c>
      <c r="BY49" s="432">
        <f t="shared" si="50"/>
        <v>3.707591017154773</v>
      </c>
      <c r="BZ49" s="432">
        <f t="shared" si="43"/>
        <v>3.6576831448011418</v>
      </c>
      <c r="CA49" s="432">
        <f t="shared" si="44"/>
        <v>3.1839769949172037</v>
      </c>
      <c r="CB49" s="432">
        <f t="shared" si="45"/>
        <v>2.6613237614704444</v>
      </c>
      <c r="CC49" s="432">
        <f t="shared" si="46"/>
        <v>1.6071253780341408</v>
      </c>
      <c r="CD49" s="432">
        <f t="shared" si="47"/>
        <v>0.6840777666584437</v>
      </c>
      <c r="CE49" s="453">
        <f t="shared" si="48"/>
        <v>0.30046184108559065</v>
      </c>
      <c r="CF49" s="432">
        <f t="shared" si="51"/>
        <v>3.88393299983962</v>
      </c>
      <c r="CG49" s="432">
        <f t="shared" si="52"/>
        <v>3.3809252556132603</v>
      </c>
      <c r="CH49" s="432">
        <f t="shared" si="53"/>
        <v>2.8259427542607236</v>
      </c>
      <c r="CI49" s="432">
        <f t="shared" si="54"/>
        <v>1.7065358161213504</v>
      </c>
      <c r="CJ49" s="432">
        <f t="shared" si="55"/>
        <v>0.7263921196010995</v>
      </c>
      <c r="CK49" s="432">
        <f t="shared" si="56"/>
        <v>0.3190472256853562</v>
      </c>
      <c r="CL49" s="12">
        <f t="shared" si="57"/>
        <v>2043</v>
      </c>
      <c r="CM49" s="128">
        <f t="shared" si="58"/>
        <v>2.6613237614704444</v>
      </c>
    </row>
    <row r="50" spans="1:91" ht="12.75">
      <c r="A50" s="412">
        <v>2044</v>
      </c>
      <c r="B50" s="413">
        <v>7.517608838698386</v>
      </c>
      <c r="C50" s="423">
        <v>7.3342525255594015</v>
      </c>
      <c r="D50" s="422">
        <f t="shared" si="84"/>
        <v>9.34</v>
      </c>
      <c r="E50" s="422">
        <f t="shared" si="84"/>
        <v>7.34</v>
      </c>
      <c r="F50" s="441">
        <f t="shared" si="84"/>
        <v>6.5</v>
      </c>
      <c r="G50" s="414">
        <f t="shared" si="84"/>
        <v>5.34</v>
      </c>
      <c r="H50" s="413">
        <f t="shared" si="84"/>
        <v>4.22</v>
      </c>
      <c r="I50" s="422">
        <f t="shared" si="84"/>
        <v>3.5</v>
      </c>
      <c r="J50" s="443">
        <f t="shared" si="88"/>
        <v>0.025926525020036662</v>
      </c>
      <c r="K50" s="443">
        <f t="shared" si="88"/>
        <v>0.20648324710303761</v>
      </c>
      <c r="L50" s="443">
        <f t="shared" si="88"/>
        <v>0.33560545974282024</v>
      </c>
      <c r="M50" s="443">
        <f t="shared" si="88"/>
        <v>0.6041560650048639</v>
      </c>
      <c r="N50" s="443">
        <f t="shared" si="88"/>
        <v>0.8179466250602281</v>
      </c>
      <c r="O50" s="443">
        <f t="shared" si="88"/>
        <v>0.9000873856356623</v>
      </c>
      <c r="P50" s="442">
        <v>1.3944315487215715</v>
      </c>
      <c r="Q50" s="448">
        <v>1.3756611095287186</v>
      </c>
      <c r="R50" s="449">
        <v>1.1974993874926931</v>
      </c>
      <c r="S50" s="449">
        <v>1.0009285806298611</v>
      </c>
      <c r="T50" s="449">
        <v>0.604442701342411</v>
      </c>
      <c r="U50" s="464">
        <v>0.2572828597312644</v>
      </c>
      <c r="V50" s="464">
        <v>0.11300423063335543</v>
      </c>
      <c r="W50" s="467"/>
      <c r="X50" s="420"/>
      <c r="Y50" s="420"/>
      <c r="Z50" s="420"/>
      <c r="AA50" s="420"/>
      <c r="AB50" s="420"/>
      <c r="AC50" s="420"/>
      <c r="AD50" s="439">
        <f t="shared" si="3"/>
        <v>0</v>
      </c>
      <c r="AE50" s="432">
        <f t="shared" si="4"/>
        <v>0</v>
      </c>
      <c r="AF50" s="432">
        <f t="shared" si="5"/>
        <v>0</v>
      </c>
      <c r="AG50" s="432">
        <f t="shared" si="6"/>
        <v>0</v>
      </c>
      <c r="AH50" s="432">
        <f t="shared" si="7"/>
        <v>0</v>
      </c>
      <c r="AI50" s="432">
        <f t="shared" si="8"/>
        <v>0</v>
      </c>
      <c r="AJ50" s="453">
        <f t="shared" si="9"/>
        <v>0</v>
      </c>
      <c r="AK50" s="433">
        <f t="shared" si="10"/>
        <v>0.04409966947253546</v>
      </c>
      <c r="AL50" s="433">
        <f t="shared" si="11"/>
        <v>0.043506043944614756</v>
      </c>
      <c r="AM50" s="433">
        <f t="shared" si="12"/>
        <v>0.03787158088212186</v>
      </c>
      <c r="AN50" s="433">
        <f t="shared" si="13"/>
        <v>0.031654920323525015</v>
      </c>
      <c r="AO50" s="433">
        <f t="shared" si="14"/>
        <v>0.019115834957065495</v>
      </c>
      <c r="AP50" s="433">
        <f t="shared" si="15"/>
        <v>0.008136712831475788</v>
      </c>
      <c r="AQ50" s="433">
        <f t="shared" si="16"/>
        <v>0.0035738213356532396</v>
      </c>
      <c r="AR50" s="439">
        <f t="shared" si="17"/>
        <v>0.44203208668054667</v>
      </c>
      <c r="AS50" s="432">
        <f t="shared" si="18"/>
        <v>0.43608189399311503</v>
      </c>
      <c r="AT50" s="432">
        <f t="shared" si="19"/>
        <v>0.3796049748998934</v>
      </c>
      <c r="AU50" s="432">
        <f t="shared" si="20"/>
        <v>0.31729241174989975</v>
      </c>
      <c r="AV50" s="432">
        <f t="shared" si="21"/>
        <v>0.19160715977644685</v>
      </c>
      <c r="AW50" s="432">
        <f t="shared" si="22"/>
        <v>0.08155816573313728</v>
      </c>
      <c r="AX50" s="432">
        <f t="shared" si="23"/>
        <v>0.03582212114778089</v>
      </c>
      <c r="AY50" s="454">
        <v>1.1465914062859222</v>
      </c>
      <c r="AZ50" s="455">
        <v>1.1311571425599836</v>
      </c>
      <c r="BA50" s="455">
        <v>0.9846611029351683</v>
      </c>
      <c r="BB50" s="455">
        <v>0.8230279284116505</v>
      </c>
      <c r="BC50" s="455">
        <v>0.4970117088837029</v>
      </c>
      <c r="BD50" s="456">
        <v>0.2115545336183705</v>
      </c>
      <c r="BE50" s="456">
        <v>0.09291935472698423</v>
      </c>
      <c r="BF50" s="439">
        <f t="shared" si="24"/>
        <v>1.4366042817117768</v>
      </c>
      <c r="BG50" s="432">
        <f t="shared" si="25"/>
        <v>1.4172661554776238</v>
      </c>
      <c r="BH50" s="432">
        <f t="shared" si="26"/>
        <v>1.2337161684246536</v>
      </c>
      <c r="BI50" s="432">
        <f t="shared" si="27"/>
        <v>1.0312003381871744</v>
      </c>
      <c r="BJ50" s="432">
        <f t="shared" si="28"/>
        <v>0.6227232692734523</v>
      </c>
      <c r="BK50" s="432">
        <f t="shared" si="29"/>
        <v>0.2650640386326962</v>
      </c>
      <c r="BL50" s="453">
        <f t="shared" si="30"/>
        <v>0.11642189373028788</v>
      </c>
      <c r="BM50" s="436">
        <f t="shared" si="31"/>
        <v>0</v>
      </c>
      <c r="BN50" s="436">
        <f t="shared" si="32"/>
        <v>0</v>
      </c>
      <c r="BO50" s="436">
        <f t="shared" si="33"/>
        <v>0</v>
      </c>
      <c r="BP50" s="436">
        <f t="shared" si="34"/>
        <v>0</v>
      </c>
      <c r="BQ50" s="436">
        <f t="shared" si="35"/>
        <v>0</v>
      </c>
      <c r="BR50" s="436">
        <f t="shared" si="36"/>
        <v>0</v>
      </c>
      <c r="BS50" s="439">
        <f t="shared" si="37"/>
        <v>0</v>
      </c>
      <c r="BT50" s="432">
        <f t="shared" si="38"/>
        <v>0</v>
      </c>
      <c r="BU50" s="432">
        <f t="shared" si="39"/>
        <v>0</v>
      </c>
      <c r="BV50" s="432">
        <f t="shared" si="40"/>
        <v>0</v>
      </c>
      <c r="BW50" s="432">
        <f t="shared" si="41"/>
        <v>0</v>
      </c>
      <c r="BX50" s="453">
        <f t="shared" si="42"/>
        <v>0</v>
      </c>
      <c r="BY50" s="432">
        <f t="shared" si="50"/>
        <v>1.8786363683923235</v>
      </c>
      <c r="BZ50" s="432">
        <f t="shared" si="43"/>
        <v>1.8533480494707388</v>
      </c>
      <c r="CA50" s="432">
        <f t="shared" si="44"/>
        <v>1.613321143324547</v>
      </c>
      <c r="CB50" s="432">
        <f t="shared" si="45"/>
        <v>1.348492749937074</v>
      </c>
      <c r="CC50" s="432">
        <f t="shared" si="46"/>
        <v>0.8143304290498992</v>
      </c>
      <c r="CD50" s="432">
        <f t="shared" si="47"/>
        <v>0.34662220436583346</v>
      </c>
      <c r="CE50" s="453">
        <f t="shared" si="48"/>
        <v>0.15224401487806877</v>
      </c>
      <c r="CF50" s="432">
        <f t="shared" si="51"/>
        <v>1.9679888510187358</v>
      </c>
      <c r="CG50" s="432">
        <f t="shared" si="52"/>
        <v>1.7131148270192387</v>
      </c>
      <c r="CH50" s="432">
        <f t="shared" si="53"/>
        <v>1.4319051935839087</v>
      </c>
      <c r="CI50" s="432">
        <f t="shared" si="54"/>
        <v>0.8647016980286882</v>
      </c>
      <c r="CJ50" s="432">
        <f t="shared" si="55"/>
        <v>0.36806288700187717</v>
      </c>
      <c r="CK50" s="432">
        <f t="shared" si="56"/>
        <v>0.16166122925476997</v>
      </c>
      <c r="CL50" s="12">
        <f t="shared" si="57"/>
        <v>2044</v>
      </c>
      <c r="CM50" s="128">
        <f t="shared" si="58"/>
        <v>1.348492749937074</v>
      </c>
    </row>
    <row r="51" spans="1:91" ht="13.5" thickBot="1">
      <c r="A51" s="412">
        <v>2045</v>
      </c>
      <c r="B51" s="472">
        <v>7.618344797136945</v>
      </c>
      <c r="C51" s="471">
        <v>7.432531509401898</v>
      </c>
      <c r="D51" s="473"/>
      <c r="E51" s="473"/>
      <c r="F51" s="473"/>
      <c r="G51" s="473"/>
      <c r="H51" s="474"/>
      <c r="I51" s="475"/>
      <c r="J51" s="443"/>
      <c r="K51" s="443"/>
      <c r="L51" s="443"/>
      <c r="M51" s="443"/>
      <c r="N51" s="443"/>
      <c r="O51" s="443"/>
      <c r="P51" s="476">
        <f>SUM(P12:P50)</f>
        <v>552.7830029230311</v>
      </c>
      <c r="Q51" s="476">
        <f aca="true" t="shared" si="89" ref="Q51:AC51">SUM(Q12:Q50)</f>
        <v>542.1811720489626</v>
      </c>
      <c r="R51" s="476">
        <f t="shared" si="89"/>
        <v>473.7914747210609</v>
      </c>
      <c r="S51" s="476">
        <f t="shared" si="89"/>
        <v>398.40746225433014</v>
      </c>
      <c r="T51" s="476">
        <f t="shared" si="89"/>
        <v>246.48567137916518</v>
      </c>
      <c r="U51" s="476">
        <f t="shared" si="89"/>
        <v>113.50688597235062</v>
      </c>
      <c r="V51" s="476">
        <f t="shared" si="89"/>
        <v>58.25389094015543</v>
      </c>
      <c r="W51" s="477">
        <f t="shared" si="89"/>
        <v>2264.4599429653567</v>
      </c>
      <c r="X51" s="478">
        <f t="shared" si="89"/>
        <v>2264.311500253999</v>
      </c>
      <c r="Y51" s="478">
        <f t="shared" si="89"/>
        <v>2264.311500253999</v>
      </c>
      <c r="Z51" s="478">
        <f t="shared" si="89"/>
        <v>2264.311500253999</v>
      </c>
      <c r="AA51" s="478">
        <f t="shared" si="89"/>
        <v>2264.311500253999</v>
      </c>
      <c r="AB51" s="478">
        <f t="shared" si="89"/>
        <v>2262.0848595836305</v>
      </c>
      <c r="AC51" s="479">
        <f t="shared" si="89"/>
        <v>2262.0848595836305</v>
      </c>
      <c r="AD51" s="480"/>
      <c r="AE51" s="481"/>
      <c r="AF51" s="481"/>
      <c r="AG51" s="481"/>
      <c r="AH51" s="481"/>
      <c r="AI51" s="482"/>
      <c r="AJ51" s="482"/>
      <c r="AK51" s="483"/>
      <c r="AL51" s="482"/>
      <c r="AM51" s="482"/>
      <c r="AN51" s="482"/>
      <c r="AO51" s="482"/>
      <c r="AP51" s="482"/>
      <c r="AQ51" s="484"/>
      <c r="AR51" s="483"/>
      <c r="AS51" s="485"/>
      <c r="AT51" s="485"/>
      <c r="AU51" s="485"/>
      <c r="AV51" s="485"/>
      <c r="AW51" s="485"/>
      <c r="AX51" s="486"/>
      <c r="AY51" s="478">
        <f aca="true" t="shared" si="90" ref="AY51:BE51">SUM(AY12:AY50)</f>
        <v>240.27680061744186</v>
      </c>
      <c r="AZ51" s="478">
        <f t="shared" si="90"/>
        <v>235.6685293977442</v>
      </c>
      <c r="BA51" s="478">
        <f t="shared" si="90"/>
        <v>205.94175129087196</v>
      </c>
      <c r="BB51" s="478">
        <f t="shared" si="90"/>
        <v>173.1747717755241</v>
      </c>
      <c r="BC51" s="478">
        <f t="shared" si="90"/>
        <v>107.13930819843691</v>
      </c>
      <c r="BD51" s="478">
        <f t="shared" si="90"/>
        <v>49.33775326894895</v>
      </c>
      <c r="BE51" s="479">
        <f t="shared" si="90"/>
        <v>25.32107258110987</v>
      </c>
      <c r="BF51" s="487"/>
      <c r="BG51" s="485"/>
      <c r="BH51" s="485"/>
      <c r="BI51" s="485"/>
      <c r="BJ51" s="485"/>
      <c r="BK51" s="488"/>
      <c r="BL51" s="489"/>
      <c r="BM51" s="490"/>
      <c r="BN51" s="488"/>
      <c r="BO51" s="488"/>
      <c r="BP51" s="488"/>
      <c r="BQ51" s="485"/>
      <c r="BR51" s="486"/>
      <c r="BS51" s="491"/>
      <c r="BT51" s="485"/>
      <c r="BU51" s="485"/>
      <c r="BV51" s="485"/>
      <c r="BW51" s="492"/>
      <c r="BX51" s="493"/>
      <c r="BY51" s="491"/>
      <c r="BZ51" s="485"/>
      <c r="CA51" s="485"/>
      <c r="CB51" s="485"/>
      <c r="CC51" s="485"/>
      <c r="CD51" s="432"/>
      <c r="CE51" s="453"/>
      <c r="CF51" s="432"/>
      <c r="CG51" s="432"/>
      <c r="CH51" s="432"/>
      <c r="CI51" s="432"/>
      <c r="CJ51" s="432"/>
      <c r="CK51" s="432"/>
      <c r="CL51" s="12">
        <f t="shared" si="57"/>
        <v>2045</v>
      </c>
      <c r="CM51" s="128">
        <f t="shared" si="58"/>
        <v>0</v>
      </c>
    </row>
    <row r="52" spans="1:91" ht="13.5" thickTop="1">
      <c r="A52" s="494" t="s">
        <v>266</v>
      </c>
      <c r="B52" s="413">
        <f>AVERAGE(B12:B21)</f>
        <v>5.585855312347413</v>
      </c>
      <c r="C52" s="413">
        <f>AVERAGE(C12:C21)</f>
        <v>5.449614938875525</v>
      </c>
      <c r="D52" s="413">
        <f aca="true" t="shared" si="91" ref="D52:I52">AVERAGE(D12:D21)</f>
        <v>9.340000000000002</v>
      </c>
      <c r="E52" s="413">
        <f t="shared" si="91"/>
        <v>7.340000000000002</v>
      </c>
      <c r="F52" s="413">
        <f t="shared" si="91"/>
        <v>6.5</v>
      </c>
      <c r="G52" s="414">
        <f t="shared" si="91"/>
        <v>5.340000000000001</v>
      </c>
      <c r="H52" s="413">
        <f t="shared" si="91"/>
        <v>4.22</v>
      </c>
      <c r="I52" s="413">
        <f t="shared" si="91"/>
        <v>3.5</v>
      </c>
      <c r="J52" s="496">
        <f aca="true" t="shared" si="92" ref="J52:O52">AVERAGE(J12:J21)</f>
        <v>0.029400000000000003</v>
      </c>
      <c r="K52" s="496">
        <f t="shared" si="92"/>
        <v>0.15647000000000003</v>
      </c>
      <c r="L52" s="496">
        <f t="shared" si="92"/>
        <v>0.28615999999999997</v>
      </c>
      <c r="M52" s="496">
        <f t="shared" si="92"/>
        <v>0.52304</v>
      </c>
      <c r="N52" s="496">
        <f t="shared" si="92"/>
        <v>0.7648900000000001</v>
      </c>
      <c r="O52" s="496">
        <f t="shared" si="92"/>
        <v>0.8742800000000001</v>
      </c>
      <c r="P52" s="495">
        <f>SUM(P12:P21)</f>
        <v>65.21905890436007</v>
      </c>
      <c r="Q52" s="497">
        <f aca="true" t="shared" si="93" ref="Q52:AC52">SUM(Q12:Q21)</f>
        <v>62.181498182360386</v>
      </c>
      <c r="R52" s="498">
        <f t="shared" si="93"/>
        <v>55.33272819631192</v>
      </c>
      <c r="S52" s="498">
        <f t="shared" si="93"/>
        <v>47.820956184925464</v>
      </c>
      <c r="T52" s="498">
        <f t="shared" si="93"/>
        <v>32.74920632480102</v>
      </c>
      <c r="U52" s="498">
        <f t="shared" si="93"/>
        <v>19.578908070890243</v>
      </c>
      <c r="V52" s="499">
        <f t="shared" si="93"/>
        <v>14.113162549445313</v>
      </c>
      <c r="W52" s="500">
        <f t="shared" si="93"/>
        <v>535.2487725589286</v>
      </c>
      <c r="X52" s="501">
        <f t="shared" si="93"/>
        <v>535.1003298475707</v>
      </c>
      <c r="Y52" s="501">
        <f t="shared" si="93"/>
        <v>535.1003298475707</v>
      </c>
      <c r="Z52" s="501">
        <f t="shared" si="93"/>
        <v>535.1003298475707</v>
      </c>
      <c r="AA52" s="501">
        <f t="shared" si="93"/>
        <v>535.1003298475707</v>
      </c>
      <c r="AB52" s="501">
        <f t="shared" si="93"/>
        <v>532.8736891772023</v>
      </c>
      <c r="AC52" s="502">
        <f t="shared" si="93"/>
        <v>532.8736891772023</v>
      </c>
      <c r="AD52" s="437"/>
      <c r="AE52" s="440"/>
      <c r="AF52" s="440"/>
      <c r="AG52" s="440"/>
      <c r="AH52" s="440"/>
      <c r="AI52" s="501"/>
      <c r="AJ52" s="501"/>
      <c r="AK52" s="501"/>
      <c r="AL52" s="501"/>
      <c r="AM52" s="501"/>
      <c r="AN52" s="501"/>
      <c r="AO52" s="501"/>
      <c r="AP52" s="440"/>
      <c r="AQ52" s="440"/>
      <c r="AR52" s="440"/>
      <c r="AS52" s="440"/>
      <c r="AT52" s="440"/>
      <c r="AU52" s="440"/>
      <c r="AV52" s="440"/>
      <c r="AW52" s="501"/>
      <c r="AX52" s="501"/>
      <c r="AY52" s="500">
        <f aca="true" t="shared" si="94" ref="AY52:BE52">SUM(AY12:AY21)</f>
        <v>5.096982573375714</v>
      </c>
      <c r="AZ52" s="501">
        <f t="shared" si="94"/>
        <v>4.477695348644161</v>
      </c>
      <c r="BA52" s="501">
        <f t="shared" si="94"/>
        <v>4.179506239860062</v>
      </c>
      <c r="BB52" s="501">
        <f t="shared" si="94"/>
        <v>3.8592296184492563</v>
      </c>
      <c r="BC52" s="501">
        <f t="shared" si="94"/>
        <v>3.2287722620675856</v>
      </c>
      <c r="BD52" s="501">
        <f t="shared" si="94"/>
        <v>2.6819058143162215</v>
      </c>
      <c r="BE52" s="502">
        <f t="shared" si="94"/>
        <v>2.456151602074127</v>
      </c>
      <c r="BF52" s="503"/>
      <c r="BG52" s="440"/>
      <c r="BH52" s="440"/>
      <c r="BI52" s="440"/>
      <c r="BJ52" s="440"/>
      <c r="BK52" s="501"/>
      <c r="BL52" s="501"/>
      <c r="BM52" s="501"/>
      <c r="BN52" s="501"/>
      <c r="BO52" s="501"/>
      <c r="BP52" s="501"/>
      <c r="BQ52" s="440"/>
      <c r="BR52" s="440"/>
      <c r="BS52" s="440"/>
      <c r="BT52" s="440"/>
      <c r="BU52" s="440"/>
      <c r="BV52" s="440"/>
      <c r="BW52" s="440"/>
      <c r="BX52" s="440"/>
      <c r="BY52" s="589">
        <f>SUM(BY12:BY21)</f>
        <v>-441.4837297971888</v>
      </c>
      <c r="BZ52" s="589">
        <f aca="true" t="shared" si="95" ref="BZ52:CE52">SUM(BZ12:BZ21)</f>
        <v>-435.33197074836545</v>
      </c>
      <c r="CA52" s="589">
        <f t="shared" si="95"/>
        <v>-374.3329512599199</v>
      </c>
      <c r="CB52" s="589">
        <f t="shared" si="95"/>
        <v>-304.5164605207493</v>
      </c>
      <c r="CC52" s="589">
        <f t="shared" si="95"/>
        <v>-175.8773271600854</v>
      </c>
      <c r="CD52" s="589">
        <f t="shared" si="95"/>
        <v>-63.8965871097792</v>
      </c>
      <c r="CE52" s="590">
        <f t="shared" si="95"/>
        <v>-23.33985827252468</v>
      </c>
      <c r="CF52" s="440"/>
      <c r="CG52" s="440"/>
      <c r="CH52" s="440"/>
      <c r="CI52" s="440"/>
      <c r="CJ52" s="440"/>
      <c r="CK52" s="440"/>
      <c r="CL52" s="12" t="str">
        <f t="shared" si="57"/>
        <v>2006-15</v>
      </c>
      <c r="CM52" s="440">
        <f>SUM(CM12:CM21)</f>
        <v>-387.42515198030003</v>
      </c>
    </row>
    <row r="53" spans="1:94" ht="12.75">
      <c r="A53" s="504">
        <v>0.07</v>
      </c>
      <c r="B53" s="423"/>
      <c r="C53" s="423"/>
      <c r="D53" s="423"/>
      <c r="E53" s="423"/>
      <c r="F53" s="423"/>
      <c r="G53" s="423"/>
      <c r="H53" s="437"/>
      <c r="I53" s="511"/>
      <c r="J53" s="505"/>
      <c r="K53" s="505"/>
      <c r="L53" s="505"/>
      <c r="M53" s="505"/>
      <c r="N53" s="505"/>
      <c r="O53" s="506"/>
      <c r="P53" s="437">
        <f>NPV($A53,P12:P21)</f>
        <v>39.12102089863445</v>
      </c>
      <c r="Q53" s="507">
        <f aca="true" t="shared" si="96" ref="Q53:AC53">NPV($A53,Q12:Q21)</f>
        <v>37.106615618835555</v>
      </c>
      <c r="R53" s="508">
        <f t="shared" si="96"/>
        <v>33.11658841507715</v>
      </c>
      <c r="S53" s="508">
        <f t="shared" si="96"/>
        <v>28.743576665696324</v>
      </c>
      <c r="T53" s="508">
        <f t="shared" si="96"/>
        <v>19.97535856496113</v>
      </c>
      <c r="U53" s="508">
        <f t="shared" si="96"/>
        <v>12.315295840654482</v>
      </c>
      <c r="V53" s="509">
        <f t="shared" si="96"/>
        <v>9.136906841695685</v>
      </c>
      <c r="W53" s="437">
        <f t="shared" si="96"/>
        <v>329.3418985605139</v>
      </c>
      <c r="X53" s="501">
        <f t="shared" si="96"/>
        <v>329.2164840189383</v>
      </c>
      <c r="Y53" s="501">
        <f t="shared" si="96"/>
        <v>329.2164840189383</v>
      </c>
      <c r="Z53" s="501">
        <f t="shared" si="96"/>
        <v>329.2164840189383</v>
      </c>
      <c r="AA53" s="501">
        <f t="shared" si="96"/>
        <v>329.2164840189383</v>
      </c>
      <c r="AB53" s="501">
        <f t="shared" si="96"/>
        <v>327.6738108735416</v>
      </c>
      <c r="AC53" s="501">
        <f t="shared" si="96"/>
        <v>327.6738108735416</v>
      </c>
      <c r="AD53" s="437"/>
      <c r="AE53" s="440"/>
      <c r="AF53" s="440"/>
      <c r="AG53" s="440"/>
      <c r="AH53" s="440"/>
      <c r="AI53" s="501"/>
      <c r="AJ53" s="501"/>
      <c r="AK53" s="501"/>
      <c r="AL53" s="501"/>
      <c r="AM53" s="501"/>
      <c r="AN53" s="501"/>
      <c r="AO53" s="501"/>
      <c r="AP53" s="440"/>
      <c r="AQ53" s="440"/>
      <c r="AR53" s="440"/>
      <c r="AS53" s="440"/>
      <c r="AT53" s="440"/>
      <c r="AU53" s="440"/>
      <c r="AV53" s="440"/>
      <c r="AW53" s="501"/>
      <c r="AX53" s="501"/>
      <c r="AY53" s="437">
        <f aca="true" t="shared" si="97" ref="AY53:BE53">NPV($A53,AY12:AY21)</f>
        <v>2.7503932351216656</v>
      </c>
      <c r="AZ53" s="501">
        <f t="shared" si="97"/>
        <v>2.405337285584865</v>
      </c>
      <c r="BA53" s="501">
        <f t="shared" si="97"/>
        <v>2.2495751254380005</v>
      </c>
      <c r="BB53" s="501">
        <f t="shared" si="97"/>
        <v>2.0824057862114302</v>
      </c>
      <c r="BC53" s="501">
        <f t="shared" si="97"/>
        <v>1.7535754852350731</v>
      </c>
      <c r="BD53" s="501">
        <f t="shared" si="97"/>
        <v>1.468425221209512</v>
      </c>
      <c r="BE53" s="501">
        <f t="shared" si="97"/>
        <v>1.3507353369832764</v>
      </c>
      <c r="BF53" s="503"/>
      <c r="BG53" s="440"/>
      <c r="BH53" s="440"/>
      <c r="BI53" s="440"/>
      <c r="BJ53" s="440"/>
      <c r="BK53" s="501"/>
      <c r="BL53" s="501"/>
      <c r="BM53" s="501"/>
      <c r="BN53" s="501"/>
      <c r="BO53" s="501"/>
      <c r="BP53" s="501"/>
      <c r="BQ53" s="440"/>
      <c r="BR53" s="440"/>
      <c r="BS53" s="440"/>
      <c r="BT53" s="440"/>
      <c r="BU53" s="440"/>
      <c r="BV53" s="440"/>
      <c r="BW53" s="440"/>
      <c r="BX53" s="440"/>
      <c r="BY53" s="503">
        <f>NPV($A53,BY12:BY21)</f>
        <v>-274.5410492178054</v>
      </c>
      <c r="BZ53" s="503">
        <f aca="true" t="shared" si="98" ref="BZ53:CE53">NPV($A53,BZ12:BZ21)</f>
        <v>-270.26285589459894</v>
      </c>
      <c r="CA53" s="503">
        <f t="shared" si="98"/>
        <v>-230.48058023105548</v>
      </c>
      <c r="CB53" s="503">
        <f t="shared" si="98"/>
        <v>-186.12651835878785</v>
      </c>
      <c r="CC53" s="503">
        <f t="shared" si="98"/>
        <v>-106.39295519783401</v>
      </c>
      <c r="CD53" s="503">
        <f t="shared" si="98"/>
        <v>-38.036749979663874</v>
      </c>
      <c r="CE53" s="591">
        <f t="shared" si="98"/>
        <v>-13.379357947599141</v>
      </c>
      <c r="CF53" s="440"/>
      <c r="CG53" s="440"/>
      <c r="CH53" s="440"/>
      <c r="CI53" s="440"/>
      <c r="CJ53" s="440"/>
      <c r="CK53" s="440"/>
      <c r="CL53" s="30">
        <f t="shared" si="57"/>
        <v>0.07</v>
      </c>
      <c r="CM53" s="440">
        <f>NPV($A53,CM12:CM21)</f>
        <v>-240.80663560965235</v>
      </c>
      <c r="CP53" s="46">
        <v>4.22</v>
      </c>
    </row>
    <row r="54" spans="1:95" ht="12.75">
      <c r="A54" s="615" t="s">
        <v>290</v>
      </c>
      <c r="B54" s="423">
        <f>AVERAGE(B13:B28)</f>
        <v>5.282845385074616</v>
      </c>
      <c r="C54" s="423">
        <f>AVERAGE(C13:C28)</f>
        <v>5.153995497633772</v>
      </c>
      <c r="D54" s="423"/>
      <c r="E54" s="423"/>
      <c r="F54" s="423"/>
      <c r="G54" s="423"/>
      <c r="H54" s="501"/>
      <c r="I54" s="511"/>
      <c r="J54" s="505">
        <f aca="true" t="shared" si="99" ref="J54:O54">AVERAGE(J13:J28)</f>
        <v>0.010150000000000003</v>
      </c>
      <c r="K54" s="505">
        <f t="shared" si="99"/>
        <v>0.09879375</v>
      </c>
      <c r="L54" s="505">
        <f t="shared" si="99"/>
        <v>0.21089375000000002</v>
      </c>
      <c r="M54" s="505">
        <f t="shared" si="99"/>
        <v>0.45380000000000004</v>
      </c>
      <c r="N54" s="505">
        <f t="shared" si="99"/>
        <v>0.71783125</v>
      </c>
      <c r="O54" s="505">
        <f t="shared" si="99"/>
        <v>0.85005</v>
      </c>
      <c r="P54" s="495">
        <f aca="true" t="shared" si="100" ref="P54:V54">SUM(P13:P28)</f>
        <v>203.35999285959167</v>
      </c>
      <c r="Q54" s="507">
        <f t="shared" si="100"/>
        <v>197.46174415059477</v>
      </c>
      <c r="R54" s="507">
        <f t="shared" si="100"/>
        <v>173.7166227783854</v>
      </c>
      <c r="S54" s="507">
        <f t="shared" si="100"/>
        <v>147.59021860915897</v>
      </c>
      <c r="T54" s="507">
        <f t="shared" si="100"/>
        <v>95.02166562888127</v>
      </c>
      <c r="U54" s="507">
        <f t="shared" si="100"/>
        <v>49.035774882351404</v>
      </c>
      <c r="V54" s="507">
        <f t="shared" si="100"/>
        <v>29.936776016865352</v>
      </c>
      <c r="W54" s="437"/>
      <c r="X54" s="501"/>
      <c r="Y54" s="501"/>
      <c r="Z54" s="501"/>
      <c r="AA54" s="501"/>
      <c r="AB54" s="501"/>
      <c r="AC54" s="501"/>
      <c r="AD54" s="501"/>
      <c r="AE54" s="440"/>
      <c r="AF54" s="440"/>
      <c r="AG54" s="440"/>
      <c r="AH54" s="440"/>
      <c r="AI54" s="501"/>
      <c r="AJ54" s="501"/>
      <c r="AK54" s="501"/>
      <c r="AL54" s="501"/>
      <c r="AM54" s="501"/>
      <c r="AN54" s="501"/>
      <c r="AO54" s="501"/>
      <c r="AP54" s="440"/>
      <c r="AQ54" s="440"/>
      <c r="AR54" s="440"/>
      <c r="AS54" s="440"/>
      <c r="AT54" s="440"/>
      <c r="AU54" s="440"/>
      <c r="AV54" s="440"/>
      <c r="AW54" s="501"/>
      <c r="AX54" s="501"/>
      <c r="AY54" s="437"/>
      <c r="AZ54" s="501"/>
      <c r="BA54" s="501"/>
      <c r="BB54" s="501"/>
      <c r="BC54" s="501"/>
      <c r="BD54" s="501"/>
      <c r="BE54" s="501"/>
      <c r="BF54" s="440"/>
      <c r="BG54" s="440"/>
      <c r="BH54" s="440"/>
      <c r="BI54" s="440"/>
      <c r="BJ54" s="440"/>
      <c r="BK54" s="501"/>
      <c r="BL54" s="501"/>
      <c r="BM54" s="501"/>
      <c r="BN54" s="501"/>
      <c r="BO54" s="501"/>
      <c r="BP54" s="501"/>
      <c r="BQ54" s="440"/>
      <c r="BR54" s="440"/>
      <c r="BS54" s="440"/>
      <c r="BT54" s="440"/>
      <c r="BU54" s="440"/>
      <c r="BV54" s="440"/>
      <c r="BW54" s="440"/>
      <c r="BX54" s="440"/>
      <c r="BY54" s="510">
        <f>SUM(BY13:BY28)</f>
        <v>-942.8583868906115</v>
      </c>
      <c r="BZ54" s="510">
        <f aca="true" t="shared" si="101" ref="BZ54:CE54">SUM(BZ13:BZ28)</f>
        <v>-931.1486205067495</v>
      </c>
      <c r="CA54" s="510">
        <f t="shared" si="101"/>
        <v>-805.6117332564357</v>
      </c>
      <c r="CB54" s="510">
        <f t="shared" si="101"/>
        <v>-660.6654606395205</v>
      </c>
      <c r="CC54" s="510">
        <f t="shared" si="101"/>
        <v>-386.4209174941038</v>
      </c>
      <c r="CD54" s="510">
        <f t="shared" si="101"/>
        <v>-151.0658228717074</v>
      </c>
      <c r="CE54" s="510">
        <f t="shared" si="101"/>
        <v>-57.69213851614147</v>
      </c>
      <c r="CF54" s="510">
        <f aca="true" t="shared" si="102" ref="CF54:CK54">SUM(CF13:CF28)</f>
        <v>-988.7458021293211</v>
      </c>
      <c r="CG54" s="510">
        <f t="shared" si="102"/>
        <v>-855.4436980961552</v>
      </c>
      <c r="CH54" s="510">
        <f t="shared" si="102"/>
        <v>-701.5316206597176</v>
      </c>
      <c r="CI54" s="510">
        <f t="shared" si="102"/>
        <v>-410.323391575584</v>
      </c>
      <c r="CJ54" s="510">
        <f t="shared" si="102"/>
        <v>-160.4101589371679</v>
      </c>
      <c r="CK54" s="510">
        <f t="shared" si="102"/>
        <v>-61.26074669224593</v>
      </c>
      <c r="CL54" s="30"/>
      <c r="CM54" s="624">
        <f>SUM(CM13:CM28)</f>
        <v>-835.434925307076</v>
      </c>
      <c r="CO54" s="628">
        <v>-151.0658228717074</v>
      </c>
      <c r="CP54" s="611">
        <v>-146.94301200704948</v>
      </c>
      <c r="CQ54" s="632">
        <f>CO54/CP54</f>
        <v>1.0280572094470213</v>
      </c>
    </row>
    <row r="55" spans="1:95" ht="12.75">
      <c r="A55" s="614"/>
      <c r="B55" s="423"/>
      <c r="C55" s="423"/>
      <c r="D55" s="423"/>
      <c r="E55" s="423"/>
      <c r="F55" s="423"/>
      <c r="G55" s="423"/>
      <c r="H55" s="501"/>
      <c r="I55" s="511"/>
      <c r="J55" s="505"/>
      <c r="K55" s="505"/>
      <c r="L55" s="505"/>
      <c r="M55" s="505"/>
      <c r="N55" s="505"/>
      <c r="O55" s="506"/>
      <c r="P55" s="517">
        <f aca="true" t="shared" si="103" ref="P55:V55">NPV($A53,P13:P28)</f>
        <v>98.72488662402932</v>
      </c>
      <c r="Q55" s="520">
        <f t="shared" si="103"/>
        <v>95.36410885088593</v>
      </c>
      <c r="R55" s="520">
        <f t="shared" si="103"/>
        <v>84.15653856795613</v>
      </c>
      <c r="S55" s="520">
        <f t="shared" si="103"/>
        <v>71.83398211567028</v>
      </c>
      <c r="T55" s="520">
        <f t="shared" si="103"/>
        <v>47.055969416400224</v>
      </c>
      <c r="U55" s="520">
        <f t="shared" si="103"/>
        <v>25.386000827723162</v>
      </c>
      <c r="V55" s="520">
        <f t="shared" si="103"/>
        <v>16.387537999542655</v>
      </c>
      <c r="W55" s="437"/>
      <c r="X55" s="501"/>
      <c r="Y55" s="501"/>
      <c r="Z55" s="501"/>
      <c r="AA55" s="501"/>
      <c r="AB55" s="501"/>
      <c r="AC55" s="501"/>
      <c r="AD55" s="501"/>
      <c r="AE55" s="440"/>
      <c r="AF55" s="440"/>
      <c r="AG55" s="440"/>
      <c r="AH55" s="440"/>
      <c r="AI55" s="501"/>
      <c r="AJ55" s="501"/>
      <c r="AK55" s="501"/>
      <c r="AL55" s="501"/>
      <c r="AM55" s="501"/>
      <c r="AN55" s="501"/>
      <c r="AO55" s="501"/>
      <c r="AP55" s="440"/>
      <c r="AQ55" s="440"/>
      <c r="AR55" s="440"/>
      <c r="AS55" s="440"/>
      <c r="AT55" s="440"/>
      <c r="AU55" s="440"/>
      <c r="AV55" s="440"/>
      <c r="AW55" s="501"/>
      <c r="AX55" s="501"/>
      <c r="AY55" s="437"/>
      <c r="AZ55" s="501"/>
      <c r="BA55" s="501"/>
      <c r="BB55" s="501"/>
      <c r="BC55" s="501"/>
      <c r="BD55" s="501"/>
      <c r="BE55" s="501"/>
      <c r="BF55" s="440"/>
      <c r="BG55" s="440"/>
      <c r="BH55" s="440"/>
      <c r="BI55" s="440"/>
      <c r="BJ55" s="440"/>
      <c r="BK55" s="501"/>
      <c r="BL55" s="501"/>
      <c r="BM55" s="501"/>
      <c r="BN55" s="501"/>
      <c r="BO55" s="501"/>
      <c r="BP55" s="501"/>
      <c r="BQ55" s="440"/>
      <c r="BR55" s="440"/>
      <c r="BS55" s="440"/>
      <c r="BT55" s="440"/>
      <c r="BU55" s="440"/>
      <c r="BV55" s="440"/>
      <c r="BW55" s="440"/>
      <c r="BX55" s="440"/>
      <c r="BY55" s="526">
        <f>NPV($A53,BY13:BY28)</f>
        <v>-503.36921673465514</v>
      </c>
      <c r="BZ55" s="526">
        <f aca="true" t="shared" si="104" ref="BZ55:CE55">NPV($A53,BZ13:BZ28)</f>
        <v>-496.5750914666475</v>
      </c>
      <c r="CA55" s="526">
        <f t="shared" si="104"/>
        <v>-427.8201498434577</v>
      </c>
      <c r="CB55" s="526">
        <f t="shared" si="104"/>
        <v>-349.36639762165026</v>
      </c>
      <c r="CC55" s="526">
        <f t="shared" si="104"/>
        <v>-203.37685373922008</v>
      </c>
      <c r="CD55" s="526">
        <f t="shared" si="104"/>
        <v>-77.77645033198557</v>
      </c>
      <c r="CE55" s="526">
        <f t="shared" si="104"/>
        <v>-29.004874304401056</v>
      </c>
      <c r="CF55" s="526">
        <f aca="true" t="shared" si="105" ref="CF55:CK55">NPV($A53,CF13:CF28)</f>
        <v>-527.2912683502951</v>
      </c>
      <c r="CG55" s="526">
        <f t="shared" si="105"/>
        <v>-454.2834171776447</v>
      </c>
      <c r="CH55" s="526">
        <f t="shared" si="105"/>
        <v>-370.97682523060365</v>
      </c>
      <c r="CI55" s="526">
        <f t="shared" si="105"/>
        <v>-215.95694388237047</v>
      </c>
      <c r="CJ55" s="526">
        <f t="shared" si="105"/>
        <v>-82.58739483329663</v>
      </c>
      <c r="CK55" s="526">
        <f t="shared" si="105"/>
        <v>-30.799001446361796</v>
      </c>
      <c r="CL55" s="30"/>
      <c r="CM55" s="624">
        <f>NPV($A53,CM13:CM28)</f>
        <v>-444.80065026018485</v>
      </c>
      <c r="CO55" s="628">
        <v>-77.77645033198557</v>
      </c>
      <c r="CP55" s="611">
        <v>-75.629253851137</v>
      </c>
      <c r="CQ55" s="632">
        <f>CO55/CP55</f>
        <v>1.0283910837607226</v>
      </c>
    </row>
    <row r="56" spans="1:91" ht="12.75">
      <c r="A56" s="412" t="s">
        <v>267</v>
      </c>
      <c r="B56" s="423">
        <f>AVERAGE(B12:B31)</f>
        <v>5.429054303169252</v>
      </c>
      <c r="C56" s="423">
        <f>AVERAGE(C12:C31)</f>
        <v>5.296638344555367</v>
      </c>
      <c r="D56" s="423">
        <f aca="true" t="shared" si="106" ref="D56:I56">AVERAGE(D12:D31)</f>
        <v>9.340000000000002</v>
      </c>
      <c r="E56" s="423">
        <f t="shared" si="106"/>
        <v>7.340000000000002</v>
      </c>
      <c r="F56" s="423">
        <f t="shared" si="106"/>
        <v>6.5</v>
      </c>
      <c r="G56" s="423">
        <f t="shared" si="106"/>
        <v>5.340000000000002</v>
      </c>
      <c r="H56" s="423">
        <f t="shared" si="106"/>
        <v>4.22</v>
      </c>
      <c r="I56" s="422">
        <f t="shared" si="106"/>
        <v>3.5</v>
      </c>
      <c r="J56" s="505">
        <f aca="true" t="shared" si="107" ref="J56:O56">AVERAGE(J12:J31)</f>
        <v>0.017635000000000005</v>
      </c>
      <c r="K56" s="505">
        <f t="shared" si="107"/>
        <v>0.122785</v>
      </c>
      <c r="L56" s="505">
        <f t="shared" si="107"/>
        <v>0.23868</v>
      </c>
      <c r="M56" s="505">
        <f t="shared" si="107"/>
        <v>0.48346999999999996</v>
      </c>
      <c r="N56" s="505">
        <f t="shared" si="107"/>
        <v>0.7348300000000001</v>
      </c>
      <c r="O56" s="506">
        <f t="shared" si="107"/>
        <v>0.8598750000000001</v>
      </c>
      <c r="P56" s="495">
        <f>SUM(P12:P31)</f>
        <v>275.0079914180528</v>
      </c>
      <c r="Q56" s="507">
        <f aca="true" t="shared" si="108" ref="Q56:AB56">SUM(Q12:Q31)</f>
        <v>268.14528920005137</v>
      </c>
      <c r="R56" s="508">
        <f t="shared" si="108"/>
        <v>235.24594952626015</v>
      </c>
      <c r="S56" s="508">
        <f t="shared" si="108"/>
        <v>199.01944047941817</v>
      </c>
      <c r="T56" s="508">
        <f t="shared" si="108"/>
        <v>126.07884432951934</v>
      </c>
      <c r="U56" s="508">
        <f t="shared" si="108"/>
        <v>62.25535671126421</v>
      </c>
      <c r="V56" s="509">
        <f t="shared" si="108"/>
        <v>35.74310402266932</v>
      </c>
      <c r="W56" s="437">
        <f t="shared" si="108"/>
        <v>1495.9216450069441</v>
      </c>
      <c r="X56" s="501">
        <f t="shared" si="108"/>
        <v>1495.7732022955863</v>
      </c>
      <c r="Y56" s="501">
        <f t="shared" si="108"/>
        <v>1495.7732022955863</v>
      </c>
      <c r="Z56" s="501">
        <f t="shared" si="108"/>
        <v>1495.7732022955863</v>
      </c>
      <c r="AA56" s="501">
        <f t="shared" si="108"/>
        <v>1495.7732022955863</v>
      </c>
      <c r="AB56" s="501">
        <f t="shared" si="108"/>
        <v>1493.546561625218</v>
      </c>
      <c r="AC56" s="501">
        <f>SUM(AC12:AC31)</f>
        <v>1493.546561625218</v>
      </c>
      <c r="AD56" s="501"/>
      <c r="AE56" s="440"/>
      <c r="AF56" s="440"/>
      <c r="AG56" s="440"/>
      <c r="AH56" s="440"/>
      <c r="AI56" s="440"/>
      <c r="AJ56" s="440"/>
      <c r="AK56" s="440"/>
      <c r="AL56" s="8"/>
      <c r="AM56" s="8"/>
      <c r="AN56" s="8"/>
      <c r="AO56" s="8"/>
      <c r="AP56" s="440"/>
      <c r="AQ56" s="440"/>
      <c r="AR56" s="440"/>
      <c r="AS56" s="440"/>
      <c r="AT56" s="440"/>
      <c r="AU56" s="440"/>
      <c r="AV56" s="440"/>
      <c r="AW56" s="440"/>
      <c r="AX56" s="440"/>
      <c r="AY56" s="437">
        <f aca="true" t="shared" si="109" ref="AY56:BE56">SUM(AY12:AY31)</f>
        <v>85.48696076884242</v>
      </c>
      <c r="AZ56" s="501">
        <f t="shared" si="109"/>
        <v>82.96231515214643</v>
      </c>
      <c r="BA56" s="501">
        <f t="shared" si="109"/>
        <v>73.01250239462425</v>
      </c>
      <c r="BB56" s="501">
        <f t="shared" si="109"/>
        <v>62.06600143995126</v>
      </c>
      <c r="BC56" s="501">
        <f t="shared" si="109"/>
        <v>40.04272749913702</v>
      </c>
      <c r="BD56" s="501">
        <f t="shared" si="109"/>
        <v>20.777891230468942</v>
      </c>
      <c r="BE56" s="511">
        <f t="shared" si="109"/>
        <v>12.776959692966996</v>
      </c>
      <c r="BF56" s="440"/>
      <c r="BG56" s="440"/>
      <c r="BH56" s="440"/>
      <c r="BI56" s="440"/>
      <c r="BJ56" s="440"/>
      <c r="BK56" s="440"/>
      <c r="BL56" s="440"/>
      <c r="BM56" s="512"/>
      <c r="BN56" s="512"/>
      <c r="BO56" s="512"/>
      <c r="BP56" s="512"/>
      <c r="BQ56" s="440"/>
      <c r="BR56" s="440"/>
      <c r="BS56" s="440"/>
      <c r="BT56" s="440"/>
      <c r="BU56" s="440"/>
      <c r="BV56" s="440"/>
      <c r="BW56" s="440"/>
      <c r="BX56" s="440"/>
      <c r="BY56" s="503">
        <f>SUM(BY12:BY31)</f>
        <v>-1166.8506909117525</v>
      </c>
      <c r="BZ56" s="503">
        <f aca="true" t="shared" si="110" ref="BZ56:CE56">SUM(BZ12:BZ31)</f>
        <v>-1149.8503090953768</v>
      </c>
      <c r="CA56" s="503">
        <f t="shared" si="110"/>
        <v>-977.4424859037108</v>
      </c>
      <c r="CB56" s="503">
        <f t="shared" si="110"/>
        <v>-796.1219498296716</v>
      </c>
      <c r="CC56" s="503">
        <f t="shared" si="110"/>
        <v>-454.34173111506664</v>
      </c>
      <c r="CD56" s="503">
        <f t="shared" si="110"/>
        <v>-177.15874477259922</v>
      </c>
      <c r="CE56" s="591">
        <f t="shared" si="110"/>
        <v>-68.54548913753811</v>
      </c>
      <c r="CF56" s="440"/>
      <c r="CG56" s="440"/>
      <c r="CH56" s="440"/>
      <c r="CI56" s="440"/>
      <c r="CJ56" s="440"/>
      <c r="CK56" s="440"/>
      <c r="CL56" s="12" t="str">
        <f t="shared" si="57"/>
        <v>2006-25</v>
      </c>
      <c r="CM56" s="440">
        <f>SUM(CM12:CM31)</f>
        <v>-1038.0024048978164</v>
      </c>
    </row>
    <row r="57" spans="1:91" ht="12.75">
      <c r="A57" s="513" t="s">
        <v>268</v>
      </c>
      <c r="B57" s="423">
        <f>AVERAGE(B13:B31)</f>
        <v>5.337447496715346</v>
      </c>
      <c r="C57" s="514"/>
      <c r="D57" s="515"/>
      <c r="E57" s="515"/>
      <c r="F57" s="515"/>
      <c r="G57" s="515"/>
      <c r="H57" s="516"/>
      <c r="I57" s="519"/>
      <c r="J57" s="518"/>
      <c r="K57" s="518"/>
      <c r="L57" s="518"/>
      <c r="M57" s="518"/>
      <c r="N57" s="516"/>
      <c r="O57" s="519"/>
      <c r="P57" s="517">
        <f>NPV($A53,P12:P31)</f>
        <v>112.11041675842557</v>
      </c>
      <c r="Q57" s="520">
        <f aca="true" t="shared" si="111" ref="Q57:AB57">NPV($A53,Q12:Q31)</f>
        <v>108.70238066727447</v>
      </c>
      <c r="R57" s="521">
        <f t="shared" si="111"/>
        <v>95.69259489090194</v>
      </c>
      <c r="S57" s="521">
        <f t="shared" si="111"/>
        <v>81.37878611827011</v>
      </c>
      <c r="T57" s="521">
        <f t="shared" si="111"/>
        <v>52.579370884914084</v>
      </c>
      <c r="U57" s="521">
        <f t="shared" si="111"/>
        <v>27.386629047592624</v>
      </c>
      <c r="V57" s="522">
        <f t="shared" si="111"/>
        <v>16.923620269751986</v>
      </c>
      <c r="W57" s="523">
        <f t="shared" si="111"/>
        <v>672.3436827799762</v>
      </c>
      <c r="X57" s="516">
        <f t="shared" si="111"/>
        <v>672.2182682384006</v>
      </c>
      <c r="Y57" s="516">
        <f t="shared" si="111"/>
        <v>672.2182682384006</v>
      </c>
      <c r="Z57" s="516">
        <f t="shared" si="111"/>
        <v>672.2182682384006</v>
      </c>
      <c r="AA57" s="516">
        <f t="shared" si="111"/>
        <v>672.2182682384006</v>
      </c>
      <c r="AB57" s="516">
        <f t="shared" si="111"/>
        <v>670.6755950930038</v>
      </c>
      <c r="AC57" s="516">
        <f>NPV($A53,AC12:AC31)</f>
        <v>670.6755950930038</v>
      </c>
      <c r="AD57" s="516"/>
      <c r="AE57" s="524"/>
      <c r="AF57" s="524"/>
      <c r="AG57" s="524"/>
      <c r="AH57" s="524"/>
      <c r="AI57" s="524"/>
      <c r="AJ57" s="524"/>
      <c r="AK57" s="524"/>
      <c r="AL57" s="87"/>
      <c r="AM57" s="87"/>
      <c r="AN57" s="87"/>
      <c r="AO57" s="87"/>
      <c r="AP57" s="524"/>
      <c r="AQ57" s="524"/>
      <c r="AR57" s="524"/>
      <c r="AS57" s="524"/>
      <c r="AT57" s="524"/>
      <c r="AU57" s="524"/>
      <c r="AV57" s="524"/>
      <c r="AW57" s="524"/>
      <c r="AX57" s="524"/>
      <c r="AY57" s="523">
        <f aca="true" t="shared" si="112" ref="AY57:BE57">NPV($A53,AY12:AY31)</f>
        <v>29.867950903568538</v>
      </c>
      <c r="AZ57" s="516">
        <f t="shared" si="112"/>
        <v>28.819815627471833</v>
      </c>
      <c r="BA57" s="516">
        <f t="shared" si="112"/>
        <v>25.450822230699963</v>
      </c>
      <c r="BB57" s="516">
        <f t="shared" si="112"/>
        <v>21.747412711969854</v>
      </c>
      <c r="BC57" s="516">
        <f t="shared" si="112"/>
        <v>14.301990498364592</v>
      </c>
      <c r="BD57" s="516">
        <f t="shared" si="112"/>
        <v>7.790934440174407</v>
      </c>
      <c r="BE57" s="519">
        <f t="shared" si="112"/>
        <v>5.087347492934437</v>
      </c>
      <c r="BF57" s="524"/>
      <c r="BG57" s="524"/>
      <c r="BH57" s="524"/>
      <c r="BI57" s="524"/>
      <c r="BJ57" s="524"/>
      <c r="BK57" s="524"/>
      <c r="BL57" s="524"/>
      <c r="BM57" s="525"/>
      <c r="BN57" s="525"/>
      <c r="BO57" s="525"/>
      <c r="BP57" s="525"/>
      <c r="BQ57" s="524"/>
      <c r="BR57" s="524"/>
      <c r="BS57" s="524"/>
      <c r="BT57" s="524"/>
      <c r="BU57" s="524"/>
      <c r="BV57" s="524"/>
      <c r="BW57" s="524"/>
      <c r="BX57" s="524"/>
      <c r="BY57" s="616">
        <f>NPV($A53,BY12:BY31)</f>
        <v>-532.4054020642599</v>
      </c>
      <c r="BZ57" s="616">
        <f aca="true" t="shared" si="113" ref="BZ57:CE57">NPV($A53,BZ12:BZ31)</f>
        <v>-524.6056032810071</v>
      </c>
      <c r="CA57" s="616">
        <f t="shared" si="113"/>
        <v>-447.4333932542239</v>
      </c>
      <c r="CB57" s="616">
        <f t="shared" si="113"/>
        <v>-364.0429018419718</v>
      </c>
      <c r="CC57" s="616">
        <f t="shared" si="113"/>
        <v>-208.91185757178258</v>
      </c>
      <c r="CD57" s="616">
        <f t="shared" si="113"/>
        <v>-79.9356834400159</v>
      </c>
      <c r="CE57" s="617">
        <f t="shared" si="113"/>
        <v>-30.114973754448986</v>
      </c>
      <c r="CF57" s="440">
        <v>-111.43072821459599</v>
      </c>
      <c r="CG57" s="440"/>
      <c r="CH57" s="440"/>
      <c r="CI57" s="440"/>
      <c r="CJ57" s="440"/>
      <c r="CK57" s="440"/>
      <c r="CL57" s="12" t="str">
        <f t="shared" si="57"/>
        <v>PV</v>
      </c>
      <c r="CM57" s="440">
        <f>NPV($A53,CM12:CM31)</f>
        <v>-471.74180269195773</v>
      </c>
    </row>
    <row r="58" spans="1:91" ht="12.75">
      <c r="A58" s="527" t="s">
        <v>87</v>
      </c>
      <c r="I58" s="9"/>
      <c r="J58" s="8"/>
      <c r="K58" s="8"/>
      <c r="L58" s="8"/>
      <c r="M58" s="8"/>
      <c r="N58" s="8"/>
      <c r="O58" s="9"/>
      <c r="P58" s="528">
        <f aca="true" t="shared" si="114" ref="P58:AC58">P52+P60</f>
        <v>275.00799141805277</v>
      </c>
      <c r="Q58" s="529">
        <f t="shared" si="114"/>
        <v>268.14528920005137</v>
      </c>
      <c r="R58" s="529">
        <f t="shared" si="114"/>
        <v>235.24594952626018</v>
      </c>
      <c r="S58" s="529">
        <f t="shared" si="114"/>
        <v>199.01944047941822</v>
      </c>
      <c r="T58" s="529">
        <f t="shared" si="114"/>
        <v>126.07884432951933</v>
      </c>
      <c r="U58" s="529">
        <f t="shared" si="114"/>
        <v>62.25535671126422</v>
      </c>
      <c r="V58" s="529">
        <f t="shared" si="114"/>
        <v>35.74310402266932</v>
      </c>
      <c r="W58" s="529">
        <f t="shared" si="114"/>
        <v>1495.9216450069443</v>
      </c>
      <c r="X58" s="529">
        <f t="shared" si="114"/>
        <v>1495.7732022955865</v>
      </c>
      <c r="Y58" s="529">
        <f t="shared" si="114"/>
        <v>1495.7732022955865</v>
      </c>
      <c r="Z58" s="529">
        <f t="shared" si="114"/>
        <v>1495.7732022955865</v>
      </c>
      <c r="AA58" s="529">
        <f t="shared" si="114"/>
        <v>1495.7732022955865</v>
      </c>
      <c r="AB58" s="529">
        <f t="shared" si="114"/>
        <v>1493.5465616252181</v>
      </c>
      <c r="AC58" s="529">
        <f t="shared" si="114"/>
        <v>1493.5465616252181</v>
      </c>
      <c r="AY58" s="529">
        <f aca="true" t="shared" si="115" ref="AY58:BE59">AY52+AY60</f>
        <v>85.48696076884241</v>
      </c>
      <c r="AZ58" s="529">
        <f t="shared" si="115"/>
        <v>82.96231515214643</v>
      </c>
      <c r="BA58" s="529">
        <f t="shared" si="115"/>
        <v>73.01250239462425</v>
      </c>
      <c r="BB58" s="529">
        <f t="shared" si="115"/>
        <v>62.06600143995125</v>
      </c>
      <c r="BC58" s="529">
        <f t="shared" si="115"/>
        <v>40.04272749913702</v>
      </c>
      <c r="BD58" s="529">
        <f t="shared" si="115"/>
        <v>20.777891230468942</v>
      </c>
      <c r="BE58" s="530">
        <f t="shared" si="115"/>
        <v>12.776959692966997</v>
      </c>
      <c r="BR58" s="8"/>
      <c r="BS58" s="8"/>
      <c r="BT58" s="8"/>
      <c r="BU58" s="8"/>
      <c r="BV58" s="8"/>
      <c r="BW58" s="32"/>
      <c r="BX58" s="32"/>
      <c r="BY58" s="531">
        <f aca="true" t="shared" si="116" ref="BY58:CE59">BY52+BY60</f>
        <v>-1166.8506909117527</v>
      </c>
      <c r="BZ58" s="532">
        <f t="shared" si="116"/>
        <v>-1149.8503090953766</v>
      </c>
      <c r="CA58" s="532">
        <f t="shared" si="116"/>
        <v>-977.4424859037107</v>
      </c>
      <c r="CB58" s="532">
        <f t="shared" si="116"/>
        <v>-796.1219498296718</v>
      </c>
      <c r="CC58" s="532">
        <f t="shared" si="116"/>
        <v>-454.34173111506664</v>
      </c>
      <c r="CD58" s="532">
        <f t="shared" si="116"/>
        <v>-177.15874477259925</v>
      </c>
      <c r="CE58" s="532">
        <f t="shared" si="116"/>
        <v>-68.54548913753813</v>
      </c>
      <c r="CF58" s="532"/>
      <c r="CG58" s="532"/>
      <c r="CH58" s="532"/>
      <c r="CI58" s="532"/>
      <c r="CJ58" s="532"/>
      <c r="CK58" s="532"/>
      <c r="CL58" s="12" t="str">
        <f t="shared" si="57"/>
        <v>Checks</v>
      </c>
      <c r="CM58" s="128">
        <f>CM52+CM60</f>
        <v>-1038.0024048978164</v>
      </c>
    </row>
    <row r="59" spans="9:91" ht="12.75">
      <c r="I59" s="9"/>
      <c r="M59" s="8"/>
      <c r="O59" s="9"/>
      <c r="P59" s="533">
        <f aca="true" t="shared" si="117" ref="P59:AC59">P53+P61</f>
        <v>112.11041675842557</v>
      </c>
      <c r="Q59" s="529">
        <f t="shared" si="117"/>
        <v>108.70238066727447</v>
      </c>
      <c r="R59" s="529">
        <f t="shared" si="117"/>
        <v>95.69259489090194</v>
      </c>
      <c r="S59" s="529">
        <f t="shared" si="117"/>
        <v>81.37878611827011</v>
      </c>
      <c r="T59" s="529">
        <f t="shared" si="117"/>
        <v>52.579370884914084</v>
      </c>
      <c r="U59" s="529">
        <f t="shared" si="117"/>
        <v>27.386629047592624</v>
      </c>
      <c r="V59" s="529">
        <f t="shared" si="117"/>
        <v>16.923620269751986</v>
      </c>
      <c r="W59" s="529">
        <f t="shared" si="117"/>
        <v>672.3436827799762</v>
      </c>
      <c r="X59" s="529">
        <f t="shared" si="117"/>
        <v>672.2182682384006</v>
      </c>
      <c r="Y59" s="529">
        <f t="shared" si="117"/>
        <v>672.2182682384006</v>
      </c>
      <c r="Z59" s="529">
        <f t="shared" si="117"/>
        <v>672.2182682384006</v>
      </c>
      <c r="AA59" s="529">
        <f t="shared" si="117"/>
        <v>672.2182682384006</v>
      </c>
      <c r="AB59" s="529">
        <f t="shared" si="117"/>
        <v>670.6755950930038</v>
      </c>
      <c r="AC59" s="529">
        <f t="shared" si="117"/>
        <v>670.6755950930038</v>
      </c>
      <c r="AY59" s="529">
        <f t="shared" si="115"/>
        <v>29.867950903568538</v>
      </c>
      <c r="AZ59" s="529">
        <f t="shared" si="115"/>
        <v>28.819815627471833</v>
      </c>
      <c r="BA59" s="529">
        <f t="shared" si="115"/>
        <v>25.450822230699963</v>
      </c>
      <c r="BB59" s="529">
        <f t="shared" si="115"/>
        <v>21.747412711969854</v>
      </c>
      <c r="BC59" s="529">
        <f t="shared" si="115"/>
        <v>14.301990498364592</v>
      </c>
      <c r="BD59" s="529">
        <f t="shared" si="115"/>
        <v>7.790934440174407</v>
      </c>
      <c r="BE59" s="534">
        <f t="shared" si="115"/>
        <v>5.087347492934437</v>
      </c>
      <c r="BR59" s="8"/>
      <c r="BS59" s="8"/>
      <c r="BT59" s="8"/>
      <c r="BU59" s="8"/>
      <c r="BV59" s="8"/>
      <c r="BW59" s="32"/>
      <c r="BX59" s="32"/>
      <c r="BY59" s="531">
        <f t="shared" si="116"/>
        <v>-532.4054020642599</v>
      </c>
      <c r="BZ59" s="532">
        <f t="shared" si="116"/>
        <v>-524.6056032810071</v>
      </c>
      <c r="CA59" s="532">
        <f t="shared" si="116"/>
        <v>-447.4333932542239</v>
      </c>
      <c r="CB59" s="532">
        <f t="shared" si="116"/>
        <v>-364.0429018419718</v>
      </c>
      <c r="CC59" s="532">
        <f t="shared" si="116"/>
        <v>-208.91185757178258</v>
      </c>
      <c r="CD59" s="532">
        <f t="shared" si="116"/>
        <v>-79.9356834400159</v>
      </c>
      <c r="CE59" s="532">
        <f t="shared" si="116"/>
        <v>-30.114973754448982</v>
      </c>
      <c r="CF59" s="532">
        <f>CF55+CF57</f>
        <v>-638.7219965648911</v>
      </c>
      <c r="CG59" s="532"/>
      <c r="CH59" s="532"/>
      <c r="CI59" s="532"/>
      <c r="CJ59" s="532"/>
      <c r="CK59" s="532"/>
      <c r="CL59" s="12"/>
      <c r="CM59" s="128">
        <f>CM53+CM61</f>
        <v>-471.74180269195773</v>
      </c>
    </row>
    <row r="60" spans="1:91" ht="12.75">
      <c r="A60" s="412" t="s">
        <v>269</v>
      </c>
      <c r="B60" s="423">
        <f>AVERAGE(B22:B31)</f>
        <v>5.272253293991088</v>
      </c>
      <c r="C60" s="423">
        <f aca="true" t="shared" si="118" ref="C60:I60">AVERAGE(C22:C31)</f>
        <v>5.14366175023521</v>
      </c>
      <c r="D60" s="423">
        <f t="shared" si="118"/>
        <v>9.340000000000002</v>
      </c>
      <c r="E60" s="423">
        <f t="shared" si="118"/>
        <v>7.340000000000002</v>
      </c>
      <c r="F60" s="423">
        <f t="shared" si="118"/>
        <v>6.5</v>
      </c>
      <c r="G60" s="423">
        <f t="shared" si="118"/>
        <v>5.340000000000001</v>
      </c>
      <c r="H60" s="423">
        <f t="shared" si="118"/>
        <v>4.22</v>
      </c>
      <c r="I60" s="422">
        <f t="shared" si="118"/>
        <v>3.5</v>
      </c>
      <c r="J60" s="505">
        <f aca="true" t="shared" si="119" ref="J60:O60">AVERAGE(J22:J31)</f>
        <v>0.00587</v>
      </c>
      <c r="K60" s="505">
        <f t="shared" si="119"/>
        <v>0.0891</v>
      </c>
      <c r="L60" s="505">
        <f t="shared" si="119"/>
        <v>0.19119999999999998</v>
      </c>
      <c r="M60" s="505">
        <f t="shared" si="119"/>
        <v>0.4439000000000001</v>
      </c>
      <c r="N60" s="505">
        <f t="shared" si="119"/>
        <v>0.7047700000000001</v>
      </c>
      <c r="O60" s="506">
        <f t="shared" si="119"/>
        <v>0.84547</v>
      </c>
      <c r="P60" s="495">
        <f>SUM(P22:P31)</f>
        <v>209.7889325136927</v>
      </c>
      <c r="Q60" s="508">
        <f aca="true" t="shared" si="120" ref="Q60:AC60">SUM(Q22:Q31)</f>
        <v>205.96379101769097</v>
      </c>
      <c r="R60" s="508">
        <f t="shared" si="120"/>
        <v>179.91322132994824</v>
      </c>
      <c r="S60" s="508">
        <f t="shared" si="120"/>
        <v>151.19848429449274</v>
      </c>
      <c r="T60" s="508">
        <f t="shared" si="120"/>
        <v>93.3296380047183</v>
      </c>
      <c r="U60" s="508">
        <f t="shared" si="120"/>
        <v>42.67644864037398</v>
      </c>
      <c r="V60" s="508">
        <f t="shared" si="120"/>
        <v>21.629941473224008</v>
      </c>
      <c r="W60" s="437">
        <f t="shared" si="120"/>
        <v>960.6728724480158</v>
      </c>
      <c r="X60" s="501">
        <f t="shared" si="120"/>
        <v>960.6728724480158</v>
      </c>
      <c r="Y60" s="501">
        <f t="shared" si="120"/>
        <v>960.6728724480158</v>
      </c>
      <c r="Z60" s="501">
        <f t="shared" si="120"/>
        <v>960.6728724480158</v>
      </c>
      <c r="AA60" s="501">
        <f t="shared" si="120"/>
        <v>960.6728724480158</v>
      </c>
      <c r="AB60" s="501">
        <f t="shared" si="120"/>
        <v>960.6728724480158</v>
      </c>
      <c r="AC60" s="501">
        <f t="shared" si="120"/>
        <v>960.6728724480158</v>
      </c>
      <c r="AD60" s="437"/>
      <c r="AE60" s="440"/>
      <c r="AF60" s="440"/>
      <c r="AG60" s="440"/>
      <c r="AH60" s="440"/>
      <c r="AI60" s="501"/>
      <c r="AJ60" s="501"/>
      <c r="AK60" s="501"/>
      <c r="AL60" s="501"/>
      <c r="AM60" s="501"/>
      <c r="AN60" s="501"/>
      <c r="AO60" s="501"/>
      <c r="AP60" s="440"/>
      <c r="AQ60" s="440"/>
      <c r="AR60" s="440"/>
      <c r="AS60" s="440"/>
      <c r="AT60" s="440"/>
      <c r="AU60" s="440"/>
      <c r="AV60" s="440"/>
      <c r="AW60" s="501"/>
      <c r="AX60" s="501"/>
      <c r="AY60" s="437">
        <f aca="true" t="shared" si="121" ref="AY60:BE60">SUM(AY22:AY31)</f>
        <v>80.3899781954667</v>
      </c>
      <c r="AZ60" s="501">
        <f t="shared" si="121"/>
        <v>78.48461980350227</v>
      </c>
      <c r="BA60" s="501">
        <f t="shared" si="121"/>
        <v>68.83299615476419</v>
      </c>
      <c r="BB60" s="501">
        <f t="shared" si="121"/>
        <v>58.206771821501995</v>
      </c>
      <c r="BC60" s="501">
        <f t="shared" si="121"/>
        <v>36.813955237069436</v>
      </c>
      <c r="BD60" s="501">
        <f t="shared" si="121"/>
        <v>18.095985416152722</v>
      </c>
      <c r="BE60" s="501">
        <f t="shared" si="121"/>
        <v>10.32080809089287</v>
      </c>
      <c r="BF60" s="503"/>
      <c r="BG60" s="440"/>
      <c r="BH60" s="440"/>
      <c r="BI60" s="440"/>
      <c r="BJ60" s="440"/>
      <c r="BK60" s="501"/>
      <c r="BL60" s="501"/>
      <c r="BM60" s="501"/>
      <c r="BN60" s="501"/>
      <c r="BO60" s="501"/>
      <c r="BP60" s="501"/>
      <c r="BQ60" s="440"/>
      <c r="BR60" s="440"/>
      <c r="BS60" s="440"/>
      <c r="BT60" s="440"/>
      <c r="BU60" s="440"/>
      <c r="BV60" s="440"/>
      <c r="BW60" s="440"/>
      <c r="BX60" s="440"/>
      <c r="BY60" s="503">
        <f aca="true" t="shared" si="122" ref="BY60:CE60">SUM(BY22:BY31)</f>
        <v>-725.3669611145639</v>
      </c>
      <c r="BZ60" s="503">
        <f t="shared" si="122"/>
        <v>-714.5183383470112</v>
      </c>
      <c r="CA60" s="503">
        <f t="shared" si="122"/>
        <v>-603.1095346437908</v>
      </c>
      <c r="CB60" s="503">
        <f t="shared" si="122"/>
        <v>-491.6054893089225</v>
      </c>
      <c r="CC60" s="503">
        <f t="shared" si="122"/>
        <v>-278.4644039549812</v>
      </c>
      <c r="CD60" s="503">
        <f t="shared" si="122"/>
        <v>-113.26215766282006</v>
      </c>
      <c r="CE60" s="503">
        <f t="shared" si="122"/>
        <v>-45.20563086501345</v>
      </c>
      <c r="CF60" s="440"/>
      <c r="CG60" s="440"/>
      <c r="CH60" s="440"/>
      <c r="CI60" s="440"/>
      <c r="CJ60" s="440"/>
      <c r="CK60" s="440"/>
      <c r="CL60" s="12" t="str">
        <f t="shared" si="57"/>
        <v>2016-25</v>
      </c>
      <c r="CM60" s="440">
        <f>SUM(CM22:CM31)</f>
        <v>-650.5772529175164</v>
      </c>
    </row>
    <row r="61" spans="1:91" ht="13.5" thickBot="1">
      <c r="A61" s="535" t="s">
        <v>268</v>
      </c>
      <c r="B61" s="536"/>
      <c r="C61" s="8"/>
      <c r="D61" s="537"/>
      <c r="E61" s="537"/>
      <c r="F61" s="537"/>
      <c r="G61" s="537"/>
      <c r="H61" s="501"/>
      <c r="I61" s="501"/>
      <c r="J61" s="505"/>
      <c r="K61" s="505"/>
      <c r="L61" s="505"/>
      <c r="M61" s="505"/>
      <c r="N61" s="505"/>
      <c r="O61" s="506"/>
      <c r="P61" s="495">
        <f>NPV($A53,P12:P31)-NPV($A53,P12:P21)</f>
        <v>72.98939585979113</v>
      </c>
      <c r="Q61" s="508">
        <f aca="true" t="shared" si="123" ref="Q61:AC61">NPV($A53,Q12:Q31)-NPV($A53,Q12:Q21)</f>
        <v>71.59576504843892</v>
      </c>
      <c r="R61" s="508">
        <f t="shared" si="123"/>
        <v>62.57600647582479</v>
      </c>
      <c r="S61" s="508">
        <f t="shared" si="123"/>
        <v>52.63520945257379</v>
      </c>
      <c r="T61" s="508">
        <f t="shared" si="123"/>
        <v>32.60401231995296</v>
      </c>
      <c r="U61" s="508">
        <f t="shared" si="123"/>
        <v>15.071333206938142</v>
      </c>
      <c r="V61" s="508">
        <f t="shared" si="123"/>
        <v>7.7867134280563</v>
      </c>
      <c r="W61" s="437">
        <f t="shared" si="123"/>
        <v>343.0017842194623</v>
      </c>
      <c r="X61" s="501">
        <f t="shared" si="123"/>
        <v>343.0017842194623</v>
      </c>
      <c r="Y61" s="501">
        <f t="shared" si="123"/>
        <v>343.0017842194623</v>
      </c>
      <c r="Z61" s="501">
        <f t="shared" si="123"/>
        <v>343.0017842194623</v>
      </c>
      <c r="AA61" s="501">
        <f t="shared" si="123"/>
        <v>343.0017842194623</v>
      </c>
      <c r="AB61" s="501">
        <f t="shared" si="123"/>
        <v>343.00178421946225</v>
      </c>
      <c r="AC61" s="501">
        <f t="shared" si="123"/>
        <v>343.00178421946225</v>
      </c>
      <c r="AD61" s="437"/>
      <c r="AE61" s="440"/>
      <c r="AF61" s="440"/>
      <c r="AG61" s="440"/>
      <c r="AH61" s="440"/>
      <c r="AI61" s="440"/>
      <c r="AJ61" s="440"/>
      <c r="AK61" s="440"/>
      <c r="AL61" s="8"/>
      <c r="AM61" s="8"/>
      <c r="AN61" s="8"/>
      <c r="AO61" s="8"/>
      <c r="AP61" s="440"/>
      <c r="AQ61" s="440"/>
      <c r="AR61" s="440"/>
      <c r="AS61" s="440"/>
      <c r="AT61" s="440"/>
      <c r="AU61" s="440"/>
      <c r="AV61" s="440"/>
      <c r="AW61" s="440"/>
      <c r="AX61" s="440"/>
      <c r="AY61" s="437">
        <f aca="true" t="shared" si="124" ref="AY61:BE61">NPV($A53,AY12:AY31)-NPV($A53,AY12:AY21)</f>
        <v>27.11755766844687</v>
      </c>
      <c r="AZ61" s="501">
        <f t="shared" si="124"/>
        <v>26.41447834188697</v>
      </c>
      <c r="BA61" s="501">
        <f t="shared" si="124"/>
        <v>23.201247105261963</v>
      </c>
      <c r="BB61" s="501">
        <f t="shared" si="124"/>
        <v>19.665006925758423</v>
      </c>
      <c r="BC61" s="501">
        <f t="shared" si="124"/>
        <v>12.54841501312952</v>
      </c>
      <c r="BD61" s="501">
        <f t="shared" si="124"/>
        <v>6.322509218964895</v>
      </c>
      <c r="BE61" s="501">
        <f t="shared" si="124"/>
        <v>3.7366121559511605</v>
      </c>
      <c r="BF61" s="503"/>
      <c r="BG61" s="440"/>
      <c r="BH61" s="440"/>
      <c r="BI61" s="440"/>
      <c r="BJ61" s="440"/>
      <c r="BK61" s="440"/>
      <c r="BL61" s="440"/>
      <c r="BM61" s="512"/>
      <c r="BN61" s="512"/>
      <c r="BO61" s="512"/>
      <c r="BP61" s="512"/>
      <c r="BQ61" s="440"/>
      <c r="BR61" s="440"/>
      <c r="BS61" s="440"/>
      <c r="BT61" s="440"/>
      <c r="BU61" s="440"/>
      <c r="BV61" s="440"/>
      <c r="BW61" s="440"/>
      <c r="BX61" s="440"/>
      <c r="BY61" s="503">
        <f aca="true" t="shared" si="125" ref="BY61:CE61">NPV($A53,BY12:BY31)-NPV($A53,BY12:BY21)</f>
        <v>-257.8643528464545</v>
      </c>
      <c r="BZ61" s="503">
        <f t="shared" si="125"/>
        <v>-254.34274738640818</v>
      </c>
      <c r="CA61" s="503">
        <f t="shared" si="125"/>
        <v>-216.95281302316843</v>
      </c>
      <c r="CB61" s="503">
        <f t="shared" si="125"/>
        <v>-177.91638348318395</v>
      </c>
      <c r="CC61" s="503">
        <f t="shared" si="125"/>
        <v>-102.51890237394856</v>
      </c>
      <c r="CD61" s="503">
        <f t="shared" si="125"/>
        <v>-41.89893346035202</v>
      </c>
      <c r="CE61" s="503">
        <f t="shared" si="125"/>
        <v>-16.735615806849843</v>
      </c>
      <c r="CF61" s="440"/>
      <c r="CG61" s="440"/>
      <c r="CH61" s="440"/>
      <c r="CI61" s="440"/>
      <c r="CJ61" s="440"/>
      <c r="CK61" s="440"/>
      <c r="CL61" s="12" t="str">
        <f t="shared" si="57"/>
        <v>PV</v>
      </c>
      <c r="CM61" s="440">
        <f>NPV($A53,CM12:CM31)-NPV($A53,CM12:CM21)</f>
        <v>-230.93516708230538</v>
      </c>
    </row>
    <row r="62" spans="1:91" ht="12.75">
      <c r="A62" s="420"/>
      <c r="B62" s="536"/>
      <c r="C62" s="8"/>
      <c r="D62" s="537"/>
      <c r="E62" s="537"/>
      <c r="F62" s="537"/>
      <c r="G62" s="537"/>
      <c r="H62" s="501"/>
      <c r="I62" s="501"/>
      <c r="J62" s="505"/>
      <c r="K62" s="505"/>
      <c r="L62" s="505"/>
      <c r="M62" s="505"/>
      <c r="N62" s="505"/>
      <c r="O62" s="505"/>
      <c r="P62" s="501"/>
      <c r="Q62" s="508"/>
      <c r="R62" s="508"/>
      <c r="S62" s="508"/>
      <c r="T62" s="508"/>
      <c r="U62" s="508"/>
      <c r="V62" s="508"/>
      <c r="W62" s="501"/>
      <c r="X62" s="501"/>
      <c r="Y62" s="501"/>
      <c r="Z62" s="501"/>
      <c r="AA62" s="501"/>
      <c r="AB62" s="501"/>
      <c r="AC62" s="501"/>
      <c r="AD62" s="501"/>
      <c r="AE62" s="440"/>
      <c r="AF62" s="440"/>
      <c r="AG62" s="440"/>
      <c r="AH62" s="440"/>
      <c r="AI62" s="440"/>
      <c r="AJ62" s="440"/>
      <c r="AK62" s="440"/>
      <c r="AL62" s="8"/>
      <c r="AM62" s="8"/>
      <c r="AN62" s="8"/>
      <c r="AO62" s="8"/>
      <c r="AP62" s="440"/>
      <c r="AQ62" s="440"/>
      <c r="AR62" s="440"/>
      <c r="AS62" s="440"/>
      <c r="AT62" s="440"/>
      <c r="AU62" s="440"/>
      <c r="AV62" s="440"/>
      <c r="AW62" s="440"/>
      <c r="AX62" s="440"/>
      <c r="AY62" s="501"/>
      <c r="AZ62" s="501"/>
      <c r="BA62" s="501"/>
      <c r="BB62" s="501"/>
      <c r="BC62" s="501"/>
      <c r="BD62" s="501"/>
      <c r="BE62" s="501"/>
      <c r="BF62" s="440"/>
      <c r="BG62" s="440"/>
      <c r="BH62" s="440"/>
      <c r="BI62" s="440"/>
      <c r="BJ62" s="440"/>
      <c r="BK62" s="440"/>
      <c r="BL62" s="440"/>
      <c r="BM62" s="512"/>
      <c r="BN62" s="512"/>
      <c r="BO62" s="512"/>
      <c r="BP62" s="512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12"/>
      <c r="CM62" s="12"/>
    </row>
    <row r="63" spans="2:92" ht="15.75">
      <c r="B63" s="538"/>
      <c r="C63" s="538"/>
      <c r="D63" s="538"/>
      <c r="E63" s="538"/>
      <c r="F63" s="538"/>
      <c r="G63" s="538"/>
      <c r="H63" s="538"/>
      <c r="I63" s="538"/>
      <c r="J63" s="538"/>
      <c r="K63" s="538"/>
      <c r="Q63" s="8"/>
      <c r="R63" s="8"/>
      <c r="S63" s="22"/>
      <c r="T63" s="12"/>
      <c r="W63" s="22"/>
      <c r="X63" s="12"/>
      <c r="Y63" s="12"/>
      <c r="Z63" s="12"/>
      <c r="BY63" s="724" t="s">
        <v>281</v>
      </c>
      <c r="BZ63" s="724"/>
      <c r="CA63" s="724"/>
      <c r="CB63" s="724"/>
      <c r="CC63" s="724"/>
      <c r="CD63" s="724"/>
      <c r="CE63" s="724"/>
      <c r="CF63" s="629"/>
      <c r="CG63" s="629"/>
      <c r="CH63" s="629"/>
      <c r="CI63" s="629"/>
      <c r="CJ63" s="629"/>
      <c r="CK63" s="629"/>
      <c r="CN63" s="634"/>
    </row>
    <row r="64" spans="2:92" ht="16.5" thickBot="1">
      <c r="B64" s="405" t="s">
        <v>263</v>
      </c>
      <c r="C64" s="404" t="s">
        <v>262</v>
      </c>
      <c r="D64" s="538"/>
      <c r="E64" s="538"/>
      <c r="F64" s="538"/>
      <c r="G64" s="538"/>
      <c r="H64" s="538"/>
      <c r="I64" s="538"/>
      <c r="J64" s="538"/>
      <c r="K64" s="538"/>
      <c r="Q64" s="8"/>
      <c r="R64" s="8"/>
      <c r="S64" s="22"/>
      <c r="T64" s="12"/>
      <c r="W64" s="22"/>
      <c r="X64" s="12"/>
      <c r="Y64" s="12"/>
      <c r="Z64" s="12"/>
      <c r="BY64" s="597" t="str">
        <f>BY8</f>
        <v>No PT</v>
      </c>
      <c r="BZ64" s="597">
        <f aca="true" t="shared" si="126" ref="BZ64:CE64">BZ8</f>
        <v>9.34</v>
      </c>
      <c r="CA64" s="597">
        <f t="shared" si="126"/>
        <v>7.34</v>
      </c>
      <c r="CB64" s="597">
        <f t="shared" si="126"/>
        <v>6.5</v>
      </c>
      <c r="CC64" s="597">
        <f t="shared" si="126"/>
        <v>5.34</v>
      </c>
      <c r="CD64" s="597">
        <f t="shared" si="126"/>
        <v>4.22</v>
      </c>
      <c r="CE64" s="597">
        <f t="shared" si="126"/>
        <v>3.5</v>
      </c>
      <c r="CF64" s="637"/>
      <c r="CG64" s="637"/>
      <c r="CH64" s="637"/>
      <c r="CI64" s="637"/>
      <c r="CJ64" s="637"/>
      <c r="CK64" s="637"/>
      <c r="CN64" s="634"/>
    </row>
    <row r="65" spans="2:92" ht="15.75">
      <c r="B65" s="413">
        <v>5.39714653015137</v>
      </c>
      <c r="C65" s="413">
        <v>5.265508809903777</v>
      </c>
      <c r="D65" s="538"/>
      <c r="E65" s="538"/>
      <c r="F65" s="538"/>
      <c r="G65" s="538"/>
      <c r="H65" s="538"/>
      <c r="I65" s="538"/>
      <c r="J65" s="538"/>
      <c r="K65" s="538"/>
      <c r="Q65" s="8"/>
      <c r="R65" s="8"/>
      <c r="S65" s="22"/>
      <c r="T65" s="12"/>
      <c r="W65" s="22"/>
      <c r="X65" s="12"/>
      <c r="Y65" s="12"/>
      <c r="Z65" s="12"/>
      <c r="BY65" s="691" t="s">
        <v>275</v>
      </c>
      <c r="BZ65" s="691"/>
      <c r="CA65" s="691"/>
      <c r="CB65" s="691"/>
      <c r="CC65" s="691"/>
      <c r="CD65" s="691"/>
      <c r="CE65" s="691"/>
      <c r="CF65" s="46"/>
      <c r="CG65" s="46"/>
      <c r="CH65" s="46"/>
      <c r="CI65" s="46"/>
      <c r="CJ65" s="46"/>
      <c r="CK65" s="46"/>
      <c r="CN65" s="634"/>
    </row>
    <row r="66" spans="2:92" ht="15.75">
      <c r="B66" s="413">
        <v>5.809999294281011</v>
      </c>
      <c r="C66" s="413">
        <v>5.668291994420499</v>
      </c>
      <c r="BX66" s="368" t="s">
        <v>280</v>
      </c>
      <c r="BY66" s="592">
        <f>P54</f>
        <v>203.35999285959167</v>
      </c>
      <c r="BZ66" s="592">
        <f aca="true" t="shared" si="127" ref="BZ66:CE66">Q54</f>
        <v>197.46174415059477</v>
      </c>
      <c r="CA66" s="592">
        <f t="shared" si="127"/>
        <v>173.7166227783854</v>
      </c>
      <c r="CB66" s="592">
        <f t="shared" si="127"/>
        <v>147.59021860915897</v>
      </c>
      <c r="CC66" s="592">
        <f t="shared" si="127"/>
        <v>95.02166562888127</v>
      </c>
      <c r="CD66" s="592">
        <f t="shared" si="127"/>
        <v>49.035774882351404</v>
      </c>
      <c r="CE66" s="592">
        <f t="shared" si="127"/>
        <v>29.936776016865352</v>
      </c>
      <c r="CF66" s="592">
        <f aca="true" t="shared" si="128" ref="CF66:CK67">Q54</f>
        <v>197.46174415059477</v>
      </c>
      <c r="CG66" s="592">
        <f t="shared" si="128"/>
        <v>173.7166227783854</v>
      </c>
      <c r="CH66" s="592">
        <f t="shared" si="128"/>
        <v>147.59021860915897</v>
      </c>
      <c r="CI66" s="592">
        <f t="shared" si="128"/>
        <v>95.02166562888127</v>
      </c>
      <c r="CJ66" s="592">
        <f t="shared" si="128"/>
        <v>49.035774882351404</v>
      </c>
      <c r="CK66" s="592">
        <f t="shared" si="128"/>
        <v>29.936776016865352</v>
      </c>
      <c r="CN66" s="634"/>
    </row>
    <row r="67" spans="2:92" ht="15.75">
      <c r="B67" s="413">
        <v>7.93536979675292</v>
      </c>
      <c r="C67" s="413">
        <v>7.741824191954069</v>
      </c>
      <c r="BX67" s="368" t="s">
        <v>268</v>
      </c>
      <c r="BY67" s="592">
        <f>P55</f>
        <v>98.72488662402932</v>
      </c>
      <c r="BZ67" s="592">
        <f aca="true" t="shared" si="129" ref="BZ67:CE67">Q55</f>
        <v>95.36410885088593</v>
      </c>
      <c r="CA67" s="592">
        <f t="shared" si="129"/>
        <v>84.15653856795613</v>
      </c>
      <c r="CB67" s="592">
        <f t="shared" si="129"/>
        <v>71.83398211567028</v>
      </c>
      <c r="CC67" s="592">
        <f t="shared" si="129"/>
        <v>47.055969416400224</v>
      </c>
      <c r="CD67" s="592">
        <f t="shared" si="129"/>
        <v>25.386000827723162</v>
      </c>
      <c r="CE67" s="592">
        <f t="shared" si="129"/>
        <v>16.387537999542655</v>
      </c>
      <c r="CF67" s="592">
        <f t="shared" si="128"/>
        <v>95.36410885088593</v>
      </c>
      <c r="CG67" s="592">
        <f t="shared" si="128"/>
        <v>84.15653856795613</v>
      </c>
      <c r="CH67" s="592">
        <f t="shared" si="128"/>
        <v>71.83398211567028</v>
      </c>
      <c r="CI67" s="592">
        <f t="shared" si="128"/>
        <v>47.055969416400224</v>
      </c>
      <c r="CJ67" s="592">
        <f t="shared" si="128"/>
        <v>25.386000827723162</v>
      </c>
      <c r="CK67" s="592">
        <f t="shared" si="128"/>
        <v>16.387537999542655</v>
      </c>
      <c r="CN67" s="634"/>
    </row>
    <row r="68" spans="2:92" ht="15.75">
      <c r="B68" s="413">
        <v>7.16958362579346</v>
      </c>
      <c r="C68" s="413">
        <v>6.994715732481425</v>
      </c>
      <c r="BY68" s="748" t="s">
        <v>277</v>
      </c>
      <c r="BZ68" s="748"/>
      <c r="CA68" s="748"/>
      <c r="CB68" s="748"/>
      <c r="CC68" s="748"/>
      <c r="CD68" s="748"/>
      <c r="CE68" s="748"/>
      <c r="CF68" s="592"/>
      <c r="CG68" s="592"/>
      <c r="CH68" s="592"/>
      <c r="CI68" s="592"/>
      <c r="CJ68" s="592"/>
      <c r="CK68" s="592"/>
      <c r="CN68" s="634"/>
    </row>
    <row r="69" spans="2:92" ht="15.75">
      <c r="B69" s="413">
        <v>6.45482761383057</v>
      </c>
      <c r="C69" s="413">
        <v>6.297392793981045</v>
      </c>
      <c r="BY69" s="592">
        <f>'Incentive effect'!G71</f>
        <v>1431.3446035233455</v>
      </c>
      <c r="BZ69" s="592"/>
      <c r="CA69" s="592"/>
      <c r="CB69" s="592"/>
      <c r="CC69" s="592"/>
      <c r="CD69" s="592"/>
      <c r="CE69" s="592"/>
      <c r="CF69" s="592"/>
      <c r="CG69" s="592"/>
      <c r="CH69" s="592"/>
      <c r="CI69" s="592"/>
      <c r="CJ69" s="592"/>
      <c r="CK69" s="592"/>
      <c r="CN69" s="635"/>
    </row>
    <row r="70" spans="2:92" ht="15.75">
      <c r="B70" s="413">
        <v>6.09526426315308</v>
      </c>
      <c r="C70" s="413">
        <v>5.946599281124957</v>
      </c>
      <c r="BY70" s="593">
        <f>BY66/$BY$69</f>
        <v>0.1420761935029539</v>
      </c>
      <c r="BZ70" s="593">
        <f aca="true" t="shared" si="130" ref="BZ70:CE70">BZ66/$BY$69</f>
        <v>0.1379554187471907</v>
      </c>
      <c r="CA70" s="593">
        <f t="shared" si="130"/>
        <v>0.12136603746628934</v>
      </c>
      <c r="CB70" s="593">
        <f t="shared" si="130"/>
        <v>0.10311298777796506</v>
      </c>
      <c r="CC70" s="593">
        <f t="shared" si="130"/>
        <v>0.0663862953721832</v>
      </c>
      <c r="CD70" s="593">
        <f t="shared" si="130"/>
        <v>0.034258538972129236</v>
      </c>
      <c r="CE70" s="593">
        <f t="shared" si="130"/>
        <v>0.020915142267748855</v>
      </c>
      <c r="CF70" s="593"/>
      <c r="CG70" s="593"/>
      <c r="CH70" s="593"/>
      <c r="CI70" s="593"/>
      <c r="CJ70" s="593"/>
      <c r="CK70" s="593"/>
      <c r="CN70" s="635"/>
    </row>
    <row r="71" spans="2:92" ht="15.75">
      <c r="B71" s="413">
        <v>5.66388208389282</v>
      </c>
      <c r="C71" s="413">
        <v>5.52573861843202</v>
      </c>
      <c r="BY71" s="748" t="s">
        <v>278</v>
      </c>
      <c r="BZ71" s="748"/>
      <c r="CA71" s="748"/>
      <c r="CB71" s="748"/>
      <c r="CC71" s="748"/>
      <c r="CD71" s="748"/>
      <c r="CE71" s="748"/>
      <c r="CF71" s="592"/>
      <c r="CG71" s="592"/>
      <c r="CH71" s="592"/>
      <c r="CI71" s="592"/>
      <c r="CJ71" s="592"/>
      <c r="CK71" s="592"/>
      <c r="CN71" s="635"/>
    </row>
    <row r="72" spans="2:92" ht="15.75">
      <c r="B72" s="413">
        <v>5.34626657485962</v>
      </c>
      <c r="C72" s="413">
        <v>5.2158698291313375</v>
      </c>
      <c r="BX72" s="368" t="s">
        <v>280</v>
      </c>
      <c r="BY72" s="594">
        <f>BY54</f>
        <v>-942.8583868906115</v>
      </c>
      <c r="BZ72" s="594">
        <f aca="true" t="shared" si="131" ref="BZ72:CE72">BZ54</f>
        <v>-931.1486205067495</v>
      </c>
      <c r="CA72" s="594">
        <f t="shared" si="131"/>
        <v>-805.6117332564357</v>
      </c>
      <c r="CB72" s="594">
        <f t="shared" si="131"/>
        <v>-660.6654606395205</v>
      </c>
      <c r="CC72" s="594">
        <f t="shared" si="131"/>
        <v>-386.4209174941038</v>
      </c>
      <c r="CD72" s="594">
        <f t="shared" si="131"/>
        <v>-151.0658228717074</v>
      </c>
      <c r="CE72" s="594">
        <f t="shared" si="131"/>
        <v>-57.69213851614147</v>
      </c>
      <c r="CF72" s="594">
        <f aca="true" t="shared" si="132" ref="CF72:CK73">CF54</f>
        <v>-988.7458021293211</v>
      </c>
      <c r="CG72" s="594">
        <f t="shared" si="132"/>
        <v>-855.4436980961552</v>
      </c>
      <c r="CH72" s="594">
        <f t="shared" si="132"/>
        <v>-701.5316206597176</v>
      </c>
      <c r="CI72" s="594">
        <f t="shared" si="132"/>
        <v>-410.323391575584</v>
      </c>
      <c r="CJ72" s="594">
        <f t="shared" si="132"/>
        <v>-160.4101589371679</v>
      </c>
      <c r="CK72" s="594">
        <f t="shared" si="132"/>
        <v>-61.26074669224593</v>
      </c>
      <c r="CM72" s="634">
        <f>CF72</f>
        <v>-988.7458021293211</v>
      </c>
      <c r="CN72" s="635"/>
    </row>
    <row r="73" spans="2:92" ht="15.75">
      <c r="B73" s="413">
        <v>5.101605243682861</v>
      </c>
      <c r="C73" s="413">
        <v>4.977175847495475</v>
      </c>
      <c r="BX73" s="368" t="s">
        <v>268</v>
      </c>
      <c r="BY73" s="594">
        <f>BY55</f>
        <v>-503.36921673465514</v>
      </c>
      <c r="BZ73" s="594">
        <f aca="true" t="shared" si="133" ref="BZ73:CE73">BZ55</f>
        <v>-496.5750914666475</v>
      </c>
      <c r="CA73" s="594">
        <f t="shared" si="133"/>
        <v>-427.8201498434577</v>
      </c>
      <c r="CB73" s="594">
        <f t="shared" si="133"/>
        <v>-349.36639762165026</v>
      </c>
      <c r="CC73" s="594">
        <f t="shared" si="133"/>
        <v>-203.37685373922008</v>
      </c>
      <c r="CD73" s="594">
        <f t="shared" si="133"/>
        <v>-77.77645033198557</v>
      </c>
      <c r="CE73" s="594">
        <f t="shared" si="133"/>
        <v>-29.004874304401056</v>
      </c>
      <c r="CF73" s="594">
        <f t="shared" si="132"/>
        <v>-527.2912683502951</v>
      </c>
      <c r="CG73" s="594">
        <f t="shared" si="132"/>
        <v>-454.2834171776447</v>
      </c>
      <c r="CH73" s="594">
        <f t="shared" si="132"/>
        <v>-370.97682523060365</v>
      </c>
      <c r="CI73" s="594">
        <f t="shared" si="132"/>
        <v>-215.95694388237047</v>
      </c>
      <c r="CJ73" s="594">
        <f t="shared" si="132"/>
        <v>-82.58739483329663</v>
      </c>
      <c r="CK73" s="594">
        <f t="shared" si="132"/>
        <v>-30.799001446361796</v>
      </c>
      <c r="CM73" s="634">
        <f>CG72</f>
        <v>-855.4436980961552</v>
      </c>
      <c r="CN73" s="635"/>
    </row>
    <row r="74" spans="2:92" ht="15.75">
      <c r="B74" s="413">
        <v>5.04159004211426</v>
      </c>
      <c r="C74" s="413">
        <v>4.9186244313309855</v>
      </c>
      <c r="BY74" s="748" t="s">
        <v>279</v>
      </c>
      <c r="BZ74" s="748"/>
      <c r="CA74" s="748"/>
      <c r="CB74" s="748"/>
      <c r="CC74" s="748"/>
      <c r="CD74" s="748"/>
      <c r="CE74" s="748"/>
      <c r="CF74" s="592"/>
      <c r="CG74" s="592"/>
      <c r="CH74" s="592"/>
      <c r="CI74" s="592"/>
      <c r="CJ74" s="592"/>
      <c r="CK74" s="592"/>
      <c r="CM74" s="634">
        <f>CH72</f>
        <v>-701.5316206597176</v>
      </c>
      <c r="CN74" s="635"/>
    </row>
    <row r="75" spans="2:92" ht="15.75">
      <c r="B75" s="413">
        <v>5.11849672317505</v>
      </c>
      <c r="C75" s="413">
        <v>4.993655339682976</v>
      </c>
      <c r="BY75" s="594">
        <f>BY69*'Incentive effect'!P69*(1/6)</f>
        <v>1260.2620388624603</v>
      </c>
      <c r="BZ75" s="592"/>
      <c r="CA75" s="592"/>
      <c r="CB75" s="592"/>
      <c r="CC75" s="592"/>
      <c r="CD75" s="592"/>
      <c r="CE75" s="592"/>
      <c r="CF75" s="592"/>
      <c r="CG75" s="592"/>
      <c r="CH75" s="592"/>
      <c r="CI75" s="592"/>
      <c r="CJ75" s="592"/>
      <c r="CK75" s="592"/>
      <c r="CM75" s="634">
        <f>CI72</f>
        <v>-410.323391575584</v>
      </c>
      <c r="CN75" s="635"/>
    </row>
    <row r="76" spans="2:92" ht="15.75">
      <c r="B76" s="413">
        <v>5.0262349319458</v>
      </c>
      <c r="C76" s="413">
        <v>4.903643836044684</v>
      </c>
      <c r="BY76" s="593">
        <f>BY72/$BY$75</f>
        <v>-0.7481447173808836</v>
      </c>
      <c r="BZ76" s="593">
        <f aca="true" t="shared" si="134" ref="BZ76:CE76">BZ72/$BY$75</f>
        <v>-0.7388531843323825</v>
      </c>
      <c r="CA76" s="593">
        <f t="shared" si="134"/>
        <v>-0.6392414501222288</v>
      </c>
      <c r="CB76" s="593">
        <f t="shared" si="134"/>
        <v>-0.5242286447315762</v>
      </c>
      <c r="CC76" s="593">
        <f t="shared" si="134"/>
        <v>-0.30661950100702523</v>
      </c>
      <c r="CD76" s="593">
        <f t="shared" si="134"/>
        <v>-0.1198685814642665</v>
      </c>
      <c r="CE76" s="593">
        <f t="shared" si="134"/>
        <v>-0.04577789121396979</v>
      </c>
      <c r="CF76" s="593"/>
      <c r="CG76" s="593"/>
      <c r="CH76" s="593"/>
      <c r="CI76" s="593"/>
      <c r="CJ76" s="593"/>
      <c r="CK76" s="593"/>
      <c r="CM76" s="634">
        <f>CJ72</f>
        <v>-160.4101589371679</v>
      </c>
      <c r="CN76" s="635"/>
    </row>
    <row r="77" spans="2:92" ht="15.75">
      <c r="B77" s="413">
        <v>4.840802021026611</v>
      </c>
      <c r="C77" s="413">
        <v>4.722733679050353</v>
      </c>
      <c r="BY77" s="592"/>
      <c r="BZ77" s="592"/>
      <c r="CA77" s="592"/>
      <c r="CB77" s="592"/>
      <c r="CC77" s="592"/>
      <c r="CD77" s="592"/>
      <c r="CE77" s="592"/>
      <c r="CF77" s="592"/>
      <c r="CG77" s="592"/>
      <c r="CH77" s="592"/>
      <c r="CI77" s="592"/>
      <c r="CJ77" s="592"/>
      <c r="CK77" s="592"/>
      <c r="CM77" s="634">
        <f>CK72</f>
        <v>-61.26074669224593</v>
      </c>
      <c r="CN77" s="635"/>
    </row>
    <row r="78" spans="2:92" ht="15.75">
      <c r="B78" s="413">
        <v>4.7822163772583</v>
      </c>
      <c r="C78" s="413">
        <v>4.6655769534227325</v>
      </c>
      <c r="BY78" t="s">
        <v>276</v>
      </c>
      <c r="CM78" s="639"/>
      <c r="CN78" s="635"/>
    </row>
    <row r="79" spans="2:92" ht="15.75">
      <c r="B79" s="413">
        <v>4.84901649475098</v>
      </c>
      <c r="C79" s="413">
        <v>4.730747799757054</v>
      </c>
      <c r="BX79" s="368" t="s">
        <v>280</v>
      </c>
      <c r="BY79" s="121">
        <f>BY72/BY66</f>
        <v>-4.636400570399315</v>
      </c>
      <c r="BZ79" s="121">
        <f aca="true" t="shared" si="135" ref="BZ79:CK79">BZ72/BZ66</f>
        <v>-4.715589971678799</v>
      </c>
      <c r="CA79" s="121">
        <f t="shared" si="135"/>
        <v>-4.637505152769258</v>
      </c>
      <c r="CB79" s="121">
        <f t="shared" si="135"/>
        <v>-4.476349902218532</v>
      </c>
      <c r="CC79" s="121">
        <f t="shared" si="135"/>
        <v>-4.066661165500065</v>
      </c>
      <c r="CD79" s="121">
        <f t="shared" si="135"/>
        <v>-3.0807267394907205</v>
      </c>
      <c r="CE79" s="121">
        <f t="shared" si="135"/>
        <v>-1.9271326506113984</v>
      </c>
      <c r="CF79" s="121">
        <f t="shared" si="135"/>
        <v>-5.007277771107153</v>
      </c>
      <c r="CG79" s="121">
        <f t="shared" si="135"/>
        <v>-4.924362933232163</v>
      </c>
      <c r="CH79" s="121">
        <f t="shared" si="135"/>
        <v>-4.753239254408035</v>
      </c>
      <c r="CI79" s="121">
        <f t="shared" si="135"/>
        <v>-4.318208788068946</v>
      </c>
      <c r="CJ79" s="121">
        <f t="shared" si="135"/>
        <v>-3.2712883465598406</v>
      </c>
      <c r="CK79" s="121">
        <f t="shared" si="135"/>
        <v>-2.0463374766118347</v>
      </c>
      <c r="CM79" s="636">
        <f>CF79</f>
        <v>-5.007277771107153</v>
      </c>
      <c r="CN79" s="636"/>
    </row>
    <row r="80" spans="2:92" ht="15.75">
      <c r="B80" s="413">
        <v>5.026547260284421</v>
      </c>
      <c r="C80" s="413">
        <v>4.903948546618947</v>
      </c>
      <c r="BX80" s="368" t="s">
        <v>268</v>
      </c>
      <c r="BY80" s="121">
        <f>BY73/BY67</f>
        <v>-5.098706455360332</v>
      </c>
      <c r="BZ80" s="121">
        <f aca="true" t="shared" si="136" ref="BZ80:CK80">BZ73/BZ67</f>
        <v>-5.207148658444517</v>
      </c>
      <c r="CA80" s="121">
        <f t="shared" si="136"/>
        <v>-5.083623413265677</v>
      </c>
      <c r="CB80" s="121">
        <f t="shared" si="136"/>
        <v>-4.863525414184681</v>
      </c>
      <c r="CC80" s="121">
        <f t="shared" si="136"/>
        <v>-4.322020272062188</v>
      </c>
      <c r="CD80" s="121">
        <f t="shared" si="136"/>
        <v>-3.0637535569229413</v>
      </c>
      <c r="CE80" s="121">
        <f t="shared" si="136"/>
        <v>-1.769934831285244</v>
      </c>
      <c r="CF80" s="121">
        <f t="shared" si="136"/>
        <v>-5.529242339744221</v>
      </c>
      <c r="CG80" s="121">
        <f t="shared" si="136"/>
        <v>-5.398076310028036</v>
      </c>
      <c r="CH80" s="121">
        <f t="shared" si="136"/>
        <v>-5.164363916693915</v>
      </c>
      <c r="CI80" s="121">
        <f t="shared" si="136"/>
        <v>-4.589363401938626</v>
      </c>
      <c r="CJ80" s="121">
        <f t="shared" si="136"/>
        <v>-3.2532652698532107</v>
      </c>
      <c r="CK80" s="121">
        <f t="shared" si="136"/>
        <v>-1.8794160201014538</v>
      </c>
      <c r="CM80" s="636">
        <f>CG79</f>
        <v>-4.924362933232163</v>
      </c>
      <c r="CN80" s="636"/>
    </row>
    <row r="81" spans="2:92" ht="15.75">
      <c r="B81" s="413">
        <v>5.16989643096924</v>
      </c>
      <c r="C81" s="413">
        <v>5.043801396067552</v>
      </c>
      <c r="CD81" s="747">
        <v>39112</v>
      </c>
      <c r="CE81" s="691"/>
      <c r="CF81" s="46"/>
      <c r="CG81" s="46"/>
      <c r="CH81" s="46"/>
      <c r="CI81" s="46"/>
      <c r="CJ81" s="46"/>
      <c r="CK81" s="46"/>
      <c r="CM81" s="636">
        <f>CH79</f>
        <v>-4.753239254408035</v>
      </c>
      <c r="CN81" s="636"/>
    </row>
    <row r="82" spans="2:92" ht="15.75">
      <c r="B82" s="422">
        <v>5.218754119873051</v>
      </c>
      <c r="C82" s="422">
        <v>5.091467434022489</v>
      </c>
      <c r="CM82" s="636">
        <f>CI79</f>
        <v>-4.318208788068946</v>
      </c>
      <c r="CN82" s="636"/>
    </row>
    <row r="83" spans="2:92" ht="15.75">
      <c r="B83" s="413">
        <v>5.353616065979001</v>
      </c>
      <c r="C83" s="423">
        <v>5.223040064369757</v>
      </c>
      <c r="CM83" s="636">
        <f>CJ79</f>
        <v>-3.2712883465598406</v>
      </c>
      <c r="CN83" s="636"/>
    </row>
    <row r="84" spans="2:92" ht="15.75">
      <c r="B84" s="413">
        <v>5.43650991439819</v>
      </c>
      <c r="C84" s="423">
        <v>5.303912111607991</v>
      </c>
      <c r="CM84" s="636">
        <f>CK79</f>
        <v>-2.0463374766118347</v>
      </c>
      <c r="CN84" s="636"/>
    </row>
    <row r="85" spans="2:3" ht="12.75">
      <c r="B85" s="413">
        <v>5.508484668731691</v>
      </c>
      <c r="C85" s="423">
        <v>5.3741313841284795</v>
      </c>
    </row>
    <row r="86" spans="2:3" ht="12.75">
      <c r="B86" s="413">
        <v>5.6243699264526406</v>
      </c>
      <c r="C86" s="423">
        <v>5.487190172148918</v>
      </c>
    </row>
    <row r="87" spans="2:89" ht="12.75">
      <c r="B87" s="413">
        <v>5.75312168121338</v>
      </c>
      <c r="C87" s="423">
        <v>5.612801640208176</v>
      </c>
      <c r="BY87" s="539"/>
      <c r="BZ87" s="540"/>
      <c r="CA87" s="540"/>
      <c r="CB87" s="540"/>
      <c r="CC87" s="540"/>
      <c r="CD87" s="540"/>
      <c r="CE87" s="540"/>
      <c r="CF87" s="540"/>
      <c r="CG87" s="540"/>
      <c r="CH87" s="540"/>
      <c r="CI87" s="540"/>
      <c r="CJ87" s="540"/>
      <c r="CK87" s="540"/>
    </row>
    <row r="88" spans="2:3" ht="12.75">
      <c r="B88" s="413">
        <v>5.833718605041501</v>
      </c>
      <c r="C88" s="423">
        <v>5.6914327854063425</v>
      </c>
    </row>
    <row r="89" spans="2:3" ht="12.75">
      <c r="B89" s="413">
        <v>5.93260366439819</v>
      </c>
      <c r="C89" s="423">
        <v>5.7879060140470155</v>
      </c>
    </row>
    <row r="90" spans="2:3" ht="12.75">
      <c r="B90" s="413">
        <v>5.99089939117432</v>
      </c>
      <c r="C90" s="423">
        <v>5.844779893828606</v>
      </c>
    </row>
    <row r="91" spans="2:3" ht="12.75">
      <c r="B91" s="413">
        <v>6.071451492309571</v>
      </c>
      <c r="C91" s="423">
        <v>5.923367309570313</v>
      </c>
    </row>
    <row r="92" spans="2:3" ht="12.75">
      <c r="B92" s="413">
        <v>6.239461727142331</v>
      </c>
      <c r="C92" s="414">
        <v>6.087279733797397</v>
      </c>
    </row>
    <row r="93" spans="2:3" ht="12.75">
      <c r="B93" s="413">
        <v>6.323070514286038</v>
      </c>
      <c r="C93" s="414">
        <v>6.168849282230282</v>
      </c>
    </row>
    <row r="94" spans="2:3" ht="12.75">
      <c r="B94" s="413">
        <v>6.4077996591774715</v>
      </c>
      <c r="C94" s="423">
        <v>6.251511862612168</v>
      </c>
    </row>
    <row r="95" spans="2:3" ht="12.75">
      <c r="B95" s="413">
        <v>6.49366417461045</v>
      </c>
      <c r="C95" s="423">
        <v>6.335282121571172</v>
      </c>
    </row>
    <row r="96" spans="2:3" ht="12.75">
      <c r="B96" s="413">
        <v>6.580679274550231</v>
      </c>
      <c r="C96" s="423">
        <v>6.420174902000226</v>
      </c>
    </row>
    <row r="97" spans="2:3" ht="12.75">
      <c r="B97" s="413">
        <v>6.668860376829205</v>
      </c>
      <c r="C97" s="423">
        <v>6.506205245687029</v>
      </c>
    </row>
    <row r="98" spans="2:3" ht="12.75">
      <c r="B98" s="413">
        <v>6.7582231058787166</v>
      </c>
      <c r="C98" s="423">
        <v>6.593388395979236</v>
      </c>
    </row>
    <row r="99" spans="2:3" ht="12.75">
      <c r="B99" s="413">
        <v>6.848783295497492</v>
      </c>
      <c r="C99" s="423">
        <v>6.681739800485359</v>
      </c>
    </row>
    <row r="100" spans="2:3" ht="12.75">
      <c r="B100" s="413">
        <v>6.940556991657159</v>
      </c>
      <c r="C100" s="423">
        <v>6.771275113811863</v>
      </c>
    </row>
    <row r="101" spans="2:3" ht="12.75">
      <c r="B101" s="413">
        <v>7.0335604553453654</v>
      </c>
      <c r="C101" s="423">
        <v>6.862010200336942</v>
      </c>
    </row>
    <row r="102" spans="2:3" ht="12.75">
      <c r="B102" s="413">
        <v>7.127810165446994</v>
      </c>
      <c r="C102" s="423">
        <v>6.953961137021459</v>
      </c>
    </row>
    <row r="103" spans="2:3" ht="12.75">
      <c r="B103" s="413">
        <v>7.223322821663984</v>
      </c>
      <c r="C103" s="423">
        <v>7.047144216257546</v>
      </c>
    </row>
    <row r="104" spans="2:3" ht="12.75">
      <c r="B104" s="413">
        <v>7.320115347474283</v>
      </c>
      <c r="C104" s="423">
        <v>7.141575948755398</v>
      </c>
    </row>
    <row r="105" spans="2:3" ht="12.75">
      <c r="B105" s="413">
        <v>7.418204893130438</v>
      </c>
      <c r="C105" s="423">
        <v>7.237273066468721</v>
      </c>
    </row>
    <row r="106" spans="2:3" ht="12.75">
      <c r="B106" s="413">
        <v>7.517608838698386</v>
      </c>
      <c r="C106" s="423">
        <v>7.3342525255594015</v>
      </c>
    </row>
    <row r="107" spans="2:3" ht="13.5" thickBot="1">
      <c r="B107" s="472">
        <v>7.618344797136945</v>
      </c>
      <c r="C107" s="471">
        <v>7.432531509401898</v>
      </c>
    </row>
    <row r="108" spans="2:3" ht="13.5" thickTop="1">
      <c r="B108" s="413">
        <f>AVERAGE(B68:B77)</f>
        <v>5.585855312347413</v>
      </c>
      <c r="C108" s="413">
        <f>AVERAGE(C68:C77)</f>
        <v>5.449614938875525</v>
      </c>
    </row>
    <row r="109" spans="2:3" ht="12.75">
      <c r="B109" s="423"/>
      <c r="C109" s="423"/>
    </row>
    <row r="110" spans="2:3" ht="12.75">
      <c r="B110" s="423">
        <f>AVERAGE(B69:B84)</f>
        <v>5.282845385074616</v>
      </c>
      <c r="C110" s="423">
        <f>AVERAGE(C69:C84)</f>
        <v>5.153995497633772</v>
      </c>
    </row>
    <row r="111" spans="2:3" ht="12.75">
      <c r="B111" s="423"/>
      <c r="C111" s="423"/>
    </row>
    <row r="112" spans="2:3" ht="12.75">
      <c r="B112" s="423">
        <f>AVERAGE(B68:B87)</f>
        <v>5.429054303169252</v>
      </c>
      <c r="C112" s="423">
        <f>AVERAGE(C68:C87)</f>
        <v>5.296638344555367</v>
      </c>
    </row>
    <row r="113" spans="2:3" ht="12.75">
      <c r="B113" s="423">
        <f>AVERAGE(B69:B87)</f>
        <v>5.337447496715346</v>
      </c>
      <c r="C113" s="514"/>
    </row>
    <row r="116" spans="2:3" ht="12.75">
      <c r="B116" s="423">
        <f>AVERAGE(B78:B87)</f>
        <v>5.272253293991088</v>
      </c>
      <c r="C116" s="423">
        <f>AVERAGE(C78:C87)</f>
        <v>5.14366175023521</v>
      </c>
    </row>
    <row r="117" spans="2:3" ht="12.75">
      <c r="B117" s="8"/>
      <c r="C117" s="536"/>
    </row>
  </sheetData>
  <mergeCells count="46">
    <mergeCell ref="CS9:CS11"/>
    <mergeCell ref="CT9:CT10"/>
    <mergeCell ref="CU10:CU11"/>
    <mergeCell ref="CQ9:CQ11"/>
    <mergeCell ref="CN31:CN32"/>
    <mergeCell ref="CO9:CO11"/>
    <mergeCell ref="CP9:CP11"/>
    <mergeCell ref="CR8:CR11"/>
    <mergeCell ref="E5:F6"/>
    <mergeCell ref="B2:D2"/>
    <mergeCell ref="B7:C7"/>
    <mergeCell ref="D7:I7"/>
    <mergeCell ref="E2:G2"/>
    <mergeCell ref="E3:F4"/>
    <mergeCell ref="BS7:BX7"/>
    <mergeCell ref="BY7:CE7"/>
    <mergeCell ref="W7:AC7"/>
    <mergeCell ref="D8:I8"/>
    <mergeCell ref="AR7:AX7"/>
    <mergeCell ref="AY7:BE7"/>
    <mergeCell ref="BF7:BL7"/>
    <mergeCell ref="P7:V7"/>
    <mergeCell ref="CD81:CE81"/>
    <mergeCell ref="BY68:CE68"/>
    <mergeCell ref="BY71:CE71"/>
    <mergeCell ref="BY74:CE74"/>
    <mergeCell ref="BY65:CE65"/>
    <mergeCell ref="BY63:CE63"/>
    <mergeCell ref="BM7:BR7"/>
    <mergeCell ref="A1:O1"/>
    <mergeCell ref="H2:O2"/>
    <mergeCell ref="AD7:AJ7"/>
    <mergeCell ref="AK7:AQ7"/>
    <mergeCell ref="H3:I4"/>
    <mergeCell ref="H5:I6"/>
    <mergeCell ref="J7:O7"/>
    <mergeCell ref="CF7:CK7"/>
    <mergeCell ref="DI11:DK11"/>
    <mergeCell ref="DV11:DX11"/>
    <mergeCell ref="DM11:DO11"/>
    <mergeCell ref="DP11:DR11"/>
    <mergeCell ref="DS11:DU11"/>
    <mergeCell ref="CX11:CZ11"/>
    <mergeCell ref="DA11:DC11"/>
    <mergeCell ref="DD11:DF11"/>
    <mergeCell ref="CM6:CM8"/>
  </mergeCells>
  <printOptions/>
  <pageMargins left="0.45" right="0.21" top="0.96" bottom="0.31" header="0.5" footer="0.3"/>
  <pageSetup horizontalDpi="600" verticalDpi="600" orientation="landscape" r:id="rId1"/>
  <headerFooter alignWithMargins="0">
    <oddHeader>&amp;L&amp;20DGEAII ultra-deep wells.xls&amp;R&amp;20Net forgone royalty &amp;P</oddHeader>
  </headerFooter>
  <rowBreaks count="1" manualBreakCount="1">
    <brk id="61" min="1" max="82" man="1"/>
  </rowBreaks>
  <colBreaks count="3" manualBreakCount="3">
    <brk id="22" min="8" max="58" man="1"/>
    <brk id="43" min="8" max="58" man="1"/>
    <brk id="64" min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frasers</dc:creator>
  <cp:keywords/>
  <dc:description/>
  <cp:lastModifiedBy>MMS</cp:lastModifiedBy>
  <cp:lastPrinted>2007-04-17T14:40:13Z</cp:lastPrinted>
  <dcterms:created xsi:type="dcterms:W3CDTF">2003-07-28T17:34:18Z</dcterms:created>
  <dcterms:modified xsi:type="dcterms:W3CDTF">2007-05-24T16:44:36Z</dcterms:modified>
  <cp:category/>
  <cp:version/>
  <cp:contentType/>
  <cp:contentStatus/>
</cp:coreProperties>
</file>