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6150" activeTab="0"/>
  </bookViews>
  <sheets>
    <sheet name="To 000's" sheetId="1" r:id="rId1"/>
    <sheet name="To $'s" sheetId="2" r:id="rId2"/>
  </sheets>
  <definedNames>
    <definedName name="_xlnm.Print_Titles" localSheetId="1">'To $''s'!$1:$15</definedName>
    <definedName name="_xlnm.Print_Titles" localSheetId="0">'To 000''s'!$1:$12</definedName>
  </definedNames>
  <calcPr fullCalcOnLoad="1"/>
</workbook>
</file>

<file path=xl/sharedStrings.xml><?xml version="1.0" encoding="utf-8"?>
<sst xmlns="http://schemas.openxmlformats.org/spreadsheetml/2006/main" count="213" uniqueCount="86">
  <si>
    <t>U.S. Geological Survey</t>
  </si>
  <si>
    <t>(Dollars in Thousands)</t>
  </si>
  <si>
    <t xml:space="preserve"> </t>
  </si>
  <si>
    <t>Uncntrl &amp;</t>
  </si>
  <si>
    <t>Redirect</t>
  </si>
  <si>
    <t>Program</t>
  </si>
  <si>
    <t>Other Adj</t>
  </si>
  <si>
    <t>Changes</t>
  </si>
  <si>
    <t>Pres Bud</t>
  </si>
  <si>
    <t>Activity/Subactivity/Program Element</t>
  </si>
  <si>
    <t>Enacted</t>
  </si>
  <si>
    <t>(+/-)</t>
  </si>
  <si>
    <t>Request</t>
  </si>
  <si>
    <t>MAPPING, REMOTE SENSING, AND GEOGRAPHIC</t>
  </si>
  <si>
    <t xml:space="preserve">    INVESTIGATIONS</t>
  </si>
  <si>
    <t xml:space="preserve">   Cooperative Topographic Mapping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</si>
  <si>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</si>
  <si>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</si>
  <si>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</si>
  <si>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</si>
  <si>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</si>
  <si>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</si>
  <si>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</si>
  <si>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</si>
  <si>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</si>
  <si>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</si>
  <si>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</si>
  <si>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</si>
  <si>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</si>
  <si>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</si>
  <si>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</si>
  <si>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</si>
  <si>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</si>
  <si>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</si>
  <si>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</si>
  <si>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</si>
  <si>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</si>
  <si>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</si>
  <si>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</si>
  <si>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</si>
  <si>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</si>
  <si>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</si>
  <si>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</si>
  <si>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</si>
  <si>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</si>
  <si>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</si>
  <si>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</si>
  <si>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</si>
  <si>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ENTERPRISE INFORMATION</t>
  </si>
  <si>
    <t xml:space="preserve">   Enterprise Information Security and Technology</t>
  </si>
  <si>
    <t xml:space="preserve">   Enterprise Information Resources</t>
  </si>
  <si>
    <t xml:space="preserve">   Federal Geographic Data Coordination</t>
  </si>
  <si>
    <t>SCIENCE SUPPORT</t>
  </si>
  <si>
    <t xml:space="preserve">   Bureau Operations</t>
  </si>
  <si>
    <t xml:space="preserve">   Payments to the National Business Center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</si>
  <si>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</si>
  <si>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</si>
  <si>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</si>
  <si>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</si>
  <si>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 xml:space="preserve">SIR, TOTAL </t>
  </si>
  <si>
    <t>Spread</t>
  </si>
  <si>
    <t>Conf</t>
  </si>
  <si>
    <t>ATB Rdct</t>
  </si>
  <si>
    <t>Action</t>
  </si>
  <si>
    <t>(Whole Dollars)</t>
  </si>
  <si>
    <t>B.A.</t>
  </si>
  <si>
    <t>One-Year</t>
  </si>
  <si>
    <t>Two-Year</t>
  </si>
  <si>
    <t>No-Year</t>
  </si>
  <si>
    <t>FY 2005</t>
  </si>
  <si>
    <t>FY 2006 Appropriation History</t>
  </si>
  <si>
    <t>FY 06</t>
  </si>
  <si>
    <t>FY 2006</t>
  </si>
  <si>
    <t>FY 2006 Enacted  (P.L.109-54)</t>
  </si>
  <si>
    <t>Add $2M</t>
  </si>
  <si>
    <t>Buy-out</t>
  </si>
  <si>
    <t>Savings</t>
  </si>
  <si>
    <t>Landsat</t>
  </si>
  <si>
    <t>Revised</t>
  </si>
  <si>
    <t>Avian</t>
  </si>
  <si>
    <t>Influenza</t>
  </si>
  <si>
    <t>Supplmntl</t>
  </si>
  <si>
    <t>Katrina</t>
  </si>
  <si>
    <t>President's Budget Through Appropriation With 2 ATB Reductions</t>
  </si>
  <si>
    <t>President's Budget Through Appropriation With 2 ATB Reductions and 2 Supplementals</t>
  </si>
  <si>
    <t>P.L. 109-148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</si>
</sst>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%"/>
    <numFmt numFmtId="166" formatCode="0.00000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3" xfId="0" applyNumberFormat="1" applyFont="1" applyBorder="1" applyAlignment="1" applyProtection="1">
      <alignment horizontal="right"/>
      <protection/>
    </xf>
    <xf numFmtId="0" fontId="0" fillId="0" borderId="4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4" fontId="0" fillId="0" borderId="1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3" fontId="7" fillId="0" borderId="0" xfId="0" applyNumberFormat="1" applyFont="1" applyBorder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01"/>
  <sheetViews>
    <sheetView tabSelected="1" zoomScale="75" zoomScaleNormal="75" workbookViewId="0" topLeftCell="A1">
      <selection activeCell="AC19" sqref="AC19"/>
    </sheetView>
  </sheetViews>
  <sheetFormatPr defaultColWidth="9.140625" defaultRowHeight="12.75"/>
  <cols>
    <col min="1" max="1" width="45.00390625" style="0" customWidth="1"/>
    <col min="2" max="2" width="1.7109375" style="0" customWidth="1"/>
    <col min="3" max="3" width="9.421875" style="0" bestFit="1" customWidth="1"/>
    <col min="4" max="6" width="9.28125" style="0" hidden="1" customWidth="1"/>
    <col min="7" max="7" width="9.421875" style="0" bestFit="1" customWidth="1"/>
    <col min="8" max="8" width="1.7109375" style="0" customWidth="1"/>
    <col min="9" max="9" width="9.421875" style="0" bestFit="1" customWidth="1"/>
    <col min="10" max="11" width="9.421875" style="0" hidden="1" customWidth="1"/>
    <col min="12" max="13" width="9.421875" style="0" customWidth="1"/>
    <col min="14" max="14" width="10.8515625" style="0" bestFit="1" customWidth="1"/>
    <col min="15" max="15" width="9.421875" style="0" bestFit="1" customWidth="1"/>
    <col min="16" max="16" width="1.7109375" style="0" customWidth="1"/>
    <col min="17" max="19" width="9.7109375" style="0" customWidth="1"/>
    <col min="20" max="20" width="1.7109375" style="0" customWidth="1"/>
    <col min="21" max="22" width="9.421875" style="0" bestFit="1" customWidth="1"/>
    <col min="23" max="25" width="9.28125" style="0" bestFit="1" customWidth="1"/>
  </cols>
  <sheetData>
    <row r="1" spans="1:25" s="2" customFormat="1" ht="12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2" customFormat="1" ht="12.75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2" customFormat="1" ht="12.75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2" customFormat="1" ht="12.7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0" s="2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s="2" customFormat="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2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9:20" s="2" customFormat="1" ht="13.5" thickBot="1">
      <c r="I8" s="61" t="s">
        <v>73</v>
      </c>
      <c r="J8" s="61"/>
      <c r="K8" s="61"/>
      <c r="L8" s="61"/>
      <c r="M8" s="61"/>
      <c r="N8" s="61"/>
      <c r="O8" s="61"/>
      <c r="P8" s="49"/>
      <c r="Q8" s="61" t="s">
        <v>85</v>
      </c>
      <c r="R8" s="61"/>
      <c r="S8" s="61"/>
      <c r="T8" s="49"/>
    </row>
    <row r="9" spans="1:25" s="2" customFormat="1" ht="12.75">
      <c r="A9" s="23" t="s">
        <v>2</v>
      </c>
      <c r="B9" s="23"/>
      <c r="C9" s="14"/>
      <c r="D9" s="24" t="s">
        <v>3</v>
      </c>
      <c r="E9" s="24" t="s">
        <v>4</v>
      </c>
      <c r="F9" s="24" t="s">
        <v>5</v>
      </c>
      <c r="G9" s="24" t="s">
        <v>71</v>
      </c>
      <c r="I9" s="21"/>
      <c r="J9" s="21"/>
      <c r="K9" s="21"/>
      <c r="L9" s="21" t="s">
        <v>77</v>
      </c>
      <c r="M9" s="21"/>
      <c r="N9" s="21" t="s">
        <v>60</v>
      </c>
      <c r="O9" s="21"/>
      <c r="P9" s="21"/>
      <c r="Q9" s="21" t="s">
        <v>72</v>
      </c>
      <c r="R9" s="21" t="s">
        <v>79</v>
      </c>
      <c r="S9" s="21"/>
      <c r="T9" s="21"/>
      <c r="U9" s="21" t="s">
        <v>72</v>
      </c>
      <c r="V9" s="33"/>
      <c r="W9" s="33"/>
      <c r="X9" s="33"/>
      <c r="Y9" s="21" t="s">
        <v>72</v>
      </c>
    </row>
    <row r="10" spans="1:25" s="2" customFormat="1" ht="12.75">
      <c r="A10" s="23"/>
      <c r="B10" s="23"/>
      <c r="C10" s="25" t="s">
        <v>69</v>
      </c>
      <c r="D10" s="24" t="s">
        <v>6</v>
      </c>
      <c r="E10" s="24" t="s">
        <v>7</v>
      </c>
      <c r="F10" s="24" t="s">
        <v>7</v>
      </c>
      <c r="G10" s="24" t="s">
        <v>8</v>
      </c>
      <c r="I10" s="21" t="s">
        <v>61</v>
      </c>
      <c r="J10" s="21"/>
      <c r="K10" s="21" t="s">
        <v>75</v>
      </c>
      <c r="L10" s="21" t="s">
        <v>4</v>
      </c>
      <c r="M10" s="21" t="s">
        <v>78</v>
      </c>
      <c r="N10" s="21" t="s">
        <v>62</v>
      </c>
      <c r="O10" s="21"/>
      <c r="P10" s="21"/>
      <c r="Q10" s="21" t="s">
        <v>62</v>
      </c>
      <c r="R10" s="21" t="s">
        <v>80</v>
      </c>
      <c r="S10" s="21" t="s">
        <v>82</v>
      </c>
      <c r="T10" s="21"/>
      <c r="U10" s="21" t="s">
        <v>10</v>
      </c>
      <c r="V10" s="33"/>
      <c r="W10" s="33"/>
      <c r="X10" s="33"/>
      <c r="Y10" s="21" t="s">
        <v>10</v>
      </c>
    </row>
    <row r="11" spans="1:25" s="2" customFormat="1" ht="12.75">
      <c r="A11" s="26" t="s">
        <v>9</v>
      </c>
      <c r="B11" s="27"/>
      <c r="C11" s="28" t="s">
        <v>10</v>
      </c>
      <c r="D11" s="29" t="s">
        <v>11</v>
      </c>
      <c r="E11" s="29" t="s">
        <v>11</v>
      </c>
      <c r="F11" s="29" t="s">
        <v>11</v>
      </c>
      <c r="G11" s="29" t="s">
        <v>12</v>
      </c>
      <c r="I11" s="22" t="s">
        <v>63</v>
      </c>
      <c r="J11" s="22" t="s">
        <v>74</v>
      </c>
      <c r="K11" s="22" t="s">
        <v>76</v>
      </c>
      <c r="L11" s="22" t="s">
        <v>26</v>
      </c>
      <c r="M11" s="22" t="s">
        <v>26</v>
      </c>
      <c r="N11" s="50">
        <v>-0.00476</v>
      </c>
      <c r="O11" s="22" t="s">
        <v>26</v>
      </c>
      <c r="P11" s="22"/>
      <c r="Q11" s="22">
        <v>-0.01</v>
      </c>
      <c r="R11" s="22" t="s">
        <v>81</v>
      </c>
      <c r="S11" s="22" t="s">
        <v>81</v>
      </c>
      <c r="T11" s="22"/>
      <c r="U11" s="22" t="s">
        <v>65</v>
      </c>
      <c r="V11" s="22" t="s">
        <v>66</v>
      </c>
      <c r="W11" s="22" t="s">
        <v>67</v>
      </c>
      <c r="X11" s="22" t="s">
        <v>68</v>
      </c>
      <c r="Y11" s="22" t="s">
        <v>65</v>
      </c>
    </row>
    <row r="12" spans="1:7" s="2" customFormat="1" ht="12.75">
      <c r="A12" s="11"/>
      <c r="B12" s="11"/>
      <c r="C12" s="11"/>
      <c r="D12" s="11"/>
      <c r="E12" s="11"/>
      <c r="F12" s="11"/>
      <c r="G12" s="11"/>
    </row>
    <row r="13" spans="1:7" s="2" customFormat="1" ht="12.75">
      <c r="A13" s="14" t="s">
        <v>13</v>
      </c>
      <c r="B13" s="12"/>
      <c r="C13" s="12"/>
      <c r="D13" s="12"/>
      <c r="E13" s="12"/>
      <c r="F13" s="12"/>
      <c r="G13" s="12"/>
    </row>
    <row r="14" spans="1:7" s="2" customFormat="1" ht="12.75">
      <c r="A14" s="14" t="s">
        <v>14</v>
      </c>
      <c r="B14" s="12"/>
      <c r="C14" s="12"/>
      <c r="D14" s="12"/>
      <c r="E14" s="12"/>
      <c r="F14" s="12"/>
      <c r="G14" s="12"/>
    </row>
    <row r="15" spans="1:30" s="2" customFormat="1" ht="12.75">
      <c r="A15" s="12" t="s">
        <v>15</v>
      </c>
      <c r="B15" s="12"/>
      <c r="C15" s="15">
        <v>71393</v>
      </c>
      <c r="D15" s="12">
        <v>1560</v>
      </c>
      <c r="E15" s="12">
        <v>0</v>
      </c>
      <c r="F15" s="12">
        <v>-1071</v>
      </c>
      <c r="G15" s="12">
        <f>SUM(C15:F15)</f>
        <v>71882</v>
      </c>
      <c r="H15" s="12"/>
      <c r="I15" s="12">
        <v>71882</v>
      </c>
      <c r="J15" s="12"/>
      <c r="K15" s="12">
        <v>-2000</v>
      </c>
      <c r="L15" s="12">
        <f>SUM(J15:K15)</f>
        <v>-2000</v>
      </c>
      <c r="M15" s="12">
        <f>+I15+L15</f>
        <v>69882</v>
      </c>
      <c r="N15" s="12">
        <f>ROUND(M15*$N$11,0)+1</f>
        <v>-332</v>
      </c>
      <c r="O15" s="12">
        <f>+M15+N15</f>
        <v>69550</v>
      </c>
      <c r="P15" s="12"/>
      <c r="Q15" s="12">
        <f>ROUND(O15*$Q$11,0)+1</f>
        <v>-695</v>
      </c>
      <c r="R15" s="12"/>
      <c r="S15" s="12"/>
      <c r="T15" s="12"/>
      <c r="U15" s="12">
        <f>SUM(O15:S15)</f>
        <v>68855</v>
      </c>
      <c r="V15" s="12">
        <f>+U15</f>
        <v>68855</v>
      </c>
      <c r="W15" s="12"/>
      <c r="X15" s="12"/>
      <c r="Y15" s="12">
        <f>SUM(V15:X15)</f>
        <v>68855</v>
      </c>
      <c r="Z15" s="12"/>
      <c r="AA15" s="12"/>
      <c r="AB15" s="12"/>
      <c r="AC15" s="12"/>
      <c r="AD15" s="12"/>
    </row>
    <row r="16" spans="1:30" s="2" customFormat="1" ht="12.75">
      <c r="A16" s="12" t="s">
        <v>16</v>
      </c>
      <c r="B16" s="12"/>
      <c r="C16" s="15">
        <v>32730</v>
      </c>
      <c r="D16" s="12">
        <v>259</v>
      </c>
      <c r="E16" s="12">
        <v>0</v>
      </c>
      <c r="F16" s="12">
        <v>13407</v>
      </c>
      <c r="G16" s="12">
        <f>SUM(C16:F16)</f>
        <v>46396</v>
      </c>
      <c r="H16" s="12"/>
      <c r="I16" s="12">
        <v>44396</v>
      </c>
      <c r="J16" s="12">
        <v>2000</v>
      </c>
      <c r="K16" s="12"/>
      <c r="L16" s="12">
        <f>SUM(J16:K16)</f>
        <v>2000</v>
      </c>
      <c r="M16" s="12">
        <f>+I16+L16</f>
        <v>46396</v>
      </c>
      <c r="N16" s="12">
        <f>ROUND(M16*$N$11,0)</f>
        <v>-221</v>
      </c>
      <c r="O16" s="12">
        <f>+M16+N16</f>
        <v>46175</v>
      </c>
      <c r="P16" s="12"/>
      <c r="Q16" s="12">
        <f>ROUND(O16*$Q$11,0)</f>
        <v>-462</v>
      </c>
      <c r="R16" s="12"/>
      <c r="S16" s="12"/>
      <c r="T16" s="12"/>
      <c r="U16" s="12">
        <f>SUM(O16:S16)</f>
        <v>45713</v>
      </c>
      <c r="V16" s="12">
        <f>+U16-X16</f>
        <v>37831</v>
      </c>
      <c r="W16" s="12"/>
      <c r="X16" s="12">
        <f>8000-38-80</f>
        <v>7882</v>
      </c>
      <c r="Y16" s="12">
        <f>SUM(V16:X16)</f>
        <v>45713</v>
      </c>
      <c r="Z16" s="12"/>
      <c r="AA16" s="12"/>
      <c r="AB16" s="12"/>
      <c r="AC16" s="12"/>
      <c r="AD16" s="12"/>
    </row>
    <row r="17" spans="1:30" s="2" customFormat="1" ht="12.75">
      <c r="A17" s="12" t="s">
        <v>17</v>
      </c>
      <c r="B17" s="12"/>
      <c r="C17" s="15">
        <v>14628</v>
      </c>
      <c r="D17" s="12">
        <v>325</v>
      </c>
      <c r="E17" s="12">
        <v>0</v>
      </c>
      <c r="F17" s="12">
        <v>222</v>
      </c>
      <c r="G17" s="12">
        <f>SUM(C17:F17)</f>
        <v>15175</v>
      </c>
      <c r="H17" s="12"/>
      <c r="I17" s="12">
        <v>14925</v>
      </c>
      <c r="J17" s="12"/>
      <c r="K17" s="12"/>
      <c r="L17" s="12">
        <f>SUM(J17:K17)</f>
        <v>0</v>
      </c>
      <c r="M17" s="12">
        <f>+I17+L17</f>
        <v>14925</v>
      </c>
      <c r="N17" s="12">
        <f>ROUND(M17*$N$11,0)</f>
        <v>-71</v>
      </c>
      <c r="O17" s="12">
        <f>+M17+N17</f>
        <v>14854</v>
      </c>
      <c r="P17" s="12"/>
      <c r="Q17" s="12">
        <f>ROUND(O17*$Q$11,0)</f>
        <v>-149</v>
      </c>
      <c r="R17" s="12"/>
      <c r="S17" s="12"/>
      <c r="T17" s="12"/>
      <c r="U17" s="12">
        <f>SUM(O17:S17)</f>
        <v>14705</v>
      </c>
      <c r="V17" s="12">
        <f>+U17</f>
        <v>14705</v>
      </c>
      <c r="W17" s="12"/>
      <c r="X17" s="12"/>
      <c r="Y17" s="12">
        <f>SUM(V17:X17)</f>
        <v>14705</v>
      </c>
      <c r="Z17" s="12"/>
      <c r="AA17" s="12"/>
      <c r="AB17" s="12"/>
      <c r="AC17" s="12"/>
      <c r="AD17" s="12"/>
    </row>
    <row r="18" spans="1:30" s="2" customFormat="1" ht="12.75">
      <c r="A18" s="12"/>
      <c r="B18" s="12"/>
      <c r="C18" s="1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2" customFormat="1" ht="14.25">
      <c r="A19" s="16" t="s">
        <v>18</v>
      </c>
      <c r="B19" s="12"/>
      <c r="C19" s="11">
        <f>SUM(C15:C17)</f>
        <v>118751</v>
      </c>
      <c r="D19" s="11">
        <f>SUM(D15:D17)</f>
        <v>2144</v>
      </c>
      <c r="E19" s="11">
        <f>SUM(E15:E17)</f>
        <v>0</v>
      </c>
      <c r="F19" s="11">
        <f>SUM(F15:F17)</f>
        <v>12558</v>
      </c>
      <c r="G19" s="11">
        <f>SUM(G15:G17)</f>
        <v>133453</v>
      </c>
      <c r="H19" s="3"/>
      <c r="I19" s="11">
        <f aca="true" t="shared" si="0" ref="I19:O19">SUM(I15:I17)</f>
        <v>131203</v>
      </c>
      <c r="J19" s="11">
        <f t="shared" si="0"/>
        <v>2000</v>
      </c>
      <c r="K19" s="11">
        <f t="shared" si="0"/>
        <v>-2000</v>
      </c>
      <c r="L19" s="11">
        <f t="shared" si="0"/>
        <v>0</v>
      </c>
      <c r="M19" s="11">
        <f t="shared" si="0"/>
        <v>131203</v>
      </c>
      <c r="N19" s="11">
        <f t="shared" si="0"/>
        <v>-624</v>
      </c>
      <c r="O19" s="11">
        <f t="shared" si="0"/>
        <v>130579</v>
      </c>
      <c r="P19" s="11"/>
      <c r="Q19" s="11">
        <f>SUM(Q15:Q17)</f>
        <v>-1306</v>
      </c>
      <c r="R19" s="11">
        <f>SUM(R15:R17)</f>
        <v>0</v>
      </c>
      <c r="S19" s="11">
        <f>SUM(S15:S17)</f>
        <v>0</v>
      </c>
      <c r="T19" s="11"/>
      <c r="U19" s="11">
        <f>SUM(U15:U17)</f>
        <v>129273</v>
      </c>
      <c r="V19" s="11">
        <f>SUM(V15:V17)</f>
        <v>121391</v>
      </c>
      <c r="W19" s="11">
        <f>SUM(W15:W17)</f>
        <v>0</v>
      </c>
      <c r="X19" s="11">
        <f>SUM(X15:X17)</f>
        <v>7882</v>
      </c>
      <c r="Y19" s="11">
        <f>SUM(Y15:Y17)</f>
        <v>129273</v>
      </c>
      <c r="Z19" s="12"/>
      <c r="AA19" s="12"/>
      <c r="AB19" s="12"/>
      <c r="AC19" s="12"/>
      <c r="AD19" s="12"/>
    </row>
    <row r="20" spans="1:30" s="2" customFormat="1" ht="15" thickBot="1">
      <c r="A20" s="17"/>
      <c r="B20" s="17"/>
      <c r="C20" s="18"/>
      <c r="D20" s="18"/>
      <c r="E20" s="18"/>
      <c r="F20" s="18"/>
      <c r="G20" s="18"/>
      <c r="H20" s="8"/>
      <c r="I20" s="18"/>
      <c r="J20" s="18"/>
      <c r="K20" s="18"/>
      <c r="L20" s="18"/>
      <c r="M20" s="18"/>
      <c r="N20" s="18">
        <f>ROUND($N$11*M19,0)+1</f>
        <v>-624</v>
      </c>
      <c r="O20" s="18"/>
      <c r="P20" s="18"/>
      <c r="Q20" s="18">
        <f>ROUND(O19*$Q$11,0)</f>
        <v>-1306</v>
      </c>
      <c r="R20" s="18"/>
      <c r="S20" s="18"/>
      <c r="T20" s="18"/>
      <c r="U20" s="18"/>
      <c r="V20" s="18"/>
      <c r="W20" s="18"/>
      <c r="X20" s="18"/>
      <c r="Y20" s="18"/>
      <c r="Z20" s="12"/>
      <c r="AA20" s="12"/>
      <c r="AB20" s="12"/>
      <c r="AC20" s="12"/>
      <c r="AD20" s="12"/>
    </row>
    <row r="21" spans="1:30" s="2" customFormat="1" ht="15" thickTop="1">
      <c r="A21" s="12"/>
      <c r="B21" s="12"/>
      <c r="C21" s="12"/>
      <c r="D21" s="12"/>
      <c r="E21" s="12"/>
      <c r="F21" s="12"/>
      <c r="G21" s="12"/>
      <c r="H21" s="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2" customFormat="1" ht="14.25">
      <c r="A22" s="14" t="s">
        <v>19</v>
      </c>
      <c r="B22" s="12"/>
      <c r="C22" s="12"/>
      <c r="D22" s="12"/>
      <c r="E22" s="12"/>
      <c r="F22" s="12"/>
      <c r="G22" s="12"/>
      <c r="H22" s="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2" customFormat="1" ht="14.25">
      <c r="A23" s="12" t="s">
        <v>20</v>
      </c>
      <c r="B23" s="12"/>
      <c r="C23" s="12"/>
      <c r="D23" s="12"/>
      <c r="E23" s="12"/>
      <c r="F23" s="12"/>
      <c r="G23" s="12"/>
      <c r="H23" s="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2" customFormat="1" ht="14.25">
      <c r="A24" s="12" t="s">
        <v>21</v>
      </c>
      <c r="B24" s="12"/>
      <c r="C24" s="15">
        <f>46898+3966</f>
        <v>50864</v>
      </c>
      <c r="D24" s="12">
        <v>694</v>
      </c>
      <c r="E24" s="12">
        <v>0</v>
      </c>
      <c r="F24" s="12">
        <v>3745</v>
      </c>
      <c r="G24" s="12">
        <f>SUM(C24:F24)-3966</f>
        <v>51337</v>
      </c>
      <c r="H24" s="4"/>
      <c r="I24" s="12">
        <v>51337</v>
      </c>
      <c r="J24" s="12"/>
      <c r="K24" s="12"/>
      <c r="L24" s="12">
        <f>SUM(J24:K24)</f>
        <v>0</v>
      </c>
      <c r="M24" s="12">
        <f>+I24+L24</f>
        <v>51337</v>
      </c>
      <c r="N24" s="12">
        <f>ROUND(M24*$N$11,0)+1</f>
        <v>-243</v>
      </c>
      <c r="O24" s="12">
        <f>+M24+N24</f>
        <v>51094</v>
      </c>
      <c r="P24" s="12"/>
      <c r="Q24" s="12">
        <f>ROUND(O24*$Q$11,0)</f>
        <v>-511</v>
      </c>
      <c r="R24" s="12"/>
      <c r="S24" s="12"/>
      <c r="T24" s="12"/>
      <c r="U24" s="12">
        <f>SUM(O24:S24)</f>
        <v>50583</v>
      </c>
      <c r="V24" s="12">
        <f>+U24</f>
        <v>50583</v>
      </c>
      <c r="W24" s="12"/>
      <c r="X24" s="12"/>
      <c r="Y24" s="12">
        <f>SUM(V24:X24)</f>
        <v>50583</v>
      </c>
      <c r="Z24" s="12"/>
      <c r="AA24" s="12"/>
      <c r="AB24" s="12"/>
      <c r="AC24" s="12"/>
      <c r="AD24" s="12"/>
    </row>
    <row r="25" spans="1:30" s="2" customFormat="1" ht="14.25">
      <c r="A25" s="12" t="s">
        <v>22</v>
      </c>
      <c r="B25" s="12"/>
      <c r="C25" s="15">
        <v>20714</v>
      </c>
      <c r="D25" s="12">
        <v>247</v>
      </c>
      <c r="E25" s="12">
        <v>0</v>
      </c>
      <c r="F25" s="12">
        <v>826</v>
      </c>
      <c r="G25" s="12">
        <f>SUM(C25:F25)</f>
        <v>21787</v>
      </c>
      <c r="H25" s="4"/>
      <c r="I25" s="12">
        <v>21787</v>
      </c>
      <c r="J25" s="12"/>
      <c r="K25" s="12"/>
      <c r="L25" s="12">
        <f>SUM(J25:K25)</f>
        <v>0</v>
      </c>
      <c r="M25" s="12">
        <f>+I25+L25</f>
        <v>21787</v>
      </c>
      <c r="N25" s="12">
        <f>ROUND(M25*$N$11,0)</f>
        <v>-104</v>
      </c>
      <c r="O25" s="12">
        <f>+M25+N25</f>
        <v>21683</v>
      </c>
      <c r="P25" s="12"/>
      <c r="Q25" s="12">
        <f>ROUND(O25*$Q$11,0)</f>
        <v>-217</v>
      </c>
      <c r="R25" s="12"/>
      <c r="S25" s="12"/>
      <c r="T25" s="12"/>
      <c r="U25" s="12">
        <f>SUM(O25:S25)</f>
        <v>21466</v>
      </c>
      <c r="V25" s="12">
        <f>+U25</f>
        <v>21466</v>
      </c>
      <c r="W25" s="12"/>
      <c r="X25" s="12"/>
      <c r="Y25" s="12">
        <f>SUM(V25:X25)</f>
        <v>21466</v>
      </c>
      <c r="Z25" s="12"/>
      <c r="AA25" s="12"/>
      <c r="AB25" s="12"/>
      <c r="AC25" s="12"/>
      <c r="AD25" s="12"/>
    </row>
    <row r="26" spans="1:30" s="2" customFormat="1" ht="14.25">
      <c r="A26" s="12" t="s">
        <v>23</v>
      </c>
      <c r="B26" s="12"/>
      <c r="C26" s="15">
        <v>3043</v>
      </c>
      <c r="D26" s="12">
        <v>51</v>
      </c>
      <c r="E26" s="12">
        <v>0</v>
      </c>
      <c r="F26" s="12">
        <v>-6</v>
      </c>
      <c r="G26" s="12">
        <f>SUM(C26:F26)</f>
        <v>3088</v>
      </c>
      <c r="H26" s="4"/>
      <c r="I26" s="12">
        <v>3088</v>
      </c>
      <c r="J26" s="12"/>
      <c r="K26" s="12"/>
      <c r="L26" s="12">
        <f>SUM(J26:K26)</f>
        <v>0</v>
      </c>
      <c r="M26" s="12">
        <f>+I26+L26</f>
        <v>3088</v>
      </c>
      <c r="N26" s="12">
        <f>ROUND(M26*$N$11,0)</f>
        <v>-15</v>
      </c>
      <c r="O26" s="12">
        <f>+M26+N26</f>
        <v>3073</v>
      </c>
      <c r="P26" s="12"/>
      <c r="Q26" s="12">
        <f>ROUND(O26*$Q$11,0)</f>
        <v>-31</v>
      </c>
      <c r="R26" s="12"/>
      <c r="S26" s="12"/>
      <c r="T26" s="12"/>
      <c r="U26" s="12">
        <f>SUM(O26:S26)</f>
        <v>3042</v>
      </c>
      <c r="V26" s="12">
        <f>+U26</f>
        <v>3042</v>
      </c>
      <c r="W26" s="12"/>
      <c r="X26" s="12"/>
      <c r="Y26" s="12">
        <f>SUM(V26:X26)</f>
        <v>3042</v>
      </c>
      <c r="Z26" s="12"/>
      <c r="AA26" s="12"/>
      <c r="AB26" s="12"/>
      <c r="AC26" s="12"/>
      <c r="AD26" s="12"/>
    </row>
    <row r="27" spans="1:30" s="2" customFormat="1" ht="14.25">
      <c r="A27" s="12" t="s">
        <v>24</v>
      </c>
      <c r="B27" s="12"/>
      <c r="C27" s="15">
        <f>3335+4134</f>
        <v>7469</v>
      </c>
      <c r="D27" s="12">
        <v>42</v>
      </c>
      <c r="E27" s="12">
        <v>0</v>
      </c>
      <c r="F27" s="12">
        <v>595</v>
      </c>
      <c r="G27" s="12">
        <f>SUM(C27:F27)-4134</f>
        <v>3972</v>
      </c>
      <c r="H27" s="4"/>
      <c r="I27" s="12">
        <v>3972</v>
      </c>
      <c r="J27" s="12"/>
      <c r="K27" s="12"/>
      <c r="L27" s="12">
        <f>SUM(J27:K27)</f>
        <v>0</v>
      </c>
      <c r="M27" s="12">
        <f>+I27+L27</f>
        <v>3972</v>
      </c>
      <c r="N27" s="12">
        <f>ROUND(M27*$N$11,0)</f>
        <v>-19</v>
      </c>
      <c r="O27" s="12">
        <f>+M27+N27</f>
        <v>3953</v>
      </c>
      <c r="P27" s="12"/>
      <c r="Q27" s="12">
        <f>ROUND(O27*$Q$11,0)+1</f>
        <v>-39</v>
      </c>
      <c r="R27" s="12"/>
      <c r="S27" s="12"/>
      <c r="T27" s="12"/>
      <c r="U27" s="12">
        <f>SUM(O27:S27)</f>
        <v>3914</v>
      </c>
      <c r="V27" s="12">
        <f>+U27</f>
        <v>3914</v>
      </c>
      <c r="W27" s="12"/>
      <c r="X27" s="12"/>
      <c r="Y27" s="12">
        <f>SUM(V27:X27)</f>
        <v>3914</v>
      </c>
      <c r="Z27" s="12"/>
      <c r="AA27" s="12"/>
      <c r="AB27" s="12"/>
      <c r="AC27" s="12"/>
      <c r="AD27" s="12"/>
    </row>
    <row r="28" spans="1:30" s="2" customFormat="1" ht="14.25">
      <c r="A28" s="12" t="s">
        <v>25</v>
      </c>
      <c r="B28" s="12"/>
      <c r="C28" s="19">
        <v>1989</v>
      </c>
      <c r="D28" s="19">
        <v>42</v>
      </c>
      <c r="E28" s="19">
        <v>0</v>
      </c>
      <c r="F28" s="19">
        <v>-6</v>
      </c>
      <c r="G28" s="44">
        <f>SUM(C28:F28)</f>
        <v>2025</v>
      </c>
      <c r="H28" s="9"/>
      <c r="I28" s="19">
        <v>2025</v>
      </c>
      <c r="J28" s="19"/>
      <c r="K28" s="19"/>
      <c r="L28" s="44">
        <f>SUM(J28:K28)</f>
        <v>0</v>
      </c>
      <c r="M28" s="44">
        <f>+I28+L28</f>
        <v>2025</v>
      </c>
      <c r="N28" s="44">
        <f>ROUND(M28*$N$11,0)</f>
        <v>-10</v>
      </c>
      <c r="O28" s="44">
        <f>+M28+N28</f>
        <v>2015</v>
      </c>
      <c r="P28" s="44"/>
      <c r="Q28" s="44">
        <f>ROUND(O28*$Q$11,0)</f>
        <v>-20</v>
      </c>
      <c r="R28" s="19"/>
      <c r="S28" s="19">
        <v>200</v>
      </c>
      <c r="T28" s="19"/>
      <c r="U28" s="44">
        <f>SUM(O28:S28)</f>
        <v>2195</v>
      </c>
      <c r="V28" s="44">
        <f>+U28-X28</f>
        <v>1995</v>
      </c>
      <c r="W28" s="44"/>
      <c r="X28" s="44">
        <v>200</v>
      </c>
      <c r="Y28" s="44">
        <f>SUM(V28:X28)</f>
        <v>2195</v>
      </c>
      <c r="Z28" s="12"/>
      <c r="AA28" s="12"/>
      <c r="AB28" s="12"/>
      <c r="AC28" s="12"/>
      <c r="AD28" s="12"/>
    </row>
    <row r="29" spans="1:30" s="2" customFormat="1" ht="14.25">
      <c r="A29" s="16" t="s">
        <v>26</v>
      </c>
      <c r="B29" s="12"/>
      <c r="C29" s="11">
        <f>SUM(C24:C28)</f>
        <v>84079</v>
      </c>
      <c r="D29" s="11">
        <f>SUM(D24:D28)</f>
        <v>1076</v>
      </c>
      <c r="E29" s="11">
        <f>SUM(E24:E28)</f>
        <v>0</v>
      </c>
      <c r="F29" s="11">
        <f>SUM(F24:F28)</f>
        <v>5154</v>
      </c>
      <c r="G29" s="11">
        <f>SUM(G24:G28)</f>
        <v>82209</v>
      </c>
      <c r="H29" s="3"/>
      <c r="I29" s="11">
        <f aca="true" t="shared" si="1" ref="I29:O29">SUM(I24:I28)</f>
        <v>82209</v>
      </c>
      <c r="J29" s="11">
        <f t="shared" si="1"/>
        <v>0</v>
      </c>
      <c r="K29" s="11">
        <f t="shared" si="1"/>
        <v>0</v>
      </c>
      <c r="L29" s="11">
        <f t="shared" si="1"/>
        <v>0</v>
      </c>
      <c r="M29" s="11">
        <f t="shared" si="1"/>
        <v>82209</v>
      </c>
      <c r="N29" s="11">
        <f t="shared" si="1"/>
        <v>-391</v>
      </c>
      <c r="O29" s="11">
        <f t="shared" si="1"/>
        <v>81818</v>
      </c>
      <c r="P29" s="11"/>
      <c r="Q29" s="11">
        <f aca="true" t="shared" si="2" ref="Q29:Y29">SUM(Q24:Q28)</f>
        <v>-818</v>
      </c>
      <c r="R29" s="11">
        <f>SUM(R24:R28)</f>
        <v>0</v>
      </c>
      <c r="S29" s="11">
        <f>SUM(S24:S28)</f>
        <v>200</v>
      </c>
      <c r="T29" s="11"/>
      <c r="U29" s="11">
        <f t="shared" si="2"/>
        <v>81200</v>
      </c>
      <c r="V29" s="11">
        <f t="shared" si="2"/>
        <v>81000</v>
      </c>
      <c r="W29" s="11">
        <f t="shared" si="2"/>
        <v>0</v>
      </c>
      <c r="X29" s="11">
        <f t="shared" si="2"/>
        <v>200</v>
      </c>
      <c r="Y29" s="11">
        <f t="shared" si="2"/>
        <v>81200</v>
      </c>
      <c r="Z29" s="12"/>
      <c r="AA29" s="12"/>
      <c r="AB29" s="12"/>
      <c r="AC29" s="12"/>
      <c r="AD29" s="12"/>
    </row>
    <row r="30" spans="1:30" s="2" customFormat="1" ht="14.25">
      <c r="A30" s="12"/>
      <c r="B30" s="12"/>
      <c r="C30" s="12"/>
      <c r="D30" s="12"/>
      <c r="E30" s="12"/>
      <c r="F30" s="12"/>
      <c r="G30" s="12"/>
      <c r="H30" s="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2" customFormat="1" ht="14.25">
      <c r="A31" s="12" t="s">
        <v>27</v>
      </c>
      <c r="B31" s="12"/>
      <c r="C31" s="12"/>
      <c r="D31" s="12"/>
      <c r="E31" s="12"/>
      <c r="F31" s="12"/>
      <c r="G31" s="12"/>
      <c r="H31" s="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2" customFormat="1" ht="14.25">
      <c r="A32" s="12" t="s">
        <v>28</v>
      </c>
      <c r="B32" s="12"/>
      <c r="C32" s="15">
        <v>13634</v>
      </c>
      <c r="D32" s="12">
        <v>190</v>
      </c>
      <c r="E32" s="12">
        <v>-243</v>
      </c>
      <c r="F32" s="12">
        <v>-277</v>
      </c>
      <c r="G32" s="12">
        <f>SUM(C32:F32)</f>
        <v>13304</v>
      </c>
      <c r="H32" s="4"/>
      <c r="I32" s="12">
        <v>13554</v>
      </c>
      <c r="J32" s="12"/>
      <c r="K32" s="12"/>
      <c r="L32" s="12">
        <f>SUM(J32:K32)</f>
        <v>0</v>
      </c>
      <c r="M32" s="12">
        <f>+I32+L32</f>
        <v>13554</v>
      </c>
      <c r="N32" s="12">
        <f>ROUND(M32*$N$11,0)</f>
        <v>-65</v>
      </c>
      <c r="O32" s="12">
        <f>+M32+N32</f>
        <v>13489</v>
      </c>
      <c r="P32" s="12"/>
      <c r="Q32" s="12">
        <f>ROUND(O32*$Q$11,0)</f>
        <v>-135</v>
      </c>
      <c r="R32" s="12"/>
      <c r="S32" s="12"/>
      <c r="T32" s="12"/>
      <c r="U32" s="12">
        <f>SUM(O32:S32)</f>
        <v>13354</v>
      </c>
      <c r="V32" s="12">
        <f>+U32</f>
        <v>13354</v>
      </c>
      <c r="W32" s="12"/>
      <c r="X32" s="12"/>
      <c r="Y32" s="12">
        <f>SUM(V32:X32)</f>
        <v>13354</v>
      </c>
      <c r="Z32" s="12"/>
      <c r="AA32" s="12"/>
      <c r="AB32" s="12"/>
      <c r="AC32" s="12"/>
      <c r="AD32" s="12"/>
    </row>
    <row r="33" spans="1:30" s="2" customFormat="1" ht="14.25">
      <c r="A33" s="12" t="s">
        <v>29</v>
      </c>
      <c r="B33" s="12"/>
      <c r="C33" s="15">
        <v>25162</v>
      </c>
      <c r="D33" s="12">
        <v>400</v>
      </c>
      <c r="E33" s="12">
        <v>0</v>
      </c>
      <c r="F33" s="12">
        <v>-74</v>
      </c>
      <c r="G33" s="12">
        <f>SUM(C33:F33)</f>
        <v>25488</v>
      </c>
      <c r="H33" s="4"/>
      <c r="I33" s="12">
        <v>25488</v>
      </c>
      <c r="J33" s="12"/>
      <c r="K33" s="12"/>
      <c r="L33" s="12">
        <f>SUM(J33:K33)</f>
        <v>0</v>
      </c>
      <c r="M33" s="12">
        <f>+I33+L33</f>
        <v>25488</v>
      </c>
      <c r="N33" s="12">
        <f>ROUND(M33*$N$11,0)</f>
        <v>-121</v>
      </c>
      <c r="O33" s="12">
        <f>+M33+N33</f>
        <v>25367</v>
      </c>
      <c r="P33" s="12"/>
      <c r="Q33" s="12">
        <f>ROUND(O33*$Q$11,0)</f>
        <v>-254</v>
      </c>
      <c r="R33" s="12"/>
      <c r="S33" s="12"/>
      <c r="T33" s="12"/>
      <c r="U33" s="12">
        <f>SUM(O33:S33)</f>
        <v>25113</v>
      </c>
      <c r="V33" s="12">
        <f>+U33</f>
        <v>25113</v>
      </c>
      <c r="W33" s="12"/>
      <c r="X33" s="12"/>
      <c r="Y33" s="12">
        <f>SUM(V33:X33)</f>
        <v>25113</v>
      </c>
      <c r="Z33" s="12"/>
      <c r="AA33" s="12"/>
      <c r="AB33" s="12"/>
      <c r="AC33" s="12"/>
      <c r="AD33" s="12"/>
    </row>
    <row r="34" spans="1:30" s="2" customFormat="1" ht="14.25">
      <c r="A34" s="12" t="s">
        <v>30</v>
      </c>
      <c r="B34" s="12"/>
      <c r="C34" s="19">
        <v>37457</v>
      </c>
      <c r="D34" s="19">
        <v>597</v>
      </c>
      <c r="E34" s="19">
        <v>-194</v>
      </c>
      <c r="F34" s="19">
        <v>576</v>
      </c>
      <c r="G34" s="44">
        <f>SUM(C34:F34)</f>
        <v>38436</v>
      </c>
      <c r="H34" s="9"/>
      <c r="I34" s="19">
        <v>39872</v>
      </c>
      <c r="J34" s="19"/>
      <c r="K34" s="19"/>
      <c r="L34" s="44">
        <f>SUM(J34:K34)</f>
        <v>0</v>
      </c>
      <c r="M34" s="44">
        <f>+I34+L34</f>
        <v>39872</v>
      </c>
      <c r="N34" s="44">
        <f>ROUND(M34*$N$11,0)</f>
        <v>-190</v>
      </c>
      <c r="O34" s="44">
        <f>+M34+N34</f>
        <v>39682</v>
      </c>
      <c r="P34" s="44"/>
      <c r="Q34" s="44">
        <f>ROUND(O34*$Q$11,0)</f>
        <v>-397</v>
      </c>
      <c r="R34" s="19"/>
      <c r="S34" s="19"/>
      <c r="T34" s="44"/>
      <c r="U34" s="44">
        <f>SUM(O34:S34)</f>
        <v>39285</v>
      </c>
      <c r="V34" s="44">
        <f>+U34</f>
        <v>39285</v>
      </c>
      <c r="W34" s="44"/>
      <c r="X34" s="44"/>
      <c r="Y34" s="44">
        <f>SUM(V34:X34)</f>
        <v>39285</v>
      </c>
      <c r="Z34" s="12"/>
      <c r="AA34" s="12"/>
      <c r="AB34" s="12"/>
      <c r="AC34" s="12"/>
      <c r="AD34" s="12"/>
    </row>
    <row r="35" spans="1:30" s="2" customFormat="1" ht="14.25">
      <c r="A35" s="16" t="s">
        <v>26</v>
      </c>
      <c r="B35" s="12"/>
      <c r="C35" s="11">
        <f>SUM(C32:C34)</f>
        <v>76253</v>
      </c>
      <c r="D35" s="11">
        <f>SUM(D32:D34)</f>
        <v>1187</v>
      </c>
      <c r="E35" s="11">
        <f>SUM(E32:E34)</f>
        <v>-437</v>
      </c>
      <c r="F35" s="11">
        <f>SUM(F32:F34)</f>
        <v>225</v>
      </c>
      <c r="G35" s="11">
        <f>SUM(G32:G34)</f>
        <v>77228</v>
      </c>
      <c r="H35" s="3"/>
      <c r="I35" s="11">
        <f aca="true" t="shared" si="3" ref="I35:O35">SUM(I32:I34)</f>
        <v>78914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78914</v>
      </c>
      <c r="N35" s="11">
        <f t="shared" si="3"/>
        <v>-376</v>
      </c>
      <c r="O35" s="11">
        <f t="shared" si="3"/>
        <v>78538</v>
      </c>
      <c r="P35" s="11"/>
      <c r="Q35" s="11">
        <f aca="true" t="shared" si="4" ref="Q35:Y35">SUM(Q32:Q34)</f>
        <v>-786</v>
      </c>
      <c r="R35" s="11">
        <f>SUM(R32:R34)</f>
        <v>0</v>
      </c>
      <c r="S35" s="11">
        <f>SUM(S32:S34)</f>
        <v>0</v>
      </c>
      <c r="T35" s="11"/>
      <c r="U35" s="11">
        <f t="shared" si="4"/>
        <v>77752</v>
      </c>
      <c r="V35" s="11">
        <f t="shared" si="4"/>
        <v>77752</v>
      </c>
      <c r="W35" s="11">
        <f t="shared" si="4"/>
        <v>0</v>
      </c>
      <c r="X35" s="11">
        <f t="shared" si="4"/>
        <v>0</v>
      </c>
      <c r="Y35" s="11">
        <f t="shared" si="4"/>
        <v>77752</v>
      </c>
      <c r="Z35" s="12"/>
      <c r="AA35" s="12"/>
      <c r="AB35" s="12"/>
      <c r="AC35" s="12"/>
      <c r="AD35" s="12"/>
    </row>
    <row r="36" spans="1:30" s="2" customFormat="1" ht="14.25">
      <c r="A36" s="12"/>
      <c r="B36" s="12"/>
      <c r="C36" s="12"/>
      <c r="D36" s="12"/>
      <c r="E36" s="12"/>
      <c r="F36" s="12"/>
      <c r="G36" s="12"/>
      <c r="H36" s="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2" customFormat="1" ht="14.25">
      <c r="A37" s="12" t="s">
        <v>31</v>
      </c>
      <c r="B37" s="12"/>
      <c r="C37" s="12"/>
      <c r="D37" s="12"/>
      <c r="E37" s="12"/>
      <c r="F37" s="12"/>
      <c r="G37" s="12"/>
      <c r="H37" s="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2" customFormat="1" ht="14.25">
      <c r="A38" s="12" t="s">
        <v>32</v>
      </c>
      <c r="B38" s="12"/>
      <c r="C38" s="15">
        <f>53764+1436</f>
        <v>55200</v>
      </c>
      <c r="D38" s="12">
        <v>1140</v>
      </c>
      <c r="E38" s="12">
        <v>0</v>
      </c>
      <c r="F38" s="12">
        <v>-29820</v>
      </c>
      <c r="G38" s="12">
        <f>SUM(C38:F38)-1436</f>
        <v>25084</v>
      </c>
      <c r="H38" s="4"/>
      <c r="I38" s="12">
        <v>53562</v>
      </c>
      <c r="J38" s="12"/>
      <c r="K38" s="12"/>
      <c r="L38" s="12">
        <f>SUM(J38:K38)</f>
        <v>0</v>
      </c>
      <c r="M38" s="12">
        <f>+I38+L38</f>
        <v>53562</v>
      </c>
      <c r="N38" s="12">
        <f>ROUND(M38*$N$11,0)</f>
        <v>-255</v>
      </c>
      <c r="O38" s="12">
        <f>+M38+N38</f>
        <v>53307</v>
      </c>
      <c r="P38" s="12"/>
      <c r="Q38" s="12">
        <f>ROUND(O38*$Q$11,0)</f>
        <v>-533</v>
      </c>
      <c r="R38" s="12"/>
      <c r="S38" s="12"/>
      <c r="T38" s="12"/>
      <c r="U38" s="12">
        <f>SUM(O38:S38)</f>
        <v>52774</v>
      </c>
      <c r="V38" s="12">
        <f>+U38</f>
        <v>52774</v>
      </c>
      <c r="W38" s="12"/>
      <c r="X38" s="12"/>
      <c r="Y38" s="12">
        <f>SUM(V38:X38)</f>
        <v>52774</v>
      </c>
      <c r="Z38" s="12"/>
      <c r="AA38" s="12"/>
      <c r="AB38" s="12"/>
      <c r="AC38" s="12"/>
      <c r="AD38" s="12"/>
    </row>
    <row r="39" spans="1:30" s="2" customFormat="1" ht="14.25">
      <c r="A39" s="12" t="s">
        <v>33</v>
      </c>
      <c r="B39" s="12"/>
      <c r="C39" s="19">
        <v>23250</v>
      </c>
      <c r="D39" s="19">
        <v>444</v>
      </c>
      <c r="E39" s="19">
        <v>-25</v>
      </c>
      <c r="F39" s="19">
        <v>-54</v>
      </c>
      <c r="G39" s="44">
        <f>SUM(C39:F39)</f>
        <v>23615</v>
      </c>
      <c r="H39" s="9"/>
      <c r="I39" s="19">
        <v>24115</v>
      </c>
      <c r="J39" s="19"/>
      <c r="K39" s="19"/>
      <c r="L39" s="44">
        <f>SUM(J39:K39)</f>
        <v>0</v>
      </c>
      <c r="M39" s="44">
        <f>+I39+L39</f>
        <v>24115</v>
      </c>
      <c r="N39" s="44">
        <f>ROUND(M39*$N$11,0)</f>
        <v>-115</v>
      </c>
      <c r="O39" s="44">
        <f>+M39+N39</f>
        <v>24000</v>
      </c>
      <c r="P39" s="44"/>
      <c r="Q39" s="44">
        <f>ROUND(O39*$Q$11,0)</f>
        <v>-240</v>
      </c>
      <c r="R39" s="19"/>
      <c r="S39" s="19"/>
      <c r="T39" s="19"/>
      <c r="U39" s="44">
        <f>SUM(O39:S39)</f>
        <v>23760</v>
      </c>
      <c r="V39" s="44">
        <f>+U39</f>
        <v>23760</v>
      </c>
      <c r="W39" s="44"/>
      <c r="X39" s="44"/>
      <c r="Y39" s="44">
        <f>SUM(V39:X39)</f>
        <v>23760</v>
      </c>
      <c r="Z39" s="12"/>
      <c r="AA39" s="12"/>
      <c r="AB39" s="12"/>
      <c r="AC39" s="12"/>
      <c r="AD39" s="12"/>
    </row>
    <row r="40" spans="1:30" s="2" customFormat="1" ht="14.25">
      <c r="A40" s="16" t="s">
        <v>26</v>
      </c>
      <c r="B40" s="12"/>
      <c r="C40" s="11">
        <f>SUM(C38:C39)</f>
        <v>78450</v>
      </c>
      <c r="D40" s="11">
        <f>SUM(D38:D39)</f>
        <v>1584</v>
      </c>
      <c r="E40" s="11">
        <f>SUM(E38:E39)</f>
        <v>-25</v>
      </c>
      <c r="F40" s="11">
        <f>SUM(F38:F39)</f>
        <v>-29874</v>
      </c>
      <c r="G40" s="11">
        <f>SUM(G38:G39)</f>
        <v>48699</v>
      </c>
      <c r="H40" s="3"/>
      <c r="I40" s="11">
        <f aca="true" t="shared" si="5" ref="I40:O40">SUM(I38:I39)</f>
        <v>77677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77677</v>
      </c>
      <c r="N40" s="11">
        <f t="shared" si="5"/>
        <v>-370</v>
      </c>
      <c r="O40" s="11">
        <f t="shared" si="5"/>
        <v>77307</v>
      </c>
      <c r="P40" s="11"/>
      <c r="Q40" s="11">
        <f aca="true" t="shared" si="6" ref="Q40:Y40">SUM(Q38:Q39)</f>
        <v>-773</v>
      </c>
      <c r="R40" s="11">
        <f>SUM(R38:R39)</f>
        <v>0</v>
      </c>
      <c r="S40" s="11">
        <f>SUM(S38:S39)</f>
        <v>0</v>
      </c>
      <c r="T40" s="11"/>
      <c r="U40" s="11">
        <f t="shared" si="6"/>
        <v>76534</v>
      </c>
      <c r="V40" s="11">
        <f t="shared" si="6"/>
        <v>76534</v>
      </c>
      <c r="W40" s="11">
        <f t="shared" si="6"/>
        <v>0</v>
      </c>
      <c r="X40" s="11">
        <f t="shared" si="6"/>
        <v>0</v>
      </c>
      <c r="Y40" s="11">
        <f t="shared" si="6"/>
        <v>76534</v>
      </c>
      <c r="Z40" s="12"/>
      <c r="AA40" s="12"/>
      <c r="AB40" s="12"/>
      <c r="AC40" s="12"/>
      <c r="AD40" s="12"/>
    </row>
    <row r="41" spans="1:30" s="2" customFormat="1" ht="14.25">
      <c r="A41" s="16"/>
      <c r="B41" s="12"/>
      <c r="C41" s="12"/>
      <c r="D41" s="12"/>
      <c r="E41" s="12"/>
      <c r="F41" s="12"/>
      <c r="G41" s="12"/>
      <c r="H41" s="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2" customFormat="1" ht="14.25">
      <c r="A42" s="16" t="s">
        <v>18</v>
      </c>
      <c r="B42" s="12"/>
      <c r="C42" s="11">
        <f>SUM(C29,C35,C40)</f>
        <v>238782</v>
      </c>
      <c r="D42" s="11">
        <f>SUM(D29,D35,D40)</f>
        <v>3847</v>
      </c>
      <c r="E42" s="11">
        <f>SUM(E29,E35,E40)</f>
        <v>-462</v>
      </c>
      <c r="F42" s="11">
        <f>SUM(F29,F35,F40)</f>
        <v>-24495</v>
      </c>
      <c r="G42" s="11">
        <f>SUM(G29,G35,G40)</f>
        <v>208136</v>
      </c>
      <c r="H42" s="3"/>
      <c r="I42" s="11">
        <f aca="true" t="shared" si="7" ref="I42:O42">SUM(I29,I35,I40)</f>
        <v>238800</v>
      </c>
      <c r="J42" s="11">
        <f t="shared" si="7"/>
        <v>0</v>
      </c>
      <c r="K42" s="11">
        <f t="shared" si="7"/>
        <v>0</v>
      </c>
      <c r="L42" s="11">
        <f t="shared" si="7"/>
        <v>0</v>
      </c>
      <c r="M42" s="11">
        <f t="shared" si="7"/>
        <v>238800</v>
      </c>
      <c r="N42" s="11">
        <f t="shared" si="7"/>
        <v>-1137</v>
      </c>
      <c r="O42" s="11">
        <f t="shared" si="7"/>
        <v>237663</v>
      </c>
      <c r="P42" s="11"/>
      <c r="Q42" s="11">
        <f>SUM(Q29,Q35,Q40)</f>
        <v>-2377</v>
      </c>
      <c r="R42" s="11">
        <f>SUM(R29,R35,R40)</f>
        <v>0</v>
      </c>
      <c r="S42" s="11">
        <f>SUM(S29,S35,S40)</f>
        <v>200</v>
      </c>
      <c r="T42" s="11"/>
      <c r="U42" s="11">
        <f>SUM(U29,U35,U40)</f>
        <v>235486</v>
      </c>
      <c r="V42" s="11">
        <f>SUM(V29,V35,V40)</f>
        <v>235286</v>
      </c>
      <c r="W42" s="11">
        <f>SUM(W29,W35,W40)</f>
        <v>0</v>
      </c>
      <c r="X42" s="11">
        <f>SUM(X29,X35,X40)</f>
        <v>200</v>
      </c>
      <c r="Y42" s="11">
        <f>SUM(Y29,Y35,Y40)</f>
        <v>235486</v>
      </c>
      <c r="Z42" s="12"/>
      <c r="AA42" s="12"/>
      <c r="AB42" s="12"/>
      <c r="AC42" s="12"/>
      <c r="AD42" s="12"/>
    </row>
    <row r="43" spans="1:30" s="2" customFormat="1" ht="15" thickBot="1">
      <c r="A43" s="17"/>
      <c r="B43" s="17"/>
      <c r="C43" s="18"/>
      <c r="D43" s="17"/>
      <c r="E43" s="17"/>
      <c r="F43" s="17"/>
      <c r="G43" s="17"/>
      <c r="H43" s="7"/>
      <c r="I43" s="17"/>
      <c r="J43" s="17"/>
      <c r="K43" s="17"/>
      <c r="L43" s="17"/>
      <c r="M43" s="17"/>
      <c r="N43" s="18">
        <f>ROUND($N$11*M42,0)</f>
        <v>-1137</v>
      </c>
      <c r="O43" s="17"/>
      <c r="P43" s="17"/>
      <c r="Q43" s="18">
        <f>ROUND(O42*$Q$11,0)</f>
        <v>-2377</v>
      </c>
      <c r="R43" s="17"/>
      <c r="S43" s="17"/>
      <c r="T43" s="17"/>
      <c r="U43" s="17"/>
      <c r="V43" s="17"/>
      <c r="W43" s="17"/>
      <c r="X43" s="17"/>
      <c r="Y43" s="17"/>
      <c r="Z43" s="12"/>
      <c r="AA43" s="12"/>
      <c r="AB43" s="12"/>
      <c r="AC43" s="12"/>
      <c r="AD43" s="12"/>
    </row>
    <row r="44" spans="1:30" s="2" customFormat="1" ht="15" thickTop="1">
      <c r="A44" s="12"/>
      <c r="B44" s="12"/>
      <c r="C44" s="12"/>
      <c r="D44" s="12"/>
      <c r="E44" s="12"/>
      <c r="F44" s="12"/>
      <c r="G44" s="12"/>
      <c r="H44" s="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2" customFormat="1" ht="14.25">
      <c r="A45" s="14" t="s">
        <v>34</v>
      </c>
      <c r="B45" s="12"/>
      <c r="C45" s="12"/>
      <c r="D45" s="12"/>
      <c r="E45" s="12"/>
      <c r="F45" s="12"/>
      <c r="G45" s="12"/>
      <c r="H45" s="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2" customFormat="1" ht="14.25">
      <c r="A46" s="12" t="s">
        <v>35</v>
      </c>
      <c r="B46" s="12"/>
      <c r="C46" s="12"/>
      <c r="D46" s="12"/>
      <c r="E46" s="12"/>
      <c r="F46" s="12"/>
      <c r="G46" s="12"/>
      <c r="H46" s="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2" customFormat="1" ht="14.25">
      <c r="A47" s="12" t="s">
        <v>36</v>
      </c>
      <c r="B47" s="12"/>
      <c r="C47" s="15">
        <v>6998</v>
      </c>
      <c r="D47" s="12">
        <v>147</v>
      </c>
      <c r="E47" s="12">
        <v>-98</v>
      </c>
      <c r="F47" s="12">
        <v>370</v>
      </c>
      <c r="G47" s="12">
        <f>SUM(C47:F47)</f>
        <v>7417</v>
      </c>
      <c r="H47" s="4"/>
      <c r="I47" s="12">
        <v>8147</v>
      </c>
      <c r="J47" s="12"/>
      <c r="K47" s="12"/>
      <c r="L47" s="12">
        <f aca="true" t="shared" si="8" ref="L47:L52">SUM(J47:K47)</f>
        <v>0</v>
      </c>
      <c r="M47" s="12">
        <f aca="true" t="shared" si="9" ref="M47:M52">+I47+L47</f>
        <v>8147</v>
      </c>
      <c r="N47" s="12">
        <f aca="true" t="shared" si="10" ref="N47:N52">ROUND(M47*$N$11,0)</f>
        <v>-39</v>
      </c>
      <c r="O47" s="12">
        <f aca="true" t="shared" si="11" ref="O47:O52">+M47+N47</f>
        <v>8108</v>
      </c>
      <c r="P47" s="12"/>
      <c r="Q47" s="12">
        <f aca="true" t="shared" si="12" ref="Q47:Q52">ROUND(O47*$Q$11,0)</f>
        <v>-81</v>
      </c>
      <c r="R47" s="12"/>
      <c r="S47" s="12"/>
      <c r="T47" s="12"/>
      <c r="U47" s="12">
        <f aca="true" t="shared" si="13" ref="U47:U52">SUM(O47:S47)</f>
        <v>8027</v>
      </c>
      <c r="V47" s="12">
        <f aca="true" t="shared" si="14" ref="V47:V52">+U47</f>
        <v>8027</v>
      </c>
      <c r="W47" s="12"/>
      <c r="X47" s="12"/>
      <c r="Y47" s="12">
        <f aca="true" t="shared" si="15" ref="Y47:Y52">SUM(V47:X47)</f>
        <v>8027</v>
      </c>
      <c r="Z47" s="12"/>
      <c r="AA47" s="12"/>
      <c r="AB47" s="12"/>
      <c r="AC47" s="12"/>
      <c r="AD47" s="12"/>
    </row>
    <row r="48" spans="1:30" s="2" customFormat="1" ht="14.25">
      <c r="A48" s="12" t="s">
        <v>37</v>
      </c>
      <c r="B48" s="12"/>
      <c r="C48" s="15">
        <v>61645</v>
      </c>
      <c r="D48" s="12">
        <v>1669</v>
      </c>
      <c r="E48" s="12">
        <v>0</v>
      </c>
      <c r="F48" s="12">
        <v>-182</v>
      </c>
      <c r="G48" s="12">
        <f>SUM(C48:F48)</f>
        <v>63132</v>
      </c>
      <c r="H48" s="4"/>
      <c r="I48" s="12">
        <v>63132</v>
      </c>
      <c r="J48" s="12"/>
      <c r="K48" s="12"/>
      <c r="L48" s="12">
        <f t="shared" si="8"/>
        <v>0</v>
      </c>
      <c r="M48" s="12">
        <f t="shared" si="9"/>
        <v>63132</v>
      </c>
      <c r="N48" s="12">
        <f t="shared" si="10"/>
        <v>-301</v>
      </c>
      <c r="O48" s="12">
        <f t="shared" si="11"/>
        <v>62831</v>
      </c>
      <c r="P48" s="12"/>
      <c r="Q48" s="12">
        <f t="shared" si="12"/>
        <v>-628</v>
      </c>
      <c r="R48" s="12"/>
      <c r="S48" s="12"/>
      <c r="T48" s="12"/>
      <c r="U48" s="12">
        <f t="shared" si="13"/>
        <v>62203</v>
      </c>
      <c r="V48" s="12">
        <f t="shared" si="14"/>
        <v>62203</v>
      </c>
      <c r="W48" s="12"/>
      <c r="X48" s="12"/>
      <c r="Y48" s="12">
        <f t="shared" si="15"/>
        <v>62203</v>
      </c>
      <c r="Z48" s="12"/>
      <c r="AA48" s="12"/>
      <c r="AB48" s="12"/>
      <c r="AC48" s="12"/>
      <c r="AD48" s="12"/>
    </row>
    <row r="49" spans="1:30" s="2" customFormat="1" ht="14.25">
      <c r="A49" s="12" t="s">
        <v>38</v>
      </c>
      <c r="B49" s="12"/>
      <c r="C49" s="15">
        <v>14476</v>
      </c>
      <c r="D49" s="12">
        <v>367</v>
      </c>
      <c r="E49" s="12">
        <v>0</v>
      </c>
      <c r="F49" s="12">
        <v>-1723</v>
      </c>
      <c r="G49" s="12">
        <f>SUM(C49:F49)</f>
        <v>13120</v>
      </c>
      <c r="H49" s="4"/>
      <c r="I49" s="12">
        <v>14600</v>
      </c>
      <c r="J49" s="12"/>
      <c r="K49" s="12"/>
      <c r="L49" s="12">
        <f t="shared" si="8"/>
        <v>0</v>
      </c>
      <c r="M49" s="12">
        <f t="shared" si="9"/>
        <v>14600</v>
      </c>
      <c r="N49" s="12">
        <f t="shared" si="10"/>
        <v>-69</v>
      </c>
      <c r="O49" s="12">
        <f t="shared" si="11"/>
        <v>14531</v>
      </c>
      <c r="P49" s="12"/>
      <c r="Q49" s="12">
        <f t="shared" si="12"/>
        <v>-145</v>
      </c>
      <c r="R49" s="12"/>
      <c r="S49" s="12"/>
      <c r="T49" s="12"/>
      <c r="U49" s="12">
        <f t="shared" si="13"/>
        <v>14386</v>
      </c>
      <c r="V49" s="12">
        <f t="shared" si="14"/>
        <v>14386</v>
      </c>
      <c r="W49" s="12"/>
      <c r="X49" s="12"/>
      <c r="Y49" s="12">
        <f t="shared" si="15"/>
        <v>14386</v>
      </c>
      <c r="Z49" s="12"/>
      <c r="AA49" s="12"/>
      <c r="AB49" s="12"/>
      <c r="AC49" s="12"/>
      <c r="AD49" s="12"/>
    </row>
    <row r="50" spans="1:30" s="2" customFormat="1" ht="14.25">
      <c r="A50" s="12" t="s">
        <v>39</v>
      </c>
      <c r="B50" s="12"/>
      <c r="C50" s="15">
        <v>15997</v>
      </c>
      <c r="D50" s="12">
        <v>363</v>
      </c>
      <c r="E50" s="12">
        <v>0</v>
      </c>
      <c r="F50" s="12">
        <v>-1932</v>
      </c>
      <c r="G50" s="12">
        <f>SUM(C50:F50)</f>
        <v>14428</v>
      </c>
      <c r="H50" s="4"/>
      <c r="I50" s="12">
        <v>14828</v>
      </c>
      <c r="J50" s="12"/>
      <c r="K50" s="12"/>
      <c r="L50" s="12">
        <f t="shared" si="8"/>
        <v>0</v>
      </c>
      <c r="M50" s="12">
        <f t="shared" si="9"/>
        <v>14828</v>
      </c>
      <c r="N50" s="12">
        <f t="shared" si="10"/>
        <v>-71</v>
      </c>
      <c r="O50" s="12">
        <f t="shared" si="11"/>
        <v>14757</v>
      </c>
      <c r="P50" s="12"/>
      <c r="Q50" s="12">
        <f t="shared" si="12"/>
        <v>-148</v>
      </c>
      <c r="R50" s="12"/>
      <c r="S50" s="12"/>
      <c r="T50" s="12"/>
      <c r="U50" s="12">
        <f t="shared" si="13"/>
        <v>14609</v>
      </c>
      <c r="V50" s="12">
        <f t="shared" si="14"/>
        <v>14609</v>
      </c>
      <c r="W50" s="12"/>
      <c r="X50" s="12"/>
      <c r="Y50" s="12">
        <f t="shared" si="15"/>
        <v>14609</v>
      </c>
      <c r="Z50" s="12"/>
      <c r="AA50" s="12"/>
      <c r="AB50" s="12"/>
      <c r="AC50" s="12"/>
      <c r="AD50" s="12"/>
    </row>
    <row r="51" spans="1:30" s="2" customFormat="1" ht="14.25">
      <c r="A51" s="12" t="s">
        <v>40</v>
      </c>
      <c r="B51" s="12"/>
      <c r="C51" s="15">
        <v>13814</v>
      </c>
      <c r="D51" s="12">
        <v>379</v>
      </c>
      <c r="E51" s="12">
        <v>0</v>
      </c>
      <c r="F51" s="12">
        <v>-41</v>
      </c>
      <c r="G51" s="12">
        <f>SUM(C51:F51)</f>
        <v>14152</v>
      </c>
      <c r="H51" s="4"/>
      <c r="I51" s="12">
        <v>14152</v>
      </c>
      <c r="J51" s="12"/>
      <c r="K51" s="12"/>
      <c r="L51" s="12">
        <f t="shared" si="8"/>
        <v>0</v>
      </c>
      <c r="M51" s="12">
        <f t="shared" si="9"/>
        <v>14152</v>
      </c>
      <c r="N51" s="12">
        <f t="shared" si="10"/>
        <v>-67</v>
      </c>
      <c r="O51" s="12">
        <f t="shared" si="11"/>
        <v>14085</v>
      </c>
      <c r="P51" s="12"/>
      <c r="Q51" s="12">
        <f t="shared" si="12"/>
        <v>-141</v>
      </c>
      <c r="R51" s="12"/>
      <c r="S51" s="12">
        <v>5100</v>
      </c>
      <c r="T51" s="12"/>
      <c r="U51" s="12">
        <f t="shared" si="13"/>
        <v>19044</v>
      </c>
      <c r="V51" s="12">
        <f>+U51-X51</f>
        <v>13944</v>
      </c>
      <c r="W51" s="12"/>
      <c r="X51" s="12">
        <v>5100</v>
      </c>
      <c r="Y51" s="12">
        <f t="shared" si="15"/>
        <v>19044</v>
      </c>
      <c r="Z51" s="12"/>
      <c r="AA51" s="12"/>
      <c r="AB51" s="12"/>
      <c r="AC51" s="12"/>
      <c r="AD51" s="12"/>
    </row>
    <row r="52" spans="1:30" s="2" customFormat="1" ht="14.25">
      <c r="A52" s="12" t="s">
        <v>41</v>
      </c>
      <c r="B52" s="12"/>
      <c r="C52" s="19">
        <f>29524+707</f>
        <v>30231</v>
      </c>
      <c r="D52" s="19">
        <v>660</v>
      </c>
      <c r="E52" s="19">
        <v>-268</v>
      </c>
      <c r="F52" s="19">
        <v>-1764</v>
      </c>
      <c r="G52" s="44">
        <f>SUM(C52:F52)-707</f>
        <v>28152</v>
      </c>
      <c r="H52" s="9"/>
      <c r="I52" s="19">
        <v>29797</v>
      </c>
      <c r="J52" s="19"/>
      <c r="K52" s="19"/>
      <c r="L52" s="44">
        <f t="shared" si="8"/>
        <v>0</v>
      </c>
      <c r="M52" s="44">
        <f t="shared" si="9"/>
        <v>29797</v>
      </c>
      <c r="N52" s="44">
        <f t="shared" si="10"/>
        <v>-142</v>
      </c>
      <c r="O52" s="44">
        <f t="shared" si="11"/>
        <v>29655</v>
      </c>
      <c r="P52" s="44"/>
      <c r="Q52" s="44">
        <f t="shared" si="12"/>
        <v>-297</v>
      </c>
      <c r="R52" s="19"/>
      <c r="S52" s="19"/>
      <c r="T52" s="19"/>
      <c r="U52" s="44">
        <f t="shared" si="13"/>
        <v>29358</v>
      </c>
      <c r="V52" s="44">
        <f t="shared" si="14"/>
        <v>29358</v>
      </c>
      <c r="W52" s="44"/>
      <c r="X52" s="44"/>
      <c r="Y52" s="44">
        <f t="shared" si="15"/>
        <v>29358</v>
      </c>
      <c r="Z52" s="12"/>
      <c r="AA52" s="12"/>
      <c r="AB52" s="12"/>
      <c r="AC52" s="12"/>
      <c r="AD52" s="12"/>
    </row>
    <row r="53" spans="1:30" s="2" customFormat="1" ht="14.25">
      <c r="A53" s="16" t="s">
        <v>26</v>
      </c>
      <c r="B53" s="12"/>
      <c r="C53" s="11">
        <f>SUM(C46:C52)</f>
        <v>143161</v>
      </c>
      <c r="D53" s="11">
        <f>SUM(D46:D52)</f>
        <v>3585</v>
      </c>
      <c r="E53" s="11">
        <f>SUM(E46:E52)</f>
        <v>-366</v>
      </c>
      <c r="F53" s="11">
        <f>SUM(F46:F52)</f>
        <v>-5272</v>
      </c>
      <c r="G53" s="11">
        <f>SUM(G46:G52)</f>
        <v>140401</v>
      </c>
      <c r="H53" s="3"/>
      <c r="I53" s="11">
        <f aca="true" t="shared" si="16" ref="I53:O53">SUM(I46:I52)</f>
        <v>144656</v>
      </c>
      <c r="J53" s="11">
        <f t="shared" si="16"/>
        <v>0</v>
      </c>
      <c r="K53" s="11">
        <f t="shared" si="16"/>
        <v>0</v>
      </c>
      <c r="L53" s="11">
        <f t="shared" si="16"/>
        <v>0</v>
      </c>
      <c r="M53" s="11">
        <f t="shared" si="16"/>
        <v>144656</v>
      </c>
      <c r="N53" s="11">
        <f t="shared" si="16"/>
        <v>-689</v>
      </c>
      <c r="O53" s="11">
        <f t="shared" si="16"/>
        <v>143967</v>
      </c>
      <c r="P53" s="11"/>
      <c r="Q53" s="11">
        <f aca="true" t="shared" si="17" ref="Q53:Y53">SUM(Q46:Q52)</f>
        <v>-1440</v>
      </c>
      <c r="R53" s="11">
        <f>SUM(R46:R52)</f>
        <v>0</v>
      </c>
      <c r="S53" s="11">
        <f>SUM(S46:S52)</f>
        <v>5100</v>
      </c>
      <c r="T53" s="11"/>
      <c r="U53" s="11">
        <f t="shared" si="17"/>
        <v>147627</v>
      </c>
      <c r="V53" s="11">
        <f t="shared" si="17"/>
        <v>142527</v>
      </c>
      <c r="W53" s="11">
        <f t="shared" si="17"/>
        <v>0</v>
      </c>
      <c r="X53" s="11">
        <f t="shared" si="17"/>
        <v>5100</v>
      </c>
      <c r="Y53" s="11">
        <f t="shared" si="17"/>
        <v>147627</v>
      </c>
      <c r="Z53" s="12"/>
      <c r="AA53" s="12"/>
      <c r="AB53" s="12"/>
      <c r="AC53" s="12"/>
      <c r="AD53" s="12"/>
    </row>
    <row r="54" spans="1:30" s="2" customFormat="1" ht="14.25">
      <c r="A54" s="12"/>
      <c r="B54" s="12"/>
      <c r="C54" s="12"/>
      <c r="D54" s="12"/>
      <c r="E54" s="12"/>
      <c r="F54" s="12"/>
      <c r="G54" s="12"/>
      <c r="H54" s="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2" customFormat="1" ht="14.25">
      <c r="A55" s="12" t="s">
        <v>42</v>
      </c>
      <c r="B55" s="12"/>
      <c r="C55" s="15">
        <v>62337</v>
      </c>
      <c r="D55" s="12">
        <v>1711</v>
      </c>
      <c r="E55" s="12">
        <v>0</v>
      </c>
      <c r="F55" s="12">
        <v>-278</v>
      </c>
      <c r="G55" s="12">
        <f>SUM(C55:F55)</f>
        <v>63770</v>
      </c>
      <c r="H55" s="4"/>
      <c r="I55" s="12">
        <v>63770</v>
      </c>
      <c r="J55" s="12"/>
      <c r="K55" s="12"/>
      <c r="L55" s="12">
        <f>SUM(J55:K55)</f>
        <v>0</v>
      </c>
      <c r="M55" s="12">
        <f>+I55+L55</f>
        <v>63770</v>
      </c>
      <c r="N55" s="12">
        <f>ROUND(M55*$N$11,0)+1</f>
        <v>-303</v>
      </c>
      <c r="O55" s="12">
        <f>+M55+N55</f>
        <v>63467</v>
      </c>
      <c r="P55" s="12"/>
      <c r="Q55" s="12">
        <f>ROUND(O55*$Q$11,0)+1</f>
        <v>-634</v>
      </c>
      <c r="R55" s="12"/>
      <c r="S55" s="12"/>
      <c r="T55" s="12"/>
      <c r="U55" s="12">
        <f>SUM(O55:S55)</f>
        <v>62833</v>
      </c>
      <c r="V55" s="12">
        <f>+U55</f>
        <v>62833</v>
      </c>
      <c r="W55" s="12"/>
      <c r="X55" s="12"/>
      <c r="Y55" s="12">
        <f>SUM(V55:X55)</f>
        <v>62833</v>
      </c>
      <c r="Z55" s="12"/>
      <c r="AA55" s="12"/>
      <c r="AB55" s="12"/>
      <c r="AC55" s="12"/>
      <c r="AD55" s="12"/>
    </row>
    <row r="56" spans="1:30" s="2" customFormat="1" ht="14.25">
      <c r="A56" s="12" t="s">
        <v>43</v>
      </c>
      <c r="B56" s="12"/>
      <c r="C56" s="15">
        <v>6409</v>
      </c>
      <c r="D56" s="12">
        <v>0</v>
      </c>
      <c r="E56" s="12">
        <v>0</v>
      </c>
      <c r="F56" s="12">
        <v>-6409</v>
      </c>
      <c r="G56" s="12">
        <f>SUM(C56:F56)</f>
        <v>0</v>
      </c>
      <c r="H56" s="4"/>
      <c r="I56" s="12">
        <v>6500</v>
      </c>
      <c r="J56" s="12"/>
      <c r="K56" s="12"/>
      <c r="L56" s="12">
        <f>SUM(J56:K56)</f>
        <v>0</v>
      </c>
      <c r="M56" s="12">
        <f>+I56+L56</f>
        <v>6500</v>
      </c>
      <c r="N56" s="12">
        <f>ROUND(M56*$N$11,0)</f>
        <v>-31</v>
      </c>
      <c r="O56" s="12">
        <f>+M56+N56</f>
        <v>6469</v>
      </c>
      <c r="P56" s="12"/>
      <c r="Q56" s="12">
        <f>ROUND(O56*$Q$11,0)</f>
        <v>-65</v>
      </c>
      <c r="R56" s="12"/>
      <c r="S56" s="12"/>
      <c r="T56" s="12"/>
      <c r="U56" s="12">
        <f>SUM(O56:S56)</f>
        <v>6404</v>
      </c>
      <c r="V56" s="12">
        <f>+U56</f>
        <v>6404</v>
      </c>
      <c r="W56" s="12"/>
      <c r="X56" s="12"/>
      <c r="Y56" s="12">
        <f>SUM(V56:X56)</f>
        <v>6404</v>
      </c>
      <c r="Z56" s="12"/>
      <c r="AA56" s="12"/>
      <c r="AB56" s="12"/>
      <c r="AC56" s="12"/>
      <c r="AD56" s="12"/>
    </row>
    <row r="57" spans="1:30" s="2" customFormat="1" ht="14.25">
      <c r="A57" s="12"/>
      <c r="B57" s="12"/>
      <c r="C57" s="12"/>
      <c r="D57" s="12"/>
      <c r="E57" s="12"/>
      <c r="F57" s="12"/>
      <c r="G57" s="12"/>
      <c r="H57" s="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s="2" customFormat="1" ht="14.25">
      <c r="A58" s="16" t="s">
        <v>18</v>
      </c>
      <c r="B58" s="12"/>
      <c r="C58" s="11">
        <f>SUM(C53,C55:C56)</f>
        <v>211907</v>
      </c>
      <c r="D58" s="11">
        <f>SUM(D53,D55:D56)</f>
        <v>5296</v>
      </c>
      <c r="E58" s="11">
        <f>SUM(E53,E55:E56)</f>
        <v>-366</v>
      </c>
      <c r="F58" s="11">
        <f>SUM(F53,F55:F56)</f>
        <v>-11959</v>
      </c>
      <c r="G58" s="11">
        <f>SUM(G53,G55:G56)</f>
        <v>204171</v>
      </c>
      <c r="H58" s="3"/>
      <c r="I58" s="11">
        <f aca="true" t="shared" si="18" ref="I58:O58">SUM(I53,I55:I56)</f>
        <v>214926</v>
      </c>
      <c r="J58" s="11">
        <f t="shared" si="18"/>
        <v>0</v>
      </c>
      <c r="K58" s="11">
        <f t="shared" si="18"/>
        <v>0</v>
      </c>
      <c r="L58" s="11">
        <f t="shared" si="18"/>
        <v>0</v>
      </c>
      <c r="M58" s="11">
        <f t="shared" si="18"/>
        <v>214926</v>
      </c>
      <c r="N58" s="11">
        <f t="shared" si="18"/>
        <v>-1023</v>
      </c>
      <c r="O58" s="11">
        <f t="shared" si="18"/>
        <v>213903</v>
      </c>
      <c r="P58" s="11"/>
      <c r="Q58" s="11">
        <f>SUM(Q53,Q55:Q56)</f>
        <v>-2139</v>
      </c>
      <c r="R58" s="11">
        <f>SUM(R53,R55:R56)</f>
        <v>0</v>
      </c>
      <c r="S58" s="11">
        <f>SUM(S53,S55:S56)</f>
        <v>5100</v>
      </c>
      <c r="T58" s="11"/>
      <c r="U58" s="11">
        <f>SUM(U53,U55:U56)</f>
        <v>216864</v>
      </c>
      <c r="V58" s="11">
        <f>SUM(V53,V55:V56)</f>
        <v>211764</v>
      </c>
      <c r="W58" s="11">
        <f>SUM(W53,W55:W56)</f>
        <v>0</v>
      </c>
      <c r="X58" s="11">
        <f>SUM(X53,X55:X56)</f>
        <v>5100</v>
      </c>
      <c r="Y58" s="11">
        <f>SUM(Y53,Y55:Y56)</f>
        <v>216864</v>
      </c>
      <c r="Z58" s="12"/>
      <c r="AA58" s="12"/>
      <c r="AB58" s="12"/>
      <c r="AC58" s="12"/>
      <c r="AD58" s="12"/>
    </row>
    <row r="59" spans="1:30" s="2" customFormat="1" ht="15" thickBot="1">
      <c r="A59" s="17"/>
      <c r="B59" s="17"/>
      <c r="C59" s="18"/>
      <c r="D59" s="17"/>
      <c r="E59" s="17"/>
      <c r="F59" s="17"/>
      <c r="G59" s="17"/>
      <c r="H59" s="7"/>
      <c r="I59" s="17"/>
      <c r="J59" s="17"/>
      <c r="K59" s="17"/>
      <c r="L59" s="17"/>
      <c r="M59" s="17"/>
      <c r="N59" s="18">
        <f>ROUND($N$11*M58,0)</f>
        <v>-1023</v>
      </c>
      <c r="O59" s="17"/>
      <c r="P59" s="17"/>
      <c r="Q59" s="18">
        <f>ROUND(O58*$Q$11,0)</f>
        <v>-2139</v>
      </c>
      <c r="R59" s="17"/>
      <c r="S59" s="17"/>
      <c r="T59" s="17"/>
      <c r="U59" s="17"/>
      <c r="V59" s="17"/>
      <c r="W59" s="17"/>
      <c r="X59" s="17"/>
      <c r="Y59" s="17"/>
      <c r="Z59" s="12"/>
      <c r="AA59" s="12"/>
      <c r="AB59" s="12"/>
      <c r="AC59" s="12"/>
      <c r="AD59" s="12"/>
    </row>
    <row r="60" spans="1:30" s="2" customFormat="1" ht="15" thickTop="1">
      <c r="A60" s="12"/>
      <c r="B60" s="12"/>
      <c r="C60" s="12"/>
      <c r="D60" s="12"/>
      <c r="E60" s="12"/>
      <c r="F60" s="12"/>
      <c r="G60" s="12"/>
      <c r="H60" s="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s="2" customFormat="1" ht="14.25">
      <c r="A61" s="14" t="s">
        <v>44</v>
      </c>
      <c r="B61" s="12"/>
      <c r="C61" s="12"/>
      <c r="D61" s="12"/>
      <c r="E61" s="12"/>
      <c r="F61" s="12"/>
      <c r="G61" s="12"/>
      <c r="H61" s="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s="2" customFormat="1" ht="14.25">
      <c r="A62" s="12" t="s">
        <v>45</v>
      </c>
      <c r="B62" s="12"/>
      <c r="C62" s="15">
        <f>133130+293</f>
        <v>133423</v>
      </c>
      <c r="D62" s="12">
        <v>2565</v>
      </c>
      <c r="E62" s="12">
        <v>828</v>
      </c>
      <c r="F62" s="12">
        <v>-2175</v>
      </c>
      <c r="G62" s="12">
        <f>SUM(C62:F62)-293</f>
        <v>134348</v>
      </c>
      <c r="H62" s="4"/>
      <c r="I62" s="12">
        <v>138453</v>
      </c>
      <c r="J62" s="12"/>
      <c r="K62" s="12"/>
      <c r="L62" s="12">
        <f>SUM(J62:K62)</f>
        <v>0</v>
      </c>
      <c r="M62" s="12">
        <f>+I62+L62</f>
        <v>138453</v>
      </c>
      <c r="N62" s="12">
        <f>ROUND(M62*$N$11,0)</f>
        <v>-659</v>
      </c>
      <c r="O62" s="12">
        <f>+M62+N62</f>
        <v>137794</v>
      </c>
      <c r="P62" s="12"/>
      <c r="Q62" s="12">
        <f>ROUND(O62*$Q$11,0)</f>
        <v>-1378</v>
      </c>
      <c r="R62" s="12">
        <v>3670</v>
      </c>
      <c r="S62" s="12"/>
      <c r="T62" s="12"/>
      <c r="U62" s="12">
        <f>SUM(O62:S62)</f>
        <v>140086</v>
      </c>
      <c r="V62" s="12"/>
      <c r="W62" s="12">
        <f>+U62</f>
        <v>140086</v>
      </c>
      <c r="X62" s="12"/>
      <c r="Y62" s="12">
        <f>SUM(V62:X62)</f>
        <v>140086</v>
      </c>
      <c r="Z62" s="12"/>
      <c r="AA62" s="12"/>
      <c r="AB62" s="12"/>
      <c r="AC62" s="12"/>
      <c r="AD62" s="12"/>
    </row>
    <row r="63" spans="1:30" s="2" customFormat="1" ht="14.25">
      <c r="A63" s="12" t="s">
        <v>46</v>
      </c>
      <c r="B63" s="12"/>
      <c r="C63" s="15">
        <v>23999</v>
      </c>
      <c r="D63" s="12">
        <v>217</v>
      </c>
      <c r="E63" s="12">
        <v>0</v>
      </c>
      <c r="F63" s="12">
        <v>-67</v>
      </c>
      <c r="G63" s="12">
        <f>SUM(C63:F63)</f>
        <v>24149</v>
      </c>
      <c r="H63" s="4"/>
      <c r="I63" s="12">
        <v>24149</v>
      </c>
      <c r="J63" s="12"/>
      <c r="K63" s="12"/>
      <c r="L63" s="12">
        <f>SUM(J63:K63)</f>
        <v>0</v>
      </c>
      <c r="M63" s="12">
        <f>+I63+L63</f>
        <v>24149</v>
      </c>
      <c r="N63" s="12">
        <f>ROUND(M63*$N$11,0)</f>
        <v>-115</v>
      </c>
      <c r="O63" s="12">
        <f>+M63+N63</f>
        <v>24034</v>
      </c>
      <c r="P63" s="12"/>
      <c r="Q63" s="12">
        <f>ROUND(O63*$Q$11,0)</f>
        <v>-240</v>
      </c>
      <c r="R63" s="12"/>
      <c r="S63" s="12"/>
      <c r="T63" s="12"/>
      <c r="U63" s="12">
        <f>SUM(O63:S63)</f>
        <v>23794</v>
      </c>
      <c r="V63" s="12"/>
      <c r="W63" s="12">
        <f>+U63</f>
        <v>23794</v>
      </c>
      <c r="X63" s="12"/>
      <c r="Y63" s="12">
        <f>SUM(V63:X63)</f>
        <v>23794</v>
      </c>
      <c r="Z63" s="12"/>
      <c r="AA63" s="12"/>
      <c r="AB63" s="12"/>
      <c r="AC63" s="12"/>
      <c r="AD63" s="12"/>
    </row>
    <row r="64" spans="1:30" s="2" customFormat="1" ht="14.25">
      <c r="A64" s="12" t="s">
        <v>47</v>
      </c>
      <c r="B64" s="12"/>
      <c r="C64" s="15">
        <v>14570</v>
      </c>
      <c r="D64" s="12">
        <v>343</v>
      </c>
      <c r="E64" s="12">
        <v>0</v>
      </c>
      <c r="F64" s="12">
        <v>-485</v>
      </c>
      <c r="G64" s="12">
        <f>SUM(C64:F64)</f>
        <v>14428</v>
      </c>
      <c r="H64" s="4"/>
      <c r="I64" s="12">
        <v>14883</v>
      </c>
      <c r="J64" s="12"/>
      <c r="K64" s="12"/>
      <c r="L64" s="12">
        <f>SUM(J64:K64)</f>
        <v>0</v>
      </c>
      <c r="M64" s="12">
        <f>+I64+L64</f>
        <v>14883</v>
      </c>
      <c r="N64" s="12">
        <f>ROUND(M64*$N$11,0)</f>
        <v>-71</v>
      </c>
      <c r="O64" s="12">
        <f>+M64+N64</f>
        <v>14812</v>
      </c>
      <c r="P64" s="12"/>
      <c r="Q64" s="12">
        <f>ROUND(O64*$Q$11,0)</f>
        <v>-148</v>
      </c>
      <c r="R64" s="12"/>
      <c r="S64" s="12"/>
      <c r="T64" s="12"/>
      <c r="U64" s="12">
        <f>SUM(O64:S64)</f>
        <v>14664</v>
      </c>
      <c r="V64" s="12"/>
      <c r="W64" s="12">
        <f>+U64</f>
        <v>14664</v>
      </c>
      <c r="X64" s="12"/>
      <c r="Y64" s="12">
        <f>SUM(V64:X64)</f>
        <v>14664</v>
      </c>
      <c r="Z64" s="12"/>
      <c r="AA64" s="12"/>
      <c r="AB64" s="12"/>
      <c r="AC64" s="12"/>
      <c r="AD64" s="12"/>
    </row>
    <row r="65" spans="1:30" s="2" customFormat="1" ht="14.25">
      <c r="A65" s="12"/>
      <c r="B65" s="12"/>
      <c r="C65" s="12"/>
      <c r="D65" s="12"/>
      <c r="E65" s="12"/>
      <c r="F65" s="12"/>
      <c r="G65" s="12"/>
      <c r="H65" s="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2" customFormat="1" ht="14.25">
      <c r="A66" s="16" t="s">
        <v>18</v>
      </c>
      <c r="B66" s="12"/>
      <c r="C66" s="11">
        <f>SUM(C62:C64)</f>
        <v>171992</v>
      </c>
      <c r="D66" s="11">
        <f>SUM(D62:D64)</f>
        <v>3125</v>
      </c>
      <c r="E66" s="11">
        <f>SUM(E62:E64)</f>
        <v>828</v>
      </c>
      <c r="F66" s="11">
        <f>SUM(F62:F64)</f>
        <v>-2727</v>
      </c>
      <c r="G66" s="11">
        <f>SUM(G62:G64)</f>
        <v>172925</v>
      </c>
      <c r="H66" s="3"/>
      <c r="I66" s="11">
        <f aca="true" t="shared" si="19" ref="I66:O66">SUM(I62:I64)</f>
        <v>177485</v>
      </c>
      <c r="J66" s="11">
        <f t="shared" si="19"/>
        <v>0</v>
      </c>
      <c r="K66" s="11">
        <f t="shared" si="19"/>
        <v>0</v>
      </c>
      <c r="L66" s="11">
        <f t="shared" si="19"/>
        <v>0</v>
      </c>
      <c r="M66" s="11">
        <f t="shared" si="19"/>
        <v>177485</v>
      </c>
      <c r="N66" s="11">
        <f t="shared" si="19"/>
        <v>-845</v>
      </c>
      <c r="O66" s="11">
        <f t="shared" si="19"/>
        <v>176640</v>
      </c>
      <c r="P66" s="11"/>
      <c r="Q66" s="11">
        <f>SUM(Q62:Q64)</f>
        <v>-1766</v>
      </c>
      <c r="R66" s="11">
        <f>SUM(R62:R64)</f>
        <v>3670</v>
      </c>
      <c r="S66" s="11">
        <f>SUM(S62:S64)</f>
        <v>0</v>
      </c>
      <c r="T66" s="11"/>
      <c r="U66" s="11">
        <f>SUM(U62:U64)</f>
        <v>178544</v>
      </c>
      <c r="V66" s="11">
        <f>SUM(V62:V64)</f>
        <v>0</v>
      </c>
      <c r="W66" s="11">
        <f>SUM(W62:W64)</f>
        <v>178544</v>
      </c>
      <c r="X66" s="11">
        <f>SUM(X62:X64)</f>
        <v>0</v>
      </c>
      <c r="Y66" s="11">
        <f>SUM(Y62:Y64)</f>
        <v>178544</v>
      </c>
      <c r="Z66" s="12"/>
      <c r="AA66" s="12"/>
      <c r="AB66" s="12"/>
      <c r="AC66" s="12"/>
      <c r="AD66" s="12"/>
    </row>
    <row r="67" spans="1:30" s="2" customFormat="1" ht="15" thickBot="1">
      <c r="A67" s="17"/>
      <c r="B67" s="17"/>
      <c r="C67" s="18"/>
      <c r="D67" s="17"/>
      <c r="E67" s="17"/>
      <c r="F67" s="17"/>
      <c r="G67" s="17"/>
      <c r="H67" s="7"/>
      <c r="I67" s="17"/>
      <c r="J67" s="17"/>
      <c r="K67" s="17"/>
      <c r="L67" s="17"/>
      <c r="M67" s="17"/>
      <c r="N67" s="18">
        <f>ROUND($N$11*M66,0)</f>
        <v>-845</v>
      </c>
      <c r="O67" s="17"/>
      <c r="P67" s="17"/>
      <c r="Q67" s="18">
        <f>ROUND(O66*$Q$11,0)</f>
        <v>-1766</v>
      </c>
      <c r="R67" s="17"/>
      <c r="S67" s="17"/>
      <c r="T67" s="17"/>
      <c r="U67" s="17"/>
      <c r="V67" s="17"/>
      <c r="W67" s="17"/>
      <c r="X67" s="17"/>
      <c r="Y67" s="17"/>
      <c r="Z67" s="12"/>
      <c r="AA67" s="12"/>
      <c r="AB67" s="12"/>
      <c r="AC67" s="12"/>
      <c r="AD67" s="12"/>
    </row>
    <row r="68" spans="1:30" s="2" customFormat="1" ht="15" thickTop="1">
      <c r="A68" s="12"/>
      <c r="B68" s="12"/>
      <c r="C68" s="12"/>
      <c r="D68" s="12"/>
      <c r="E68" s="12"/>
      <c r="F68" s="12"/>
      <c r="G68" s="12"/>
      <c r="H68" s="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2"/>
      <c r="AA68" s="12"/>
      <c r="AB68" s="12"/>
      <c r="AC68" s="12"/>
      <c r="AD68" s="12"/>
    </row>
    <row r="69" spans="1:30" s="2" customFormat="1" ht="14.25">
      <c r="A69" s="14" t="s">
        <v>48</v>
      </c>
      <c r="B69" s="12"/>
      <c r="C69" s="12"/>
      <c r="D69" s="12"/>
      <c r="E69" s="12"/>
      <c r="F69" s="12"/>
      <c r="G69" s="12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2"/>
      <c r="AA69" s="12"/>
      <c r="AB69" s="12"/>
      <c r="AC69" s="12"/>
      <c r="AD69" s="12"/>
    </row>
    <row r="70" spans="1:30" s="2" customFormat="1" ht="14.25">
      <c r="A70" s="12" t="s">
        <v>49</v>
      </c>
      <c r="B70" s="12"/>
      <c r="C70" s="15">
        <v>22714</v>
      </c>
      <c r="D70" s="12">
        <v>256</v>
      </c>
      <c r="E70" s="12">
        <v>0</v>
      </c>
      <c r="F70" s="12">
        <v>2267</v>
      </c>
      <c r="G70" s="12">
        <f>SUM(C70:F70)</f>
        <v>25237</v>
      </c>
      <c r="H70" s="4"/>
      <c r="I70" s="12">
        <v>25237</v>
      </c>
      <c r="J70" s="12"/>
      <c r="K70" s="12"/>
      <c r="L70" s="12">
        <f>SUM(J70:K70)</f>
        <v>0</v>
      </c>
      <c r="M70" s="12">
        <f>+I70+L70</f>
        <v>25237</v>
      </c>
      <c r="N70" s="12">
        <f>ROUND(M70*$N$11,0)</f>
        <v>-120</v>
      </c>
      <c r="O70" s="12">
        <f>+M70+N70</f>
        <v>25117</v>
      </c>
      <c r="P70" s="12"/>
      <c r="Q70" s="12">
        <f>ROUND(O70*$Q$11,0)</f>
        <v>-251</v>
      </c>
      <c r="R70" s="12"/>
      <c r="S70" s="12"/>
      <c r="T70" s="12"/>
      <c r="U70" s="12">
        <f>SUM(O70:S70)</f>
        <v>24866</v>
      </c>
      <c r="V70" s="12">
        <f>+U70</f>
        <v>24866</v>
      </c>
      <c r="W70" s="12"/>
      <c r="X70" s="12"/>
      <c r="Y70" s="12">
        <f>SUM(V70:X70)</f>
        <v>24866</v>
      </c>
      <c r="Z70" s="12"/>
      <c r="AA70" s="12"/>
      <c r="AB70" s="12"/>
      <c r="AC70" s="12"/>
      <c r="AD70" s="12"/>
    </row>
    <row r="71" spans="1:30" s="2" customFormat="1" ht="14.25">
      <c r="A71" s="12" t="s">
        <v>50</v>
      </c>
      <c r="B71" s="12"/>
      <c r="C71" s="15">
        <v>16989</v>
      </c>
      <c r="D71" s="12">
        <v>185</v>
      </c>
      <c r="E71" s="12">
        <v>0</v>
      </c>
      <c r="F71" s="12">
        <v>-21</v>
      </c>
      <c r="G71" s="12">
        <f>SUM(C71:F71)</f>
        <v>17153</v>
      </c>
      <c r="H71" s="4"/>
      <c r="I71" s="12">
        <v>17153</v>
      </c>
      <c r="J71" s="12"/>
      <c r="K71" s="12"/>
      <c r="L71" s="12">
        <f>SUM(J71:K71)</f>
        <v>0</v>
      </c>
      <c r="M71" s="12">
        <f>+I71+L71</f>
        <v>17153</v>
      </c>
      <c r="N71" s="12">
        <f>ROUND(M71*$N$11,0)</f>
        <v>-82</v>
      </c>
      <c r="O71" s="12">
        <f>+M71+N71</f>
        <v>17071</v>
      </c>
      <c r="P71" s="12"/>
      <c r="Q71" s="12">
        <f>ROUND(O71*$Q$11,0)</f>
        <v>-171</v>
      </c>
      <c r="R71" s="12"/>
      <c r="S71" s="12"/>
      <c r="T71" s="12"/>
      <c r="U71" s="12">
        <f>SUM(O71:S71)</f>
        <v>16900</v>
      </c>
      <c r="V71" s="12">
        <f>+U71</f>
        <v>16900</v>
      </c>
      <c r="W71" s="12"/>
      <c r="X71" s="12"/>
      <c r="Y71" s="12">
        <f>SUM(V71:X71)</f>
        <v>16900</v>
      </c>
      <c r="Z71" s="12"/>
      <c r="AA71" s="12"/>
      <c r="AB71" s="12"/>
      <c r="AC71" s="12"/>
      <c r="AD71" s="12"/>
    </row>
    <row r="72" spans="1:30" s="2" customFormat="1" ht="14.25">
      <c r="A72" s="12" t="s">
        <v>51</v>
      </c>
      <c r="B72" s="12"/>
      <c r="C72" s="15">
        <v>4670</v>
      </c>
      <c r="D72" s="12">
        <v>34</v>
      </c>
      <c r="E72" s="12">
        <v>0</v>
      </c>
      <c r="F72" s="12">
        <v>673</v>
      </c>
      <c r="G72" s="12">
        <f>SUM(C72:F72)</f>
        <v>5377</v>
      </c>
      <c r="H72" s="4"/>
      <c r="I72" s="12">
        <v>4697</v>
      </c>
      <c r="J72" s="12"/>
      <c r="K72" s="12"/>
      <c r="L72" s="12">
        <f>SUM(J72:K72)</f>
        <v>0</v>
      </c>
      <c r="M72" s="12">
        <f>+I72+L72</f>
        <v>4697</v>
      </c>
      <c r="N72" s="12">
        <f>ROUND(M72*$N$11,0)</f>
        <v>-22</v>
      </c>
      <c r="O72" s="12">
        <f>+M72+N72</f>
        <v>4675</v>
      </c>
      <c r="P72" s="12"/>
      <c r="Q72" s="12">
        <f>ROUND(O72*$Q$11,0)</f>
        <v>-47</v>
      </c>
      <c r="R72" s="12"/>
      <c r="S72" s="12"/>
      <c r="T72" s="12"/>
      <c r="U72" s="12">
        <f>SUM(O72:S72)</f>
        <v>4628</v>
      </c>
      <c r="V72" s="12">
        <f>+U72</f>
        <v>4628</v>
      </c>
      <c r="W72" s="12"/>
      <c r="X72" s="12"/>
      <c r="Y72" s="12">
        <f>SUM(V72:X72)</f>
        <v>4628</v>
      </c>
      <c r="Z72" s="12"/>
      <c r="AA72" s="12"/>
      <c r="AB72" s="12"/>
      <c r="AC72" s="12"/>
      <c r="AD72" s="12"/>
    </row>
    <row r="73" spans="1:30" s="2" customFormat="1" ht="14.25">
      <c r="A73" s="12"/>
      <c r="B73" s="12"/>
      <c r="C73" s="12"/>
      <c r="D73" s="12"/>
      <c r="E73" s="12"/>
      <c r="F73" s="12"/>
      <c r="G73" s="12"/>
      <c r="H73" s="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2" customFormat="1" ht="14.25">
      <c r="A74" s="16" t="s">
        <v>18</v>
      </c>
      <c r="B74" s="12"/>
      <c r="C74" s="11">
        <f>SUM(C70:C72)</f>
        <v>44373</v>
      </c>
      <c r="D74" s="11">
        <f>SUM(D70:D72)</f>
        <v>475</v>
      </c>
      <c r="E74" s="11">
        <f>SUM(E70:E72)</f>
        <v>0</v>
      </c>
      <c r="F74" s="11">
        <f>SUM(F70:F72)</f>
        <v>2919</v>
      </c>
      <c r="G74" s="11">
        <f>SUM(G70:G72)</f>
        <v>47767</v>
      </c>
      <c r="H74" s="3"/>
      <c r="I74" s="11">
        <f aca="true" t="shared" si="20" ref="I74:O74">SUM(I70:I72)</f>
        <v>47087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47087</v>
      </c>
      <c r="N74" s="11">
        <f t="shared" si="20"/>
        <v>-224</v>
      </c>
      <c r="O74" s="11">
        <f t="shared" si="20"/>
        <v>46863</v>
      </c>
      <c r="P74" s="11"/>
      <c r="Q74" s="11">
        <f>SUM(Q70:Q72)</f>
        <v>-469</v>
      </c>
      <c r="R74" s="11">
        <f>SUM(R70:R72)</f>
        <v>0</v>
      </c>
      <c r="S74" s="11">
        <f>SUM(S70:S72)</f>
        <v>0</v>
      </c>
      <c r="T74" s="11"/>
      <c r="U74" s="11">
        <f>SUM(U70:U72)</f>
        <v>46394</v>
      </c>
      <c r="V74" s="11">
        <f>SUM(V70:V72)</f>
        <v>46394</v>
      </c>
      <c r="W74" s="11">
        <f>SUM(W70:W72)</f>
        <v>0</v>
      </c>
      <c r="X74" s="11">
        <f>SUM(X70:X72)</f>
        <v>0</v>
      </c>
      <c r="Y74" s="11">
        <f>SUM(Y70:Y72)</f>
        <v>46394</v>
      </c>
      <c r="Z74" s="12"/>
      <c r="AA74" s="12"/>
      <c r="AB74" s="12"/>
      <c r="AC74" s="12"/>
      <c r="AD74" s="12"/>
    </row>
    <row r="75" spans="1:30" s="2" customFormat="1" ht="15" thickBot="1">
      <c r="A75" s="17"/>
      <c r="B75" s="17"/>
      <c r="C75" s="17"/>
      <c r="D75" s="17"/>
      <c r="E75" s="17"/>
      <c r="F75" s="17"/>
      <c r="G75" s="17"/>
      <c r="H75" s="7"/>
      <c r="I75" s="17"/>
      <c r="J75" s="17"/>
      <c r="K75" s="17"/>
      <c r="L75" s="17"/>
      <c r="M75" s="17"/>
      <c r="N75" s="18">
        <f>ROUND($N$11*M74,0)</f>
        <v>-224</v>
      </c>
      <c r="O75" s="17"/>
      <c r="P75" s="17"/>
      <c r="Q75" s="18">
        <f>ROUND(O74*$Q$11,0)</f>
        <v>-469</v>
      </c>
      <c r="R75" s="17"/>
      <c r="S75" s="17"/>
      <c r="T75" s="17"/>
      <c r="U75" s="17"/>
      <c r="V75" s="17"/>
      <c r="W75" s="17"/>
      <c r="X75" s="17"/>
      <c r="Y75" s="17"/>
      <c r="Z75" s="12"/>
      <c r="AA75" s="12"/>
      <c r="AB75" s="12"/>
      <c r="AC75" s="12"/>
      <c r="AD75" s="12"/>
    </row>
    <row r="76" spans="1:30" s="2" customFormat="1" ht="15" thickTop="1">
      <c r="A76" s="12"/>
      <c r="B76" s="12"/>
      <c r="C76" s="12"/>
      <c r="D76" s="12"/>
      <c r="E76" s="12"/>
      <c r="F76" s="12"/>
      <c r="G76" s="12"/>
      <c r="H76" s="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2"/>
      <c r="AA76" s="12"/>
      <c r="AB76" s="12"/>
      <c r="AC76" s="12"/>
      <c r="AD76" s="12"/>
    </row>
    <row r="77" spans="1:30" s="2" customFormat="1" ht="14.25">
      <c r="A77" s="14" t="s">
        <v>52</v>
      </c>
      <c r="B77" s="12"/>
      <c r="C77" s="12"/>
      <c r="D77" s="12"/>
      <c r="E77" s="12"/>
      <c r="F77" s="12"/>
      <c r="G77" s="12"/>
      <c r="H77" s="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2" customFormat="1" ht="14.25">
      <c r="A78" s="12" t="s">
        <v>53</v>
      </c>
      <c r="B78" s="12"/>
      <c r="C78" s="15">
        <v>64636</v>
      </c>
      <c r="D78" s="12">
        <v>582</v>
      </c>
      <c r="E78" s="12">
        <v>0</v>
      </c>
      <c r="F78" s="12">
        <v>6171</v>
      </c>
      <c r="G78" s="12">
        <f>SUM(C78:F78)</f>
        <v>71389</v>
      </c>
      <c r="H78" s="4"/>
      <c r="I78" s="12">
        <v>69389</v>
      </c>
      <c r="J78" s="12"/>
      <c r="K78" s="12"/>
      <c r="L78" s="12">
        <f>SUM(J78:K78)</f>
        <v>0</v>
      </c>
      <c r="M78" s="12">
        <f>+I78+L78</f>
        <v>69389</v>
      </c>
      <c r="N78" s="12">
        <f>ROUND(M78*$N$11,0)</f>
        <v>-330</v>
      </c>
      <c r="O78" s="12">
        <f>+M78+N78</f>
        <v>69059</v>
      </c>
      <c r="P78" s="12"/>
      <c r="Q78" s="12">
        <f>ROUND(O78*$Q$11,0)</f>
        <v>-691</v>
      </c>
      <c r="R78" s="12"/>
      <c r="S78" s="12"/>
      <c r="T78" s="12"/>
      <c r="U78" s="12">
        <f>SUM(O78:S78)</f>
        <v>68368</v>
      </c>
      <c r="V78" s="12">
        <f>+U78</f>
        <v>68368</v>
      </c>
      <c r="W78" s="12"/>
      <c r="X78" s="12"/>
      <c r="Y78" s="12">
        <f>SUM(V78:X78)</f>
        <v>68368</v>
      </c>
      <c r="Z78" s="12"/>
      <c r="AA78" s="12"/>
      <c r="AB78" s="12"/>
      <c r="AC78" s="12"/>
      <c r="AD78" s="12"/>
    </row>
    <row r="79" spans="1:30" s="2" customFormat="1" ht="14.25">
      <c r="A79" s="12" t="s">
        <v>54</v>
      </c>
      <c r="B79" s="12"/>
      <c r="C79" s="15">
        <v>948</v>
      </c>
      <c r="D79" s="12">
        <v>0</v>
      </c>
      <c r="E79" s="12">
        <v>0</v>
      </c>
      <c r="F79" s="12">
        <v>0</v>
      </c>
      <c r="G79" s="12">
        <f>SUM(C79:F79)</f>
        <v>948</v>
      </c>
      <c r="H79" s="4"/>
      <c r="I79" s="12">
        <v>948</v>
      </c>
      <c r="J79" s="12"/>
      <c r="K79" s="12"/>
      <c r="L79" s="12">
        <f>SUM(J79:K79)</f>
        <v>0</v>
      </c>
      <c r="M79" s="12">
        <f>+I79+L79</f>
        <v>948</v>
      </c>
      <c r="N79" s="12">
        <f>ROUND(M79*$N$11,0)</f>
        <v>-5</v>
      </c>
      <c r="O79" s="12">
        <f>+M79+N79</f>
        <v>943</v>
      </c>
      <c r="P79" s="12"/>
      <c r="Q79" s="12">
        <f>ROUND(O79*$Q$11,0)</f>
        <v>-9</v>
      </c>
      <c r="R79" s="12"/>
      <c r="S79" s="12"/>
      <c r="T79" s="12"/>
      <c r="U79" s="12">
        <f>SUM(O79:S79)</f>
        <v>934</v>
      </c>
      <c r="V79" s="12">
        <f>+U79</f>
        <v>934</v>
      </c>
      <c r="W79" s="12"/>
      <c r="X79" s="12"/>
      <c r="Y79" s="12">
        <f>SUM(V79:X79)</f>
        <v>934</v>
      </c>
      <c r="Z79" s="12"/>
      <c r="AA79" s="12"/>
      <c r="AB79" s="12"/>
      <c r="AC79" s="12"/>
      <c r="AD79" s="12"/>
    </row>
    <row r="80" spans="1:30" s="2" customFormat="1" ht="14.25">
      <c r="A80" s="12"/>
      <c r="B80" s="12"/>
      <c r="C80" s="12"/>
      <c r="D80" s="12"/>
      <c r="E80" s="12"/>
      <c r="F80" s="12"/>
      <c r="G80" s="12"/>
      <c r="H80" s="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2" customFormat="1" ht="14.25">
      <c r="A81" s="16" t="s">
        <v>18</v>
      </c>
      <c r="B81" s="12"/>
      <c r="C81" s="11">
        <f>SUM(C78:C79)</f>
        <v>65584</v>
      </c>
      <c r="D81" s="11">
        <f>SUM(D78:D79)</f>
        <v>582</v>
      </c>
      <c r="E81" s="11">
        <f>SUM(E78:E79)</f>
        <v>0</v>
      </c>
      <c r="F81" s="11">
        <f>SUM(F78:F79)</f>
        <v>6171</v>
      </c>
      <c r="G81" s="11">
        <f>SUM(G78:G79)</f>
        <v>72337</v>
      </c>
      <c r="H81" s="3"/>
      <c r="I81" s="11">
        <f aca="true" t="shared" si="21" ref="I81:O81">SUM(I78:I79)</f>
        <v>70337</v>
      </c>
      <c r="J81" s="11">
        <f t="shared" si="21"/>
        <v>0</v>
      </c>
      <c r="K81" s="11">
        <f t="shared" si="21"/>
        <v>0</v>
      </c>
      <c r="L81" s="11">
        <f t="shared" si="21"/>
        <v>0</v>
      </c>
      <c r="M81" s="11">
        <f t="shared" si="21"/>
        <v>70337</v>
      </c>
      <c r="N81" s="11">
        <f t="shared" si="21"/>
        <v>-335</v>
      </c>
      <c r="O81" s="11">
        <f t="shared" si="21"/>
        <v>70002</v>
      </c>
      <c r="P81" s="11"/>
      <c r="Q81" s="11">
        <f>SUM(Q78:Q79)</f>
        <v>-700</v>
      </c>
      <c r="R81" s="11">
        <f>SUM(R78:R79)</f>
        <v>0</v>
      </c>
      <c r="S81" s="11">
        <f>SUM(S78:S79)</f>
        <v>0</v>
      </c>
      <c r="T81" s="11"/>
      <c r="U81" s="11">
        <f>SUM(U78:U79)</f>
        <v>69302</v>
      </c>
      <c r="V81" s="11">
        <f>SUM(V78:V79)</f>
        <v>69302</v>
      </c>
      <c r="W81" s="11">
        <f>SUM(W78:W79)</f>
        <v>0</v>
      </c>
      <c r="X81" s="11">
        <f>SUM(X78:X79)</f>
        <v>0</v>
      </c>
      <c r="Y81" s="11">
        <f>SUM(Y78:Y79)</f>
        <v>69302</v>
      </c>
      <c r="Z81" s="12"/>
      <c r="AA81" s="12"/>
      <c r="AB81" s="12"/>
      <c r="AC81" s="12"/>
      <c r="AD81" s="12"/>
    </row>
    <row r="82" spans="1:30" s="2" customFormat="1" ht="15" thickBot="1">
      <c r="A82" s="17"/>
      <c r="B82" s="17"/>
      <c r="C82" s="18"/>
      <c r="D82" s="17"/>
      <c r="E82" s="17"/>
      <c r="F82" s="17"/>
      <c r="G82" s="17"/>
      <c r="H82" s="7"/>
      <c r="I82" s="17"/>
      <c r="J82" s="17"/>
      <c r="K82" s="17"/>
      <c r="L82" s="17"/>
      <c r="M82" s="17"/>
      <c r="N82" s="18">
        <f>ROUND($N$11*M81,0)</f>
        <v>-335</v>
      </c>
      <c r="O82" s="17"/>
      <c r="P82" s="17"/>
      <c r="Q82" s="18">
        <f>ROUND(O81*$Q$11,0)</f>
        <v>-700</v>
      </c>
      <c r="R82" s="17"/>
      <c r="S82" s="17"/>
      <c r="T82" s="17"/>
      <c r="U82" s="17"/>
      <c r="V82" s="17"/>
      <c r="W82" s="17"/>
      <c r="X82" s="17"/>
      <c r="Y82" s="17"/>
      <c r="Z82" s="12"/>
      <c r="AA82" s="12"/>
      <c r="AB82" s="12"/>
      <c r="AC82" s="12"/>
      <c r="AD82" s="12"/>
    </row>
    <row r="83" spans="1:30" s="2" customFormat="1" ht="15" thickTop="1">
      <c r="A83" s="12"/>
      <c r="B83" s="12"/>
      <c r="C83" s="12"/>
      <c r="D83" s="12"/>
      <c r="E83" s="12"/>
      <c r="F83" s="12"/>
      <c r="G83" s="12"/>
      <c r="H83" s="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2" customFormat="1" ht="14.25">
      <c r="A84" s="14" t="s">
        <v>55</v>
      </c>
      <c r="B84" s="12"/>
      <c r="C84" s="12"/>
      <c r="D84" s="12"/>
      <c r="E84" s="12"/>
      <c r="F84" s="12"/>
      <c r="G84" s="12"/>
      <c r="H84" s="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2" customFormat="1" ht="14.25">
      <c r="A85" s="12" t="s">
        <v>56</v>
      </c>
      <c r="B85" s="12"/>
      <c r="C85" s="15">
        <v>71367</v>
      </c>
      <c r="D85" s="12">
        <v>1509</v>
      </c>
      <c r="E85" s="12">
        <v>0</v>
      </c>
      <c r="F85" s="12">
        <v>-1471</v>
      </c>
      <c r="G85" s="12">
        <f>SUM(C85:F85)</f>
        <v>71405</v>
      </c>
      <c r="H85" s="4"/>
      <c r="I85" s="12">
        <v>72877</v>
      </c>
      <c r="J85" s="12"/>
      <c r="K85" s="12"/>
      <c r="L85" s="12">
        <f>SUM(J85:K85)</f>
        <v>0</v>
      </c>
      <c r="M85" s="12">
        <f>+I85+L85</f>
        <v>72877</v>
      </c>
      <c r="N85" s="12">
        <f>ROUND(M85*$N$11,0)</f>
        <v>-347</v>
      </c>
      <c r="O85" s="12">
        <f>+M85+N85</f>
        <v>72530</v>
      </c>
      <c r="P85" s="12"/>
      <c r="Q85" s="12">
        <f>ROUND(O85*$Q$11,0)</f>
        <v>-725</v>
      </c>
      <c r="R85" s="12"/>
      <c r="S85" s="12"/>
      <c r="T85" s="12"/>
      <c r="U85" s="12">
        <f>SUM(O85:S85)</f>
        <v>71805</v>
      </c>
      <c r="V85" s="12">
        <f>+U85</f>
        <v>71805</v>
      </c>
      <c r="W85" s="12"/>
      <c r="X85" s="12"/>
      <c r="Y85" s="12">
        <f>SUM(V85:X85)</f>
        <v>71805</v>
      </c>
      <c r="Z85" s="12"/>
      <c r="AA85" s="12"/>
      <c r="AB85" s="12"/>
      <c r="AC85" s="12"/>
      <c r="AD85" s="12"/>
    </row>
    <row r="86" spans="1:30" s="2" customFormat="1" ht="14.25">
      <c r="A86" s="12" t="s">
        <v>57</v>
      </c>
      <c r="B86" s="12"/>
      <c r="C86" s="15">
        <v>19820</v>
      </c>
      <c r="D86" s="12">
        <v>77</v>
      </c>
      <c r="E86" s="12">
        <v>0</v>
      </c>
      <c r="F86" s="12">
        <v>0</v>
      </c>
      <c r="G86" s="12">
        <f>SUM(C86:F86)</f>
        <v>19897</v>
      </c>
      <c r="H86" s="4"/>
      <c r="I86" s="12">
        <v>19897</v>
      </c>
      <c r="J86" s="12"/>
      <c r="K86" s="12"/>
      <c r="L86" s="12">
        <f>SUM(J86:K86)</f>
        <v>0</v>
      </c>
      <c r="M86" s="12">
        <f>+I86+L86</f>
        <v>19897</v>
      </c>
      <c r="N86" s="12">
        <f>ROUND(M86*$N$11,0)</f>
        <v>-95</v>
      </c>
      <c r="O86" s="12">
        <f>+M86+N86</f>
        <v>19802</v>
      </c>
      <c r="P86" s="12"/>
      <c r="Q86" s="12">
        <f>ROUND(O86*$Q$11,0)</f>
        <v>-198</v>
      </c>
      <c r="R86" s="12"/>
      <c r="S86" s="12"/>
      <c r="T86" s="12"/>
      <c r="U86" s="12">
        <f>SUM(O86:S86)</f>
        <v>19604</v>
      </c>
      <c r="V86" s="12"/>
      <c r="W86" s="12">
        <f>+U86</f>
        <v>19604</v>
      </c>
      <c r="X86" s="12"/>
      <c r="Y86" s="12">
        <f>SUM(V86:X86)</f>
        <v>19604</v>
      </c>
      <c r="Z86" s="12"/>
      <c r="AA86" s="12"/>
      <c r="AB86" s="12"/>
      <c r="AC86" s="12"/>
      <c r="AD86" s="12"/>
    </row>
    <row r="87" spans="1:30" s="2" customFormat="1" ht="14.25">
      <c r="A87" s="12" t="s">
        <v>58</v>
      </c>
      <c r="B87" s="12"/>
      <c r="C87" s="15">
        <v>3424</v>
      </c>
      <c r="D87" s="12">
        <v>0</v>
      </c>
      <c r="E87" s="12">
        <v>0</v>
      </c>
      <c r="F87" s="12">
        <v>0</v>
      </c>
      <c r="G87" s="12">
        <f>SUM(C87:F87)</f>
        <v>3424</v>
      </c>
      <c r="H87" s="4"/>
      <c r="I87" s="12">
        <v>3423</v>
      </c>
      <c r="J87" s="12"/>
      <c r="K87" s="12"/>
      <c r="L87" s="12">
        <f>SUM(J87:K87)</f>
        <v>0</v>
      </c>
      <c r="M87" s="12">
        <f>+I87+L87</f>
        <v>3423</v>
      </c>
      <c r="N87" s="12">
        <f>ROUND(M87*$N$11,0)</f>
        <v>-16</v>
      </c>
      <c r="O87" s="12">
        <f>+M87+N87</f>
        <v>3407</v>
      </c>
      <c r="P87" s="12"/>
      <c r="Q87" s="12">
        <f>ROUND(O87*$Q$11,0)</f>
        <v>-34</v>
      </c>
      <c r="R87" s="12"/>
      <c r="S87" s="12"/>
      <c r="T87" s="12"/>
      <c r="U87" s="12">
        <f>SUM(O87:S87)</f>
        <v>3373</v>
      </c>
      <c r="V87" s="12"/>
      <c r="W87" s="12">
        <f>+U87-X87</f>
        <v>1796</v>
      </c>
      <c r="X87" s="12">
        <f>1600-8-15</f>
        <v>1577</v>
      </c>
      <c r="Y87" s="12">
        <f>SUM(V87:X87)</f>
        <v>3373</v>
      </c>
      <c r="Z87" s="12"/>
      <c r="AA87" s="12"/>
      <c r="AB87" s="12"/>
      <c r="AC87" s="12"/>
      <c r="AD87" s="12"/>
    </row>
    <row r="88" spans="1:30" s="2" customFormat="1" ht="14.25">
      <c r="A88" s="12"/>
      <c r="B88" s="12"/>
      <c r="C88" s="12"/>
      <c r="D88" s="12"/>
      <c r="E88" s="12"/>
      <c r="F88" s="12"/>
      <c r="G88" s="12"/>
      <c r="H88" s="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2" customFormat="1" ht="14.25">
      <c r="A89" s="16" t="s">
        <v>18</v>
      </c>
      <c r="B89" s="12"/>
      <c r="C89" s="11">
        <f>C85+C86+C87</f>
        <v>94611</v>
      </c>
      <c r="D89" s="11">
        <f>D85+D86+D87</f>
        <v>1586</v>
      </c>
      <c r="E89" s="11">
        <f>E85+E86+E87</f>
        <v>0</v>
      </c>
      <c r="F89" s="11">
        <f>F85+F86+F87</f>
        <v>-1471</v>
      </c>
      <c r="G89" s="11">
        <f>G85+G86+G87</f>
        <v>94726</v>
      </c>
      <c r="H89" s="3"/>
      <c r="I89" s="11">
        <f aca="true" t="shared" si="22" ref="I89:O89">I85+I86+I87</f>
        <v>96197</v>
      </c>
      <c r="J89" s="11">
        <f t="shared" si="22"/>
        <v>0</v>
      </c>
      <c r="K89" s="11">
        <f t="shared" si="22"/>
        <v>0</v>
      </c>
      <c r="L89" s="11">
        <f t="shared" si="22"/>
        <v>0</v>
      </c>
      <c r="M89" s="11">
        <f t="shared" si="22"/>
        <v>96197</v>
      </c>
      <c r="N89" s="11">
        <f t="shared" si="22"/>
        <v>-458</v>
      </c>
      <c r="O89" s="11">
        <f t="shared" si="22"/>
        <v>95739</v>
      </c>
      <c r="P89" s="11"/>
      <c r="Q89" s="11">
        <f>Q85+Q86+Q87</f>
        <v>-957</v>
      </c>
      <c r="R89" s="11">
        <f>R85+R86+R87</f>
        <v>0</v>
      </c>
      <c r="S89" s="11">
        <f>S85+S86+S87</f>
        <v>0</v>
      </c>
      <c r="T89" s="11"/>
      <c r="U89" s="11">
        <f>U85+U86+U87</f>
        <v>94782</v>
      </c>
      <c r="V89" s="11">
        <f>V85+V86+V87</f>
        <v>71805</v>
      </c>
      <c r="W89" s="11">
        <f>W85+W86+W87</f>
        <v>21400</v>
      </c>
      <c r="X89" s="11">
        <f>X85+X86+X87</f>
        <v>1577</v>
      </c>
      <c r="Y89" s="11">
        <f>Y85+Y86+Y87</f>
        <v>94782</v>
      </c>
      <c r="Z89" s="12"/>
      <c r="AA89" s="12"/>
      <c r="AB89" s="12"/>
      <c r="AC89" s="12"/>
      <c r="AD89" s="12"/>
    </row>
    <row r="90" spans="1:30" s="2" customFormat="1" ht="15" thickBot="1">
      <c r="A90" s="20"/>
      <c r="B90" s="20"/>
      <c r="C90" s="13"/>
      <c r="D90" s="20"/>
      <c r="E90" s="20"/>
      <c r="F90" s="20"/>
      <c r="G90" s="20"/>
      <c r="H90" s="10"/>
      <c r="I90" s="20"/>
      <c r="J90" s="20"/>
      <c r="K90" s="20"/>
      <c r="L90" s="20"/>
      <c r="M90" s="20"/>
      <c r="N90" s="13">
        <f>ROUND($N$11*M89,0)</f>
        <v>-458</v>
      </c>
      <c r="O90" s="20"/>
      <c r="P90" s="20"/>
      <c r="Q90" s="18">
        <f>ROUND(O89*$Q$11,0)</f>
        <v>-957</v>
      </c>
      <c r="R90" s="20"/>
      <c r="S90" s="20"/>
      <c r="T90" s="20"/>
      <c r="U90" s="20"/>
      <c r="V90" s="20"/>
      <c r="W90" s="20"/>
      <c r="X90" s="20"/>
      <c r="Y90" s="20"/>
      <c r="Z90" s="12"/>
      <c r="AA90" s="12"/>
      <c r="AB90" s="12"/>
      <c r="AC90" s="12"/>
      <c r="AD90" s="12"/>
    </row>
    <row r="91" spans="1:30" s="2" customFormat="1" ht="14.25">
      <c r="A91" s="12"/>
      <c r="B91" s="12"/>
      <c r="C91" s="12"/>
      <c r="D91" s="12"/>
      <c r="E91" s="12"/>
      <c r="F91" s="12"/>
      <c r="G91" s="12"/>
      <c r="H91" s="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2" customFormat="1" ht="15">
      <c r="A92" s="30" t="s">
        <v>59</v>
      </c>
      <c r="B92" s="12"/>
      <c r="C92" s="14">
        <f>SUM(C19,C42,C58,C66,C74,C81,C89)</f>
        <v>946000</v>
      </c>
      <c r="D92" s="14">
        <f>SUM(D19,D42,D58,D66,D74,D81,D89)</f>
        <v>17055</v>
      </c>
      <c r="E92" s="14">
        <f>SUM(E19,E42,E58,E66,E74,E81,E89)</f>
        <v>0</v>
      </c>
      <c r="F92" s="14">
        <f>SUM(F19,F42,F58,F66,F74,F81,F89)</f>
        <v>-19004</v>
      </c>
      <c r="G92" s="14">
        <f>SUM(G19,G42,G58,G66,G74,G81,G89)</f>
        <v>933515</v>
      </c>
      <c r="H92" s="5"/>
      <c r="I92" s="14">
        <f aca="true" t="shared" si="23" ref="I92:O92">SUM(I19,I42,I58,I66,I74,I81,I89)</f>
        <v>976035</v>
      </c>
      <c r="J92" s="14">
        <f t="shared" si="23"/>
        <v>2000</v>
      </c>
      <c r="K92" s="14">
        <f t="shared" si="23"/>
        <v>-2000</v>
      </c>
      <c r="L92" s="14">
        <f t="shared" si="23"/>
        <v>0</v>
      </c>
      <c r="M92" s="14">
        <f t="shared" si="23"/>
        <v>976035</v>
      </c>
      <c r="N92" s="14">
        <f t="shared" si="23"/>
        <v>-4646</v>
      </c>
      <c r="O92" s="14">
        <f t="shared" si="23"/>
        <v>971389</v>
      </c>
      <c r="P92" s="14"/>
      <c r="Q92" s="14">
        <f>SUM(Q19,Q42,Q58,Q66,Q74,Q81,Q89)</f>
        <v>-9714</v>
      </c>
      <c r="R92" s="14">
        <f>SUM(R19,R42,R58,R66,R74,R81,R89)</f>
        <v>3670</v>
      </c>
      <c r="S92" s="14">
        <f>SUM(S19,S42,S58,S66,S74,S81,S89)</f>
        <v>5300</v>
      </c>
      <c r="T92" s="14"/>
      <c r="U92" s="14">
        <f>SUM(U19,U42,U58,U66,U74,U81,U89)</f>
        <v>970645</v>
      </c>
      <c r="V92" s="14">
        <f>SUM(V19,V42,V58,V66,V74,V81,V89)</f>
        <v>755942</v>
      </c>
      <c r="W92" s="14">
        <f>SUM(W19,W42,W58,W66,W74,W81,W89)</f>
        <v>199944</v>
      </c>
      <c r="X92" s="14">
        <f>SUM(X19,X42,X58,X66,X74,X81,X89)</f>
        <v>14759</v>
      </c>
      <c r="Y92" s="14">
        <f>SUM(Y19,Y42,Y58,Y66,Y74,Y81,Y89)</f>
        <v>970645</v>
      </c>
      <c r="Z92" s="12"/>
      <c r="AA92" s="12"/>
      <c r="AB92" s="12"/>
      <c r="AC92" s="12"/>
      <c r="AD92" s="12"/>
    </row>
    <row r="93" spans="1:30" s="2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56">
        <f>ROUND($N$11*M92,0)</f>
        <v>-4646</v>
      </c>
      <c r="O93" s="12"/>
      <c r="P93" s="12"/>
      <c r="Q93" s="56">
        <f>ROUND(O92*$Q$11,0)</f>
        <v>-9714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3:30" s="2" customFormat="1" ht="12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3:30" s="2" customFormat="1" ht="12.7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2" customFormat="1" ht="12.75">
      <c r="A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3:30" s="2" customFormat="1" ht="12.7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3:30" s="2" customFormat="1" ht="12.7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3:30" s="2" customFormat="1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3:30" s="2" customFormat="1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3:30" s="2" customFormat="1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3:30" s="2" customFormat="1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3:30" s="2" customFormat="1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3:30" s="2" customFormat="1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3:30" s="2" customFormat="1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3:30" s="2" customFormat="1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3:30" s="2" customFormat="1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3:30" s="2" customFormat="1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3:30" s="2" customFormat="1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3:30" s="2" customFormat="1" ht="12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3:30" s="2" customFormat="1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3:30" s="2" customFormat="1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3:30" s="2" customFormat="1" ht="12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3:30" s="2" customFormat="1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3:30" s="2" customFormat="1" ht="12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3:30" s="2" customFormat="1" ht="12.7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3:30" s="2" customFormat="1" ht="12.7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3:30" s="2" customFormat="1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3:30" s="2" customFormat="1" ht="12.7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3:30" s="2" customFormat="1" ht="12.7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3:30" s="2" customFormat="1" ht="12.7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3:30" s="2" customFormat="1" ht="12.7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3:30" s="2" customFormat="1" ht="12.7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3:30" s="2" customFormat="1" ht="12.7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3:30" s="2" customFormat="1" ht="12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3:30" s="2" customFormat="1" ht="12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3:30" s="2" customFormat="1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3:30" s="2" customFormat="1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3:30" s="2" customFormat="1" ht="12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3:30" s="2" customFormat="1" ht="12.7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3:30" s="2" customFormat="1" ht="12.7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3:30" s="2" customFormat="1" ht="12.7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3:30" s="2" customFormat="1" ht="12.7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3:30" s="2" customFormat="1" ht="12.7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3:30" s="2" customFormat="1" ht="12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3:30" s="2" customFormat="1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3:30" s="2" customFormat="1" ht="12.7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3:30" s="2" customFormat="1" ht="12.7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3:30" s="2" customFormat="1" ht="12.7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3:30" s="2" customFormat="1" ht="12.7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3:30" s="2" customFormat="1" ht="12.7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3:30" s="2" customFormat="1" ht="12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3:30" s="2" customFormat="1" ht="12.7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3:30" s="2" customFormat="1" ht="12.7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3:30" s="2" customFormat="1" ht="12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3:30" s="2" customFormat="1" ht="12.7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3:30" s="2" customFormat="1" ht="12.7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3:30" s="2" customFormat="1" ht="12.7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3:30" s="2" customFormat="1" ht="12.7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3:30" s="2" customFormat="1" ht="12.7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3:30" s="2" customFormat="1" ht="12.7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3:30" s="2" customFormat="1" ht="12.7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3:30" s="2" customFormat="1" ht="12.7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3:30" s="2" customFormat="1" ht="12.7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3:30" s="2" customFormat="1" ht="12.7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3:30" s="2" customFormat="1" ht="12.7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3:30" s="2" customFormat="1" ht="12.7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3:30" s="2" customFormat="1" ht="12.7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3:30" s="2" customFormat="1" ht="12.7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3:30" s="2" customFormat="1" ht="12.7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3:30" s="2" customFormat="1" ht="12.7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3:30" s="2" customFormat="1" ht="12.7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3:30" s="2" customFormat="1" ht="12.7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3:30" s="2" customFormat="1" ht="12.7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3:30" s="2" customFormat="1" ht="12.7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3:30" s="2" customFormat="1" ht="12.7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3:30" s="2" customFormat="1" ht="12.7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3:30" s="2" customFormat="1" ht="12.7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3:30" s="2" customFormat="1" ht="12.7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3:30" s="2" customFormat="1" ht="12.7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3:30" s="2" customFormat="1" ht="12.7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3:30" s="2" customFormat="1" ht="12.7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3:30" s="2" customFormat="1" ht="12.7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3:30" s="2" customFormat="1" ht="12.7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3:30" s="2" customFormat="1" ht="12.7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3:30" s="2" customFormat="1" ht="12.7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3:30" s="2" customFormat="1" ht="12.7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3:30" s="2" customFormat="1" ht="12.7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3:30" s="2" customFormat="1" ht="12.7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3:30" s="2" customFormat="1" ht="12.7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3:30" s="2" customFormat="1" ht="12.7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3:30" s="2" customFormat="1" ht="12.7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3:30" s="2" customFormat="1" ht="12.7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3:30" s="2" customFormat="1" ht="12.7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3:30" s="2" customFormat="1" ht="12.7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3:30" s="2" customFormat="1" ht="12.7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3:30" s="2" customFormat="1" ht="12.7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3:30" s="2" customFormat="1" ht="12.7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3:30" s="2" customFormat="1" ht="12.7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3:30" s="2" customFormat="1" ht="12.7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3:30" s="2" customFormat="1" ht="12.7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3:30" s="2" customFormat="1" ht="12.7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3:30" s="2" customFormat="1" ht="12.7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3:30" s="2" customFormat="1" ht="12.7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3:30" s="2" customFormat="1" ht="12.7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3:30" s="2" customFormat="1" ht="12.7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3:30" s="2" customFormat="1" ht="12.7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3:30" s="2" customFormat="1" ht="12.7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3:30" s="2" customFormat="1" ht="12.7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3:30" s="2" customFormat="1" ht="12.7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3:30" s="2" customFormat="1" ht="12.7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3:30" s="2" customFormat="1" ht="12.7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3:30" s="2" customFormat="1" ht="12.7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3:30" s="2" customFormat="1" ht="12.7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3:30" s="2" customFormat="1" ht="12.7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3:30" s="2" customFormat="1" ht="12.7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3:30" s="2" customFormat="1" ht="12.7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3:30" s="2" customFormat="1" ht="12.7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3:30" s="2" customFormat="1" ht="12.7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3:30" s="2" customFormat="1" ht="12.7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3:30" s="2" customFormat="1" ht="12.7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3:30" s="2" customFormat="1" ht="12.7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3:30" s="2" customFormat="1" ht="12.7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3:30" s="2" customFormat="1" ht="12.7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3:30" s="2" customFormat="1" ht="12.7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3:30" s="2" customFormat="1" ht="12.7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3:30" s="2" customFormat="1" ht="12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3:30" s="2" customFormat="1" ht="12.7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3:30" s="2" customFormat="1" ht="12.7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3:30" s="2" customFormat="1" ht="12.7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3:30" s="2" customFormat="1" ht="12.7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3:30" s="2" customFormat="1" ht="12.7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3:30" s="2" customFormat="1" ht="12.7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3:30" s="2" customFormat="1" ht="12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3:30" s="2" customFormat="1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3:30" s="2" customFormat="1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3:30" s="2" customFormat="1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3:30" s="2" customFormat="1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3:30" s="2" customFormat="1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3:30" s="2" customFormat="1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3:30" s="2" customFormat="1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3:30" s="2" customFormat="1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3:30" s="2" customFormat="1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3:30" s="2" customFormat="1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3:30" s="2" customFormat="1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3:30" s="2" customFormat="1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3:30" s="2" customFormat="1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3:30" s="2" customFormat="1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3:30" s="2" customFormat="1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3:30" s="2" customFormat="1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3:30" s="2" customFormat="1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3:30" s="2" customFormat="1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3:30" s="2" customFormat="1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3:30" s="2" customFormat="1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3:30" s="2" customFormat="1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3:30" s="2" customFormat="1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3:30" s="2" customFormat="1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3:30" s="2" customFormat="1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3:30" s="2" customFormat="1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3:30" s="2" customFormat="1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3:30" s="2" customFormat="1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3:30" s="2" customFormat="1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3:30" s="2" customFormat="1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3:30" s="2" customFormat="1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3:30" s="2" customFormat="1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3:30" s="2" customFormat="1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3:30" s="2" customFormat="1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3:30" s="2" customFormat="1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3:30" s="2" customFormat="1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3:30" s="2" customFormat="1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3:30" s="2" customFormat="1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3:30" s="2" customFormat="1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3:30" s="2" customFormat="1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3:30" s="2" customFormat="1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3:30" s="2" customFormat="1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3:30" s="2" customFormat="1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3:30" s="2" customFormat="1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3:30" s="2" customFormat="1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3:30" s="2" customFormat="1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3:30" s="2" customFormat="1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3:30" s="2" customFormat="1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3:30" s="2" customFormat="1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3:30" s="2" customFormat="1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3:30" s="2" customFormat="1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3:30" s="2" customFormat="1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3:30" s="2" customFormat="1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3:30" s="2" customFormat="1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3:30" s="2" customFormat="1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3:30" s="2" customFormat="1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3:30" s="2" customFormat="1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3:30" s="2" customFormat="1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3:30" s="2" customFormat="1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3:30" s="2" customFormat="1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3:30" s="2" customFormat="1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3:30" s="2" customFormat="1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3:30" s="2" customFormat="1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3:30" s="2" customFormat="1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3:30" s="2" customFormat="1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3:30" s="2" customFormat="1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3:30" s="2" customFormat="1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3:30" s="2" customFormat="1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3:30" s="2" customFormat="1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3:30" s="2" customFormat="1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3:30" s="2" customFormat="1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3:30" s="2" customFormat="1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3:30" s="2" customFormat="1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3:30" s="2" customFormat="1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3:30" s="2" customFormat="1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3:30" s="2" customFormat="1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3:30" s="2" customFormat="1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3:30" s="2" customFormat="1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3:30" s="2" customFormat="1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3:30" s="2" customFormat="1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3:30" s="2" customFormat="1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3:30" s="2" customFormat="1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3:30" s="2" customFormat="1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3:30" s="2" customFormat="1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3:30" s="2" customFormat="1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3:30" s="2" customFormat="1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3:30" s="2" customFormat="1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3:30" s="2" customFormat="1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3:30" s="2" customFormat="1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3:30" s="2" customFormat="1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3:30" s="2" customFormat="1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3:30" s="2" customFormat="1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3:30" s="2" customFormat="1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3:30" s="2" customFormat="1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3:30" s="2" customFormat="1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3:30" s="2" customFormat="1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3:30" s="2" customFormat="1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3:30" s="2" customFormat="1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3:30" s="2" customFormat="1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3:30" s="2" customFormat="1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3:30" s="2" customFormat="1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3:30" s="2" customFormat="1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3:30" s="2" customFormat="1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3:30" s="2" customFormat="1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3:30" s="2" customFormat="1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3:30" s="2" customFormat="1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3:30" s="2" customFormat="1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3:30" s="2" customFormat="1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3:30" s="2" customFormat="1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3:30" s="2" customFormat="1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3:30" s="2" customFormat="1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3:30" s="2" customFormat="1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3:30" s="2" customFormat="1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3:30" s="2" customFormat="1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3:30" s="2" customFormat="1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3:30" s="2" customFormat="1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3:30" s="2" customFormat="1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3:30" s="2" customFormat="1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3:30" s="2" customFormat="1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3:30" s="2" customFormat="1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3:30" s="2" customFormat="1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3:30" s="2" customFormat="1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3:30" s="2" customFormat="1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3:30" s="2" customFormat="1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3:30" s="2" customFormat="1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3:30" s="2" customFormat="1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3:30" s="2" customFormat="1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3:30" s="2" customFormat="1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3:30" s="2" customFormat="1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3:30" s="2" customFormat="1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3:30" s="2" customFormat="1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3:30" s="2" customFormat="1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3:30" s="2" customFormat="1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3:30" s="2" customFormat="1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3:30" s="2" customFormat="1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3:30" s="2" customFormat="1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3:30" s="2" customFormat="1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3:30" s="2" customFormat="1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3:30" s="2" customFormat="1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3:30" s="2" customFormat="1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3:30" s="2" customFormat="1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3:30" s="2" customFormat="1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3:30" s="2" customFormat="1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3:30" s="2" customFormat="1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3:30" s="2" customFormat="1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3:30" s="2" customFormat="1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3:30" s="2" customFormat="1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3:30" s="2" customFormat="1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3:30" s="2" customFormat="1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3:30" s="2" customFormat="1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3:30" s="2" customFormat="1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3:30" s="2" customFormat="1" ht="12.7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3:30" s="2" customFormat="1" ht="12.7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3:30" s="2" customFormat="1" ht="12.7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3:30" s="2" customFormat="1" ht="12.7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3:30" s="2" customFormat="1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3:30" s="2" customFormat="1" ht="12.7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3:30" s="2" customFormat="1" ht="12.7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3:30" s="2" customFormat="1" ht="12.7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3:30" s="2" customFormat="1" ht="12.7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3:30" s="2" customFormat="1" ht="12.7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3:30" s="2" customFormat="1" ht="12.7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3:30" s="2" customFormat="1" ht="12.7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3:30" s="2" customFormat="1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3:30" s="2" customFormat="1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3:30" s="2" customFormat="1" ht="12.7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3:30" s="2" customFormat="1" ht="12.7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3:30" s="2" customFormat="1" ht="12.7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3:30" s="2" customFormat="1" ht="12.7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3:30" s="2" customFormat="1" ht="12.7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3:30" s="2" customFormat="1" ht="12.7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3:30" s="2" customFormat="1" ht="12.7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3:30" s="2" customFormat="1" ht="12.7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3:30" s="2" customFormat="1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3:30" s="2" customFormat="1" ht="12.7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3:30" s="2" customFormat="1" ht="12.7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3:30" s="2" customFormat="1" ht="12.7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3:30" s="2" customFormat="1" ht="12.7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3:30" s="2" customFormat="1" ht="12.7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3:30" s="2" customFormat="1" ht="12.7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3:30" s="2" customFormat="1" ht="12.7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3:30" s="2" customFormat="1" ht="12.7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3:30" s="2" customFormat="1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3:30" s="2" customFormat="1" ht="12.7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3:30" s="2" customFormat="1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3:30" s="2" customFormat="1" ht="12.7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3:30" s="2" customFormat="1" ht="12.7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3:30" s="2" customFormat="1" ht="12.7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3:30" s="2" customFormat="1" ht="12.7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3:30" s="2" customFormat="1" ht="12.7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3:30" s="2" customFormat="1" ht="12.7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3:30" s="2" customFormat="1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3:30" s="2" customFormat="1" ht="12.7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3:30" s="2" customFormat="1" ht="12.7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3:30" s="2" customFormat="1" ht="12.7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3:30" s="2" customFormat="1" ht="12.7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3:30" s="2" customFormat="1" ht="12.7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3:30" s="2" customFormat="1" ht="12.7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3:30" s="2" customFormat="1" ht="12.7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3:30" s="2" customFormat="1" ht="12.7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3:30" s="2" customFormat="1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3:30" s="2" customFormat="1" ht="12.7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3:30" s="2" customFormat="1" ht="12.7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3:30" s="2" customFormat="1" ht="12.7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3:30" s="2" customFormat="1" ht="12.7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3:30" s="2" customFormat="1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3:30" s="2" customFormat="1" ht="12.7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3:30" s="2" customFormat="1" ht="12.7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3:30" s="2" customFormat="1" ht="12.7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3:30" s="2" customFormat="1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3:30" s="2" customFormat="1" ht="12.7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3:30" s="2" customFormat="1" ht="12.7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3:30" s="2" customFormat="1" ht="12.7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3:30" s="2" customFormat="1" ht="12.7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3:30" s="2" customFormat="1" ht="12.7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3:30" s="2" customFormat="1" ht="12.7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3:30" s="2" customFormat="1" ht="12.7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3:30" s="2" customFormat="1" ht="12.7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3:30" s="2" customFormat="1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3:30" s="2" customFormat="1" ht="12.7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3:30" s="2" customFormat="1" ht="12.7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3:30" s="2" customFormat="1" ht="12.7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3:30" s="2" customFormat="1" ht="12.7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3:30" s="2" customFormat="1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3:30" s="2" customFormat="1" ht="12.7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3:30" s="2" customFormat="1" ht="12.7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3:30" s="2" customFormat="1" ht="12.7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3:30" s="2" customFormat="1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3:30" s="2" customFormat="1" ht="12.7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3:30" s="2" customFormat="1" ht="12.7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3:30" s="2" customFormat="1" ht="12.7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3:30" s="2" customFormat="1" ht="12.7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3:30" s="2" customFormat="1" ht="12.7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3:30" s="2" customFormat="1" ht="12.7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3:30" s="2" customFormat="1" ht="12.7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3:30" s="2" customFormat="1" ht="12.7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3:30" s="2" customFormat="1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3:30" s="2" customFormat="1" ht="12.7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3:30" s="2" customFormat="1" ht="12.7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3:30" s="2" customFormat="1" ht="12.7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3:30" s="2" customFormat="1" ht="12.7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3:30" s="2" customFormat="1" ht="12.7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3:30" s="2" customFormat="1" ht="12.7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3:30" s="2" customFormat="1" ht="12.7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3:30" s="2" customFormat="1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3:30" s="2" customFormat="1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3:30" s="2" customFormat="1" ht="12.7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3:30" s="2" customFormat="1" ht="12.7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3:30" s="2" customFormat="1" ht="12.7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3:30" s="2" customFormat="1" ht="12.7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3:30" s="2" customFormat="1" ht="12.7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3:30" s="2" customFormat="1" ht="12.7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3:30" s="2" customFormat="1" ht="12.7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3:30" s="2" customFormat="1" ht="12.7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3:30" s="2" customFormat="1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3:30" s="2" customFormat="1" ht="12.7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3:30" s="2" customFormat="1" ht="12.7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3:30" s="2" customFormat="1" ht="12.7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3:30" s="2" customFormat="1" ht="12.7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3:30" s="2" customFormat="1" ht="12.7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3:30" s="2" customFormat="1" ht="12.7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3:30" s="2" customFormat="1" ht="12.7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3:30" s="2" customFormat="1" ht="12.7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3:30" s="2" customFormat="1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3:30" s="2" customFormat="1" ht="12.7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3:30" s="2" customFormat="1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3:30" s="2" customFormat="1" ht="12.7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3:30" s="2" customFormat="1" ht="12.7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3:30" s="2" customFormat="1" ht="12.7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3:30" s="2" customFormat="1" ht="12.7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3:30" s="2" customFormat="1" ht="12.7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3:30" s="2" customFormat="1" ht="12.7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3:30" s="2" customFormat="1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3:30" s="2" customFormat="1" ht="12.7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3:30" s="2" customFormat="1" ht="12.7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3:30" s="2" customFormat="1" ht="12.7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3:30" s="2" customFormat="1" ht="12.7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3:30" s="2" customFormat="1" ht="12.7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3:30" s="2" customFormat="1" ht="12.7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3:30" s="2" customFormat="1" ht="12.7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3:30" s="2" customFormat="1" ht="12.7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3:30" s="2" customFormat="1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3:30" s="2" customFormat="1" ht="12.7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3:30" s="2" customFormat="1" ht="12.7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3:30" s="2" customFormat="1" ht="12.7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3:30" s="2" customFormat="1" ht="12.7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3:30" s="2" customFormat="1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3:30" s="2" customFormat="1" ht="12.7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3:30" s="2" customFormat="1" ht="12.7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3:30" s="2" customFormat="1" ht="12.7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3:30" s="2" customFormat="1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3:30" s="2" customFormat="1" ht="12.7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3:30" s="2" customFormat="1" ht="12.7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3:30" s="2" customFormat="1" ht="12.7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3:30" s="2" customFormat="1" ht="12.7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3:30" s="2" customFormat="1" ht="12.7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3:30" s="2" customFormat="1" ht="12.7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3:30" s="2" customFormat="1" ht="12.7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3:30" s="2" customFormat="1" ht="12.7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3:30" s="2" customFormat="1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3:30" s="2" customFormat="1" ht="12.7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3:30" s="2" customFormat="1" ht="12.7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3:30" s="2" customFormat="1" ht="12.7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3:30" s="2" customFormat="1" ht="12.7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3:30" s="2" customFormat="1" ht="12.7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3:30" s="2" customFormat="1" ht="12.7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3:30" s="2" customFormat="1" ht="12.7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3:30" s="2" customFormat="1" ht="12.7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3:30" s="2" customFormat="1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3:30" s="2" customFormat="1" ht="12.7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3:30" s="2" customFormat="1" ht="12.7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3:30" s="2" customFormat="1" ht="12.7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3:30" s="2" customFormat="1" ht="12.7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3:30" s="2" customFormat="1" ht="12.7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3:30" s="2" customFormat="1" ht="12.7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3:30" s="2" customFormat="1" ht="12.7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3:30" s="2" customFormat="1" ht="12.7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3:30" s="2" customFormat="1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3:30" s="2" customFormat="1" ht="12.7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3:30" s="2" customFormat="1" ht="12.7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3:30" s="2" customFormat="1" ht="12.7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3:30" s="2" customFormat="1" ht="12.7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3:30" s="2" customFormat="1" ht="12.7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3:30" s="2" customFormat="1" ht="12.7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3:30" s="2" customFormat="1" ht="12.7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3:30" s="2" customFormat="1" ht="12.7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3:30" s="2" customFormat="1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3:30" s="2" customFormat="1" ht="12.7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3:30" s="2" customFormat="1" ht="12.7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3:30" s="2" customFormat="1" ht="12.7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3:30" s="2" customFormat="1" ht="12.7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3:30" s="2" customFormat="1" ht="12.7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3:30" s="2" customFormat="1" ht="12.7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3:30" s="2" customFormat="1" ht="12.7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3:30" s="2" customFormat="1" ht="12.7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3:30" s="2" customFormat="1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3:30" s="2" customFormat="1" ht="12.7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3:30" s="2" customFormat="1" ht="12.7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3:30" s="2" customFormat="1" ht="12.7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3:30" s="2" customFormat="1" ht="12.7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3:30" s="2" customFormat="1" ht="12.7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3:30" s="2" customFormat="1" ht="12.7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3:30" s="2" customFormat="1" ht="12.7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3:30" s="2" customFormat="1" ht="12.7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3:30" s="2" customFormat="1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3:30" s="2" customFormat="1" ht="12.7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3:30" s="2" customFormat="1" ht="12.7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3:30" s="2" customFormat="1" ht="12.7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3:30" s="2" customFormat="1" ht="12.7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3:30" s="2" customFormat="1" ht="12.7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3:30" s="2" customFormat="1" ht="12.7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3:30" s="2" customFormat="1" ht="12.7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3:30" s="2" customFormat="1" ht="12.7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3:30" s="2" customFormat="1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3:30" s="2" customFormat="1" ht="12.7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3:30" s="2" customFormat="1" ht="12.7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3:30" s="2" customFormat="1" ht="12.7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3:30" s="2" customFormat="1" ht="12.7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3:30" s="2" customFormat="1" ht="12.7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3:30" s="2" customFormat="1" ht="12.7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3:30" s="2" customFormat="1" ht="12.7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3:30" s="2" customFormat="1" ht="12.7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3:30" s="2" customFormat="1" ht="12.7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3:30" s="2" customFormat="1" ht="12.75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3:30" s="2" customFormat="1" ht="12.75"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3:30" s="2" customFormat="1" ht="12.75"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3:30" s="2" customFormat="1" ht="12.75"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3:30" s="2" customFormat="1" ht="12.75"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3:30" s="2" customFormat="1" ht="12.75"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3:30" s="2" customFormat="1" ht="12.75"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3:30" s="2" customFormat="1" ht="12.75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3:30" s="2" customFormat="1" ht="12.7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3:30" s="2" customFormat="1" ht="12.75"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3:30" s="2" customFormat="1" ht="12.75"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3:30" s="2" customFormat="1" ht="12.75"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3:30" s="2" customFormat="1" ht="12.75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3:30" s="2" customFormat="1" ht="12.75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3:30" s="2" customFormat="1" ht="12.75"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3:30" s="2" customFormat="1" ht="12.75"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3:30" s="2" customFormat="1" ht="12.75"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3:30" s="2" customFormat="1" ht="12.7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3:30" s="2" customFormat="1" ht="12.75"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3:30" s="2" customFormat="1" ht="12.75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3:30" s="2" customFormat="1" ht="12.75"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3:30" s="2" customFormat="1" ht="12.75"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3:30" s="2" customFormat="1" ht="12.75"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3:30" s="2" customFormat="1" ht="12.75"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3:30" s="2" customFormat="1" ht="12.75"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3:30" s="2" customFormat="1" ht="12.75"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3:30" s="2" customFormat="1" ht="12.7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3:30" s="2" customFormat="1" ht="12.75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3:30" s="2" customFormat="1" ht="12.75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3:30" s="2" customFormat="1" ht="12.75"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3:30" s="2" customFormat="1" ht="12.75"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3:30" s="2" customFormat="1" ht="12.75"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3:30" s="2" customFormat="1" ht="12.75"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3:30" s="2" customFormat="1" ht="12.75"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3:30" s="2" customFormat="1" ht="12.75"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3:30" s="2" customFormat="1" ht="12.7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3:30" s="2" customFormat="1" ht="12.75"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3:30" s="2" customFormat="1" ht="12.75"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3:30" s="2" customFormat="1" ht="12.75"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3:30" s="2" customFormat="1" ht="12.75"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3:30" s="2" customFormat="1" ht="12.75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3:30" s="2" customFormat="1" ht="12.75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3:30" s="2" customFormat="1" ht="12.75"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3:30" s="2" customFormat="1" ht="12.75"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3:30" s="2" customFormat="1" ht="12.7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3:30" s="2" customFormat="1" ht="12.75"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3:30" s="2" customFormat="1" ht="12.75"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3:30" s="2" customFormat="1" ht="12.75"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3:30" s="2" customFormat="1" ht="12.75"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3:30" s="2" customFormat="1" ht="12.75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3:30" s="2" customFormat="1" ht="12.75"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3:30" s="2" customFormat="1" ht="12.75"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3:30" s="2" customFormat="1" ht="12.75"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3:30" s="2" customFormat="1" ht="12.7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3:30" s="2" customFormat="1" ht="12.75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3:30" s="2" customFormat="1" ht="12.75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3:30" s="2" customFormat="1" ht="12.75"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3:30" s="2" customFormat="1" ht="12.75"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3:30" s="2" customFormat="1" ht="12.75"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3:30" s="2" customFormat="1" ht="12.75"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3:30" s="2" customFormat="1" ht="12.75"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3:30" s="2" customFormat="1" ht="12.75"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3:30" s="2" customFormat="1" ht="12.7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3:30" s="2" customFormat="1" ht="12.75"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3:30" s="2" customFormat="1" ht="12.75"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3:30" s="2" customFormat="1" ht="12.75"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3:30" s="2" customFormat="1" ht="12.75"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3:30" s="2" customFormat="1" ht="12.75"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3:30" s="2" customFormat="1" ht="12.75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3:30" s="2" customFormat="1" ht="12.75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3:30" s="2" customFormat="1" ht="12.75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3:30" s="2" customFormat="1" ht="12.7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3:30" s="2" customFormat="1" ht="12.75"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3:30" s="2" customFormat="1" ht="12.75"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3:30" s="2" customFormat="1" ht="12.75"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3:30" s="2" customFormat="1" ht="12.75"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3:30" s="2" customFormat="1" ht="12.75"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3:30" s="2" customFormat="1" ht="12.75"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3:30" s="2" customFormat="1" ht="12.75"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3:30" s="2" customFormat="1" ht="12.75"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3:30" s="2" customFormat="1" ht="12.7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3:30" s="2" customFormat="1" ht="12.75"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3:30" s="2" customFormat="1" ht="12.75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3:30" s="2" customFormat="1" ht="12.75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3:30" s="2" customFormat="1" ht="12.75"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3:30" s="2" customFormat="1" ht="12.75"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3:30" s="2" customFormat="1" ht="12.75"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3:30" s="2" customFormat="1" ht="12.75"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3:30" s="2" customFormat="1" ht="12.75"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3:30" s="2" customFormat="1" ht="12.7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3:30" s="2" customFormat="1" ht="12.75"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3:30" s="2" customFormat="1" ht="12.75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3:30" s="2" customFormat="1" ht="12.75"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3:30" s="2" customFormat="1" ht="12.75"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3:30" s="2" customFormat="1" ht="12.75"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3:30" s="2" customFormat="1" ht="12.75"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3:30" s="2" customFormat="1" ht="12.75"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3:30" s="2" customFormat="1" ht="12.75"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3:30" s="2" customFormat="1" ht="12.75"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3:30" s="2" customFormat="1" ht="12.75"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3:30" s="2" customFormat="1" ht="12.75"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3:30" s="2" customFormat="1" ht="12.75"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3:30" s="2" customFormat="1" ht="12.75"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3:30" s="2" customFormat="1" ht="12.75"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3:30" s="2" customFormat="1" ht="12.75"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3:30" s="2" customFormat="1" ht="12.75"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3:30" s="2" customFormat="1" ht="12.75"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3:30" s="2" customFormat="1" ht="12.75"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3:30" s="2" customFormat="1" ht="12.75"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3:30" s="2" customFormat="1" ht="12.75"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3:30" s="2" customFormat="1" ht="12.75"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3:30" s="2" customFormat="1" ht="12.75"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3:30" s="2" customFormat="1" ht="12.75"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3:30" s="2" customFormat="1" ht="12.75"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3:30" s="2" customFormat="1" ht="12.75"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3:30" s="2" customFormat="1" ht="12.75"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3:30" s="2" customFormat="1" ht="12.75"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3:30" s="2" customFormat="1" ht="12.75"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3:30" s="2" customFormat="1" ht="12.75"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3:30" s="2" customFormat="1" ht="12.75"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3:30" s="2" customFormat="1" ht="12.75"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3:30" s="2" customFormat="1" ht="12.75"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3:30" s="2" customFormat="1" ht="12.75"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3:30" s="2" customFormat="1" ht="12.75"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3:30" s="2" customFormat="1" ht="12.75"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3:30" s="2" customFormat="1" ht="12.75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3:30" s="2" customFormat="1" ht="12.75"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3:30" s="2" customFormat="1" ht="12.75"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3:30" s="2" customFormat="1" ht="12.75"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3:30" s="2" customFormat="1" ht="12.75"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3:30" s="2" customFormat="1" ht="12.75"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3:30" s="2" customFormat="1" ht="12.75"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3:30" s="2" customFormat="1" ht="12.75"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3:30" s="2" customFormat="1" ht="12.75"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3:30" s="2" customFormat="1" ht="12.75"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3:30" s="2" customFormat="1" ht="12.75"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3:30" s="2" customFormat="1" ht="12.75"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3:30" s="2" customFormat="1" ht="12.75"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3:30" s="2" customFormat="1" ht="12.75"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3:30" s="2" customFormat="1" ht="12.75"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3:30" s="2" customFormat="1" ht="12.75"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3:30" s="2" customFormat="1" ht="12.75"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3:30" s="2" customFormat="1" ht="12.75"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3:30" s="2" customFormat="1" ht="12.75"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3:30" s="2" customFormat="1" ht="12.75"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3:30" s="2" customFormat="1" ht="12.75"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3:30" s="2" customFormat="1" ht="12.75"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3:30" s="2" customFormat="1" ht="12.75"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3:30" s="2" customFormat="1" ht="12.75"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3:30" s="2" customFormat="1" ht="12.75"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3:30" s="2" customFormat="1" ht="12.75"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3:30" s="2" customFormat="1" ht="12.75"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3:30" s="2" customFormat="1" ht="12.75"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3:30" s="2" customFormat="1" ht="12.75"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3:30" s="2" customFormat="1" ht="12.75"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3:30" s="2" customFormat="1" ht="12.75"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3:30" s="2" customFormat="1" ht="12.75"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3:30" s="2" customFormat="1" ht="12.75"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3:30" s="2" customFormat="1" ht="12.75"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3:30" s="2" customFormat="1" ht="12.75"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3:30" s="2" customFormat="1" ht="12.75"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3:30" s="2" customFormat="1" ht="12.75"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3:30" s="2" customFormat="1" ht="12.75"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3:30" s="2" customFormat="1" ht="12.75"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3:30" s="2" customFormat="1" ht="12.75"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3:30" s="2" customFormat="1" ht="12.75"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3:30" s="2" customFormat="1" ht="12.75"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3:30" s="2" customFormat="1" ht="12.75"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3:30" s="2" customFormat="1" ht="12.75"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3:30" s="2" customFormat="1" ht="12.75"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3:30" s="2" customFormat="1" ht="12.75"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3:30" s="2" customFormat="1" ht="12.75"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3:30" s="2" customFormat="1" ht="12.75"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3:30" s="2" customFormat="1" ht="12.75"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3:30" s="2" customFormat="1" ht="12.75"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3:30" s="2" customFormat="1" ht="12.75"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3:30" s="2" customFormat="1" ht="12.75"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3:30" s="2" customFormat="1" ht="12.75"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3:30" s="2" customFormat="1" ht="12.75"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3:30" s="2" customFormat="1" ht="12.75"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3:30" s="2" customFormat="1" ht="12.75"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3:30" s="2" customFormat="1" ht="12.75"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3:30" s="2" customFormat="1" ht="12.75"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3:30" s="2" customFormat="1" ht="12.75"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3:30" s="2" customFormat="1" ht="12.75"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3:30" s="2" customFormat="1" ht="12.75"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3:30" s="2" customFormat="1" ht="12.75"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3:30" s="2" customFormat="1" ht="12.75"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3:30" s="2" customFormat="1" ht="12.75"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3:30" s="2" customFormat="1" ht="12.75"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3:30" s="2" customFormat="1" ht="12.75"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3:30" s="2" customFormat="1" ht="12.75"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3:30" s="2" customFormat="1" ht="12.75"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3:30" s="2" customFormat="1" ht="12.75"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3:30" s="2" customFormat="1" ht="12.75"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3:30" s="2" customFormat="1" ht="12.75"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3:30" s="2" customFormat="1" ht="12.75"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3:30" s="2" customFormat="1" ht="12.75"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3:30" s="2" customFormat="1" ht="12.75"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3:30" s="2" customFormat="1" ht="12.75"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3:30" s="2" customFormat="1" ht="12.75"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3:30" s="2" customFormat="1" ht="12.75"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3:30" s="2" customFormat="1" ht="12.75"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3:30" s="2" customFormat="1" ht="12.75"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3:30" s="2" customFormat="1" ht="12.75"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3:30" s="2" customFormat="1" ht="12.75"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3:30" s="2" customFormat="1" ht="12.75"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3:30" s="2" customFormat="1" ht="12.75"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3:30" s="2" customFormat="1" ht="12.75"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3:30" s="2" customFormat="1" ht="12.75"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3:30" s="2" customFormat="1" ht="12.75"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3:30" s="2" customFormat="1" ht="12.75"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3:30" s="2" customFormat="1" ht="12.75"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3:30" s="2" customFormat="1" ht="12.75"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3:30" s="2" customFormat="1" ht="12.75"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3:30" s="2" customFormat="1" ht="12.75"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3:30" s="2" customFormat="1" ht="12.75"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3:30" s="2" customFormat="1" ht="12.75"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3:30" s="2" customFormat="1" ht="12.75"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3:30" s="2" customFormat="1" ht="12.75"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3:30" s="2" customFormat="1" ht="12.75"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3:30" s="2" customFormat="1" ht="12.75"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3:30" s="2" customFormat="1" ht="12.75"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3:30" s="2" customFormat="1" ht="12.75"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3:30" s="2" customFormat="1" ht="12.75"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3:30" s="2" customFormat="1" ht="12.75"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3:30" s="2" customFormat="1" ht="12.75"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3:30" s="2" customFormat="1" ht="12.75"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3:30" s="2" customFormat="1" ht="12.75"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3:30" s="2" customFormat="1" ht="12.75"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3:30" s="2" customFormat="1" ht="12.75"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3:30" s="2" customFormat="1" ht="12.75"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3:30" s="2" customFormat="1" ht="12.75"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3:30" s="2" customFormat="1" ht="12.75"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3:30" s="2" customFormat="1" ht="12.75"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3:30" s="2" customFormat="1" ht="12.75"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3:30" s="2" customFormat="1" ht="12.75"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3:30" s="2" customFormat="1" ht="12.75"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3:30" s="2" customFormat="1" ht="12.75"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3:30" s="2" customFormat="1" ht="12.75"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3:30" s="2" customFormat="1" ht="12.75"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3:30" s="2" customFormat="1" ht="12.75"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3:30" s="2" customFormat="1" ht="12.75"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3:30" s="2" customFormat="1" ht="12.75"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3:30" s="2" customFormat="1" ht="12.75"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3:30" s="2" customFormat="1" ht="12.75"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3:30" s="2" customFormat="1" ht="12.75"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3:30" s="2" customFormat="1" ht="12.75"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3:30" s="2" customFormat="1" ht="12.75"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3:30" s="2" customFormat="1" ht="12.75"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3:30" s="2" customFormat="1" ht="12.75"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3:30" s="2" customFormat="1" ht="12.75"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3:30" s="2" customFormat="1" ht="12.75"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3:30" s="2" customFormat="1" ht="12.75"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3:30" s="2" customFormat="1" ht="12.75"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3:30" s="2" customFormat="1" ht="12.75"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3:30" s="2" customFormat="1" ht="12.75"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3:30" s="2" customFormat="1" ht="12.75"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3:30" s="2" customFormat="1" ht="12.75"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3:30" s="2" customFormat="1" ht="12.75"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3:30" s="2" customFormat="1" ht="12.75"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3:30" s="2" customFormat="1" ht="12.75"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3:30" s="2" customFormat="1" ht="12.75"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3:30" s="2" customFormat="1" ht="12.75"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3:30" s="2" customFormat="1" ht="12.75"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3:30" s="2" customFormat="1" ht="12.75"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3:30" s="2" customFormat="1" ht="12.75"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3:30" s="2" customFormat="1" ht="12.75"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3:30" s="2" customFormat="1" ht="12.75"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3:30" s="2" customFormat="1" ht="12.75"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3:30" s="2" customFormat="1" ht="12.75"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3:30" s="2" customFormat="1" ht="12.75"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3:30" s="2" customFormat="1" ht="12.75"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3:30" s="2" customFormat="1" ht="12.75"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3:30" s="2" customFormat="1" ht="12.75"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3:30" s="2" customFormat="1" ht="12.75"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3:30" s="2" customFormat="1" ht="12.75"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3:30" s="2" customFormat="1" ht="12.75"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3:30" s="2" customFormat="1" ht="12.75"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3:30" s="2" customFormat="1" ht="12.75"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3:30" s="2" customFormat="1" ht="12.75"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3:30" s="2" customFormat="1" ht="12.75"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3:30" s="2" customFormat="1" ht="12.75"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3:30" s="2" customFormat="1" ht="12.75"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3:30" s="2" customFormat="1" ht="12.75"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3:30" s="2" customFormat="1" ht="12.75"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3:30" s="2" customFormat="1" ht="12.75"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3:30" s="2" customFormat="1" ht="12.75"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3:30" s="2" customFormat="1" ht="12.75"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3:30" s="2" customFormat="1" ht="12.75"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3:30" s="2" customFormat="1" ht="12.75"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3:30" s="2" customFormat="1" ht="12.75"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3:30" s="2" customFormat="1" ht="12.75"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3:30" s="2" customFormat="1" ht="12.75"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3:30" s="2" customFormat="1" ht="12.75"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3:30" s="2" customFormat="1" ht="12.75"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3:30" s="2" customFormat="1" ht="12.75"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3:30" s="2" customFormat="1" ht="12.75"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3:30" s="2" customFormat="1" ht="12.75"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3:30" s="2" customFormat="1" ht="12.75"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3:30" s="2" customFormat="1" ht="12.75"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3:30" s="2" customFormat="1" ht="12.75"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3:30" s="2" customFormat="1" ht="12.75"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3:30" s="2" customFormat="1" ht="12.75"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3:30" s="2" customFormat="1" ht="12.75"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3:30" s="2" customFormat="1" ht="12.75"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3:30" s="2" customFormat="1" ht="12.75"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3:30" s="2" customFormat="1" ht="12.75"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3:30" s="2" customFormat="1" ht="12.75"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3:30" s="2" customFormat="1" ht="12.75"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3:30" s="2" customFormat="1" ht="12.75"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3:30" s="2" customFormat="1" ht="12.75"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3:30" s="2" customFormat="1" ht="12.75"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3:30" s="2" customFormat="1" ht="12.75"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3:30" s="2" customFormat="1" ht="12.75"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3:30" s="2" customFormat="1" ht="12.75"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3:30" s="2" customFormat="1" ht="12.75"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3:30" s="2" customFormat="1" ht="12.75"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3:30" s="2" customFormat="1" ht="12.75"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3:30" s="2" customFormat="1" ht="12.75"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3:30" s="2" customFormat="1" ht="12.75"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3:30" s="2" customFormat="1" ht="12.75"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3:30" s="2" customFormat="1" ht="12.75"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3:30" s="2" customFormat="1" ht="12.75"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3:30" s="2" customFormat="1" ht="12.75"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3:30" s="2" customFormat="1" ht="12.75"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3:30" s="2" customFormat="1" ht="12.75"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3:30" s="2" customFormat="1" ht="12.75"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3:30" s="2" customFormat="1" ht="12.75"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3:30" s="2" customFormat="1" ht="12.75"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3:30" s="2" customFormat="1" ht="12.75"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3:30" s="2" customFormat="1" ht="12.75"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3:30" s="2" customFormat="1" ht="12.75"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3:30" s="2" customFormat="1" ht="12.75"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3:30" s="2" customFormat="1" ht="12.75"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3:30" s="2" customFormat="1" ht="12.75"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3:30" s="2" customFormat="1" ht="12.75"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3:30" s="2" customFormat="1" ht="12.75"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3:30" s="2" customFormat="1" ht="12.75"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3:30" s="2" customFormat="1" ht="12.75"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3:30" s="2" customFormat="1" ht="12.75"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3:30" s="2" customFormat="1" ht="12.75"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3:30" s="2" customFormat="1" ht="12.75"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3:30" s="2" customFormat="1" ht="12.75"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3:30" s="2" customFormat="1" ht="12.75"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3:30" s="2" customFormat="1" ht="12.75"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3:30" s="2" customFormat="1" ht="12.75"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3:30" s="2" customFormat="1" ht="12.75"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3:30" s="2" customFormat="1" ht="12.75"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3:30" s="2" customFormat="1" ht="12.75"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3:30" s="2" customFormat="1" ht="12.75"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3:30" s="2" customFormat="1" ht="12.75"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3:30" s="2" customFormat="1" ht="12.75"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3:30" s="2" customFormat="1" ht="12.75"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3:30" s="2" customFormat="1" ht="12.75"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3:30" s="2" customFormat="1" ht="12.75"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3:30" s="2" customFormat="1" ht="12.75"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3:30" s="2" customFormat="1" ht="12.75"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3:30" s="2" customFormat="1" ht="12.75"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3:30" s="2" customFormat="1" ht="12.75"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3:30" s="2" customFormat="1" ht="12.75"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3:30" s="2" customFormat="1" ht="12.75"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3:30" s="2" customFormat="1" ht="12.75"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3:30" s="2" customFormat="1" ht="12.75"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3:30" s="2" customFormat="1" ht="12.75"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3:30" s="2" customFormat="1" ht="12.75"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3:30" s="2" customFormat="1" ht="12.75"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3:30" s="2" customFormat="1" ht="12.75"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3:30" s="2" customFormat="1" ht="12.75"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3:30" s="2" customFormat="1" ht="12.75"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3:30" s="2" customFormat="1" ht="12.75"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3:30" s="2" customFormat="1" ht="12.75"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3:30" s="2" customFormat="1" ht="12.75"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3:30" s="2" customFormat="1" ht="12.75"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3:30" s="2" customFormat="1" ht="12.75"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3:30" s="2" customFormat="1" ht="12.75"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3:30" s="2" customFormat="1" ht="12.75"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3:30" s="2" customFormat="1" ht="12.75"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3:30" s="2" customFormat="1" ht="12.75"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3:30" s="2" customFormat="1" ht="12.75"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3:30" s="2" customFormat="1" ht="12.75"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3:30" s="2" customFormat="1" ht="12.75"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3:30" s="2" customFormat="1" ht="12.75"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3:30" s="2" customFormat="1" ht="12.75"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3:30" s="2" customFormat="1" ht="12.75"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3:30" s="2" customFormat="1" ht="12.75"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3:30" s="2" customFormat="1" ht="12.75"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3:30" s="2" customFormat="1" ht="12.75"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3:30" s="2" customFormat="1" ht="12.75"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3:30" s="2" customFormat="1" ht="12.75"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3:30" s="2" customFormat="1" ht="12.75"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3:30" s="2" customFormat="1" ht="12.75"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3:30" s="2" customFormat="1" ht="12.75"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3:30" s="2" customFormat="1" ht="12.75"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3:30" s="2" customFormat="1" ht="12.75"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3:30" s="2" customFormat="1" ht="12.75"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3:30" s="2" customFormat="1" ht="12.75"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3:30" s="2" customFormat="1" ht="12.75"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3:30" s="2" customFormat="1" ht="12.75"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3:30" s="2" customFormat="1" ht="12.75"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3:30" s="2" customFormat="1" ht="12.75"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3:30" s="2" customFormat="1" ht="12.75"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3:30" s="2" customFormat="1" ht="12.75"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3:30" s="2" customFormat="1" ht="12.75"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3:30" s="2" customFormat="1" ht="12.75"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3:30" s="2" customFormat="1" ht="12.75"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3:30" s="2" customFormat="1" ht="12.75"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3:30" s="2" customFormat="1" ht="12.75"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3:30" s="2" customFormat="1" ht="12.75"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3:30" s="2" customFormat="1" ht="12.75"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3:30" s="2" customFormat="1" ht="12.75"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3:30" s="2" customFormat="1" ht="12.75"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3:30" s="2" customFormat="1" ht="12.75"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3:30" s="2" customFormat="1" ht="12.75"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3:30" s="2" customFormat="1" ht="12.75"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3:30" s="2" customFormat="1" ht="12.75"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3:30" s="2" customFormat="1" ht="12.75"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3:30" s="2" customFormat="1" ht="12.75"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3:30" s="2" customFormat="1" ht="12.75"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3:30" s="2" customFormat="1" ht="12.75"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3:30" s="2" customFormat="1" ht="12.75"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3:30" s="2" customFormat="1" ht="12.75"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3:30" s="2" customFormat="1" ht="12.75"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3:30" s="2" customFormat="1" ht="12.75"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3:30" s="2" customFormat="1" ht="12.75"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3:30" s="2" customFormat="1" ht="12.75"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3:30" s="2" customFormat="1" ht="12.75"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3:30" s="2" customFormat="1" ht="12.75"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3:30" s="2" customFormat="1" ht="12.75"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</row>
    <row r="1016" spans="3:30" s="2" customFormat="1" ht="12.75"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</row>
    <row r="1017" spans="3:30" s="2" customFormat="1" ht="12.75"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</row>
    <row r="1018" spans="3:30" s="2" customFormat="1" ht="12.75"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</row>
    <row r="1019" spans="3:30" s="2" customFormat="1" ht="12.75"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</row>
    <row r="1020" spans="3:30" s="2" customFormat="1" ht="12.75"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</row>
    <row r="1021" spans="3:30" s="2" customFormat="1" ht="12.75"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</row>
    <row r="1022" spans="3:30" s="2" customFormat="1" ht="12.75"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</row>
    <row r="1023" spans="3:30" s="2" customFormat="1" ht="12.75"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</row>
    <row r="1024" spans="3:30" s="2" customFormat="1" ht="12.75"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</row>
    <row r="1025" spans="3:30" s="2" customFormat="1" ht="12.75"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</row>
    <row r="1026" spans="3:30" s="2" customFormat="1" ht="12.75"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</row>
    <row r="1027" spans="3:30" s="2" customFormat="1" ht="12.75"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</row>
    <row r="1028" spans="3:30" s="2" customFormat="1" ht="12.75"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</row>
    <row r="1029" spans="3:30" s="2" customFormat="1" ht="12.75"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</row>
    <row r="1030" spans="3:30" s="2" customFormat="1" ht="12.75"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</row>
    <row r="1031" spans="3:30" s="2" customFormat="1" ht="12.75"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</row>
    <row r="1032" spans="3:30" s="2" customFormat="1" ht="12.75"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</row>
    <row r="1033" spans="3:30" s="2" customFormat="1" ht="12.75"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</row>
    <row r="1034" spans="3:30" s="2" customFormat="1" ht="12.75"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</row>
    <row r="1035" spans="3:30" s="2" customFormat="1" ht="12.75"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</row>
    <row r="1036" spans="3:30" s="2" customFormat="1" ht="12.75"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</row>
    <row r="1037" spans="3:30" s="2" customFormat="1" ht="12.75"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</row>
    <row r="1038" spans="3:30" s="2" customFormat="1" ht="12.75"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</row>
    <row r="1039" spans="3:30" s="2" customFormat="1" ht="12.75"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</row>
    <row r="1040" spans="3:30" s="2" customFormat="1" ht="12.75"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</row>
    <row r="1041" spans="3:30" s="2" customFormat="1" ht="12.75"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</row>
    <row r="1042" spans="3:30" s="2" customFormat="1" ht="12.75"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</row>
    <row r="1043" spans="3:30" s="2" customFormat="1" ht="12.75"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</row>
    <row r="1044" spans="3:30" s="2" customFormat="1" ht="12.75"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</row>
    <row r="1045" spans="3:30" s="2" customFormat="1" ht="12.75"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</row>
    <row r="1046" spans="3:30" s="2" customFormat="1" ht="12.75"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</row>
    <row r="1047" spans="3:30" s="2" customFormat="1" ht="12.75"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</row>
    <row r="1048" spans="3:30" s="2" customFormat="1" ht="12.75"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</row>
    <row r="1049" spans="3:30" s="2" customFormat="1" ht="12.75"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</row>
    <row r="1050" spans="3:30" s="2" customFormat="1" ht="12.75"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</row>
    <row r="1051" spans="3:30" s="2" customFormat="1" ht="12.75"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</row>
    <row r="1052" spans="3:30" s="2" customFormat="1" ht="12.75"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</row>
    <row r="1053" spans="3:30" s="2" customFormat="1" ht="12.75"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</row>
    <row r="1054" spans="3:30" s="2" customFormat="1" ht="12.75"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</row>
    <row r="1055" spans="3:30" s="2" customFormat="1" ht="12.75"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</row>
    <row r="1056" spans="3:30" s="2" customFormat="1" ht="12.75"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</row>
    <row r="1057" spans="3:30" s="2" customFormat="1" ht="12.75"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</row>
    <row r="1058" spans="3:30" s="2" customFormat="1" ht="12.75"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</row>
    <row r="1059" spans="3:30" s="2" customFormat="1" ht="12.75"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</row>
    <row r="1060" spans="3:30" s="2" customFormat="1" ht="12.75"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</row>
    <row r="1061" spans="3:30" s="2" customFormat="1" ht="12.75"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</row>
    <row r="1062" spans="3:30" s="2" customFormat="1" ht="12.75"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</row>
    <row r="1063" spans="3:30" s="2" customFormat="1" ht="12.75"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</row>
    <row r="1064" spans="3:30" s="2" customFormat="1" ht="12.75"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</row>
    <row r="1065" spans="3:30" s="2" customFormat="1" ht="12.75"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</row>
    <row r="1066" spans="3:30" s="2" customFormat="1" ht="12.75"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</row>
    <row r="1067" spans="3:30" s="2" customFormat="1" ht="12.75"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</row>
    <row r="1068" spans="3:30" s="2" customFormat="1" ht="12.75"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</row>
    <row r="1069" spans="3:30" s="2" customFormat="1" ht="12.75"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</row>
    <row r="1070" spans="3:30" s="2" customFormat="1" ht="12.75"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</row>
    <row r="1071" spans="3:30" s="2" customFormat="1" ht="12.75"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</row>
    <row r="1072" spans="3:30" s="2" customFormat="1" ht="12.75"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</row>
    <row r="1073" spans="3:30" s="2" customFormat="1" ht="12.75"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</row>
    <row r="1074" spans="3:30" s="2" customFormat="1" ht="12.75"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</row>
    <row r="1075" spans="3:30" s="2" customFormat="1" ht="12.75"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</row>
    <row r="1076" spans="3:30" s="2" customFormat="1" ht="12.75"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</row>
    <row r="1077" spans="3:30" s="2" customFormat="1" ht="12.75"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</row>
    <row r="1078" spans="3:30" s="2" customFormat="1" ht="12.75"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</row>
    <row r="1079" spans="3:30" s="2" customFormat="1" ht="12.75"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</row>
    <row r="1080" spans="3:30" s="2" customFormat="1" ht="12.75"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</row>
    <row r="1081" spans="3:30" s="2" customFormat="1" ht="12.75"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</row>
    <row r="1082" spans="3:30" s="2" customFormat="1" ht="12.75"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</row>
    <row r="1083" spans="3:30" s="2" customFormat="1" ht="12.75"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</row>
    <row r="1084" spans="3:30" s="2" customFormat="1" ht="12.75"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</row>
    <row r="1085" spans="3:30" s="2" customFormat="1" ht="12.75"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</row>
    <row r="1086" spans="3:30" s="2" customFormat="1" ht="12.75"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</row>
    <row r="1087" spans="3:30" s="2" customFormat="1" ht="12.75"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</row>
    <row r="1088" spans="3:30" s="2" customFormat="1" ht="12.75"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</row>
    <row r="1089" spans="3:30" s="2" customFormat="1" ht="12.75"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</row>
    <row r="1090" spans="3:30" s="2" customFormat="1" ht="12.75"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</row>
    <row r="1091" spans="3:30" s="2" customFormat="1" ht="12.75"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</row>
    <row r="1092" spans="3:30" s="2" customFormat="1" ht="12.75"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</row>
    <row r="1093" spans="3:30" s="2" customFormat="1" ht="12.75"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</row>
    <row r="1094" spans="3:30" s="2" customFormat="1" ht="12.75"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</row>
    <row r="1095" spans="3:30" s="2" customFormat="1" ht="12.75"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</row>
    <row r="1096" spans="3:30" s="2" customFormat="1" ht="12.75"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</row>
    <row r="1097" spans="3:30" s="2" customFormat="1" ht="12.75"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</row>
    <row r="1098" spans="3:30" s="2" customFormat="1" ht="12.75"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</row>
    <row r="1099" spans="3:30" s="2" customFormat="1" ht="12.75"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</row>
    <row r="1100" spans="3:30" s="2" customFormat="1" ht="12.75"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</row>
    <row r="1101" spans="3:30" s="2" customFormat="1" ht="12.75"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</row>
    <row r="1102" spans="3:30" s="2" customFormat="1" ht="12.75"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</row>
    <row r="1103" spans="3:30" s="2" customFormat="1" ht="12.75"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</row>
    <row r="1104" spans="3:30" s="2" customFormat="1" ht="12.75"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</row>
    <row r="1105" spans="3:30" s="2" customFormat="1" ht="12.75"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</row>
    <row r="1106" spans="3:30" s="2" customFormat="1" ht="12.75"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</row>
    <row r="1107" spans="3:30" s="2" customFormat="1" ht="12.75"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</row>
    <row r="1108" spans="3:30" s="2" customFormat="1" ht="12.75"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</row>
    <row r="1109" spans="3:30" s="2" customFormat="1" ht="12.75"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</row>
    <row r="1110" spans="3:30" s="2" customFormat="1" ht="12.75"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</row>
    <row r="1111" spans="3:30" s="2" customFormat="1" ht="12.75"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</row>
    <row r="1112" spans="3:30" s="2" customFormat="1" ht="12.75"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</row>
    <row r="1113" spans="3:30" s="2" customFormat="1" ht="12.75"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</row>
    <row r="1114" spans="3:30" s="2" customFormat="1" ht="12.75"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</row>
    <row r="1115" spans="3:30" s="2" customFormat="1" ht="12.75"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</row>
    <row r="1116" spans="3:30" s="2" customFormat="1" ht="12.75"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</row>
    <row r="1117" spans="3:30" s="2" customFormat="1" ht="12.75"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</row>
    <row r="1118" spans="3:30" s="2" customFormat="1" ht="12.75"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</row>
    <row r="1119" spans="3:30" s="2" customFormat="1" ht="12.75"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</row>
    <row r="1120" spans="3:30" s="2" customFormat="1" ht="12.75"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</row>
    <row r="1121" spans="3:30" s="2" customFormat="1" ht="12.75"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</row>
    <row r="1122" spans="3:30" s="2" customFormat="1" ht="12.75"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</row>
    <row r="1123" spans="3:30" s="2" customFormat="1" ht="12.75"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</row>
    <row r="1124" spans="3:30" s="2" customFormat="1" ht="12.75"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</row>
    <row r="1125" spans="3:30" s="2" customFormat="1" ht="12.75"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</row>
    <row r="1126" spans="3:30" s="2" customFormat="1" ht="12.75"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</row>
    <row r="1127" spans="3:30" s="2" customFormat="1" ht="12.75"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</row>
    <row r="1128" spans="3:30" s="2" customFormat="1" ht="12.75"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</row>
    <row r="1129" spans="3:30" s="2" customFormat="1" ht="12.75"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</row>
    <row r="1130" spans="3:30" s="2" customFormat="1" ht="12.75"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</row>
    <row r="1131" spans="3:30" s="2" customFormat="1" ht="12.75"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</row>
    <row r="1132" spans="3:30" s="2" customFormat="1" ht="12.75"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</row>
    <row r="1133" spans="3:30" s="2" customFormat="1" ht="12.75"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</row>
    <row r="1134" spans="3:30" s="2" customFormat="1" ht="12.75"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</row>
    <row r="1135" spans="3:30" s="2" customFormat="1" ht="12.75"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</row>
    <row r="1136" spans="3:30" s="2" customFormat="1" ht="12.75"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</row>
    <row r="1137" spans="3:30" s="2" customFormat="1" ht="12.75"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</row>
    <row r="1138" spans="3:30" s="2" customFormat="1" ht="12.75"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</row>
    <row r="1139" spans="3:30" s="2" customFormat="1" ht="12.75"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</row>
    <row r="1140" spans="3:30" s="2" customFormat="1" ht="12.75"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</row>
    <row r="1141" spans="3:30" s="2" customFormat="1" ht="12.75"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</row>
    <row r="1142" spans="3:30" s="2" customFormat="1" ht="12.75"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</row>
    <row r="1143" spans="3:30" s="2" customFormat="1" ht="12.75"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</row>
    <row r="1144" spans="3:30" s="2" customFormat="1" ht="12.75"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</row>
    <row r="1145" spans="3:30" s="2" customFormat="1" ht="12.75"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</row>
    <row r="1146" spans="3:30" s="2" customFormat="1" ht="12.75"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</row>
    <row r="1147" spans="3:30" s="2" customFormat="1" ht="12.75"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</row>
    <row r="1148" spans="3:30" s="2" customFormat="1" ht="12.75"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</row>
    <row r="1149" spans="3:30" s="2" customFormat="1" ht="12.75"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</row>
    <row r="1150" spans="3:30" s="2" customFormat="1" ht="12.75"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</row>
    <row r="1151" spans="3:30" s="2" customFormat="1" ht="12.75"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</row>
    <row r="1152" spans="3:30" s="2" customFormat="1" ht="12.75"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</row>
    <row r="1153" spans="3:30" s="2" customFormat="1" ht="12.75"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</row>
    <row r="1154" spans="3:30" s="2" customFormat="1" ht="12.75"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</row>
    <row r="1155" spans="3:30" s="2" customFormat="1" ht="12.75"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</row>
    <row r="1156" spans="3:30" s="2" customFormat="1" ht="12.75"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</row>
    <row r="1157" spans="3:30" s="2" customFormat="1" ht="12.75"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</row>
    <row r="1158" spans="3:30" s="2" customFormat="1" ht="12.75"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</row>
    <row r="1159" spans="3:30" s="2" customFormat="1" ht="12.75"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</row>
    <row r="1160" spans="3:30" s="2" customFormat="1" ht="12.75"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</row>
    <row r="1161" spans="3:30" s="2" customFormat="1" ht="12.75"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</row>
    <row r="1162" spans="3:30" s="2" customFormat="1" ht="12.75"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</row>
    <row r="1163" spans="3:30" s="2" customFormat="1" ht="12.75"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</row>
    <row r="1164" spans="3:30" s="2" customFormat="1" ht="12.75"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</row>
    <row r="1165" spans="3:30" s="2" customFormat="1" ht="12.75"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</row>
    <row r="1166" spans="3:30" s="2" customFormat="1" ht="12.75"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</row>
    <row r="1167" spans="3:30" s="2" customFormat="1" ht="12.75"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</row>
    <row r="1168" spans="3:30" s="2" customFormat="1" ht="12.75"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</row>
    <row r="1169" spans="3:30" s="2" customFormat="1" ht="12.75"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</row>
    <row r="1170" spans="3:30" s="2" customFormat="1" ht="12.75"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</row>
    <row r="1171" spans="3:30" s="2" customFormat="1" ht="12.75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</row>
    <row r="1172" spans="3:30" s="2" customFormat="1" ht="12.75"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</row>
    <row r="1173" spans="3:30" s="2" customFormat="1" ht="12.75"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</row>
    <row r="1174" spans="3:30" s="2" customFormat="1" ht="12.75"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</row>
    <row r="1175" spans="3:30" s="2" customFormat="1" ht="12.75"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</row>
    <row r="1176" spans="3:30" s="2" customFormat="1" ht="12.75"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</row>
    <row r="1177" spans="3:30" s="2" customFormat="1" ht="12.75"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</row>
    <row r="1178" spans="3:30" s="2" customFormat="1" ht="12.75"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</row>
    <row r="1179" spans="3:30" s="2" customFormat="1" ht="12.75"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</row>
    <row r="1180" spans="3:30" s="2" customFormat="1" ht="12.75"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</row>
    <row r="1181" spans="3:30" s="2" customFormat="1" ht="12.75"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</row>
    <row r="1182" spans="3:30" s="2" customFormat="1" ht="12.75"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</row>
    <row r="1183" spans="3:30" s="2" customFormat="1" ht="12.75"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</row>
    <row r="1184" spans="3:30" s="2" customFormat="1" ht="12.75"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</row>
    <row r="1185" spans="3:30" s="2" customFormat="1" ht="12.75"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</row>
    <row r="1186" spans="3:30" s="2" customFormat="1" ht="12.75"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</row>
    <row r="1187" spans="3:30" s="2" customFormat="1" ht="12.75"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</row>
    <row r="1188" spans="3:30" s="2" customFormat="1" ht="12.75"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</row>
    <row r="1189" spans="3:30" s="2" customFormat="1" ht="12.75"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</row>
    <row r="1190" spans="3:30" s="2" customFormat="1" ht="12.75"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</row>
    <row r="1191" spans="3:30" s="2" customFormat="1" ht="12.75"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</row>
    <row r="1192" spans="3:30" s="2" customFormat="1" ht="12.75"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</row>
    <row r="1193" spans="3:30" s="2" customFormat="1" ht="12.75"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</row>
    <row r="1194" spans="3:30" s="2" customFormat="1" ht="12.75"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</row>
    <row r="1195" spans="3:30" s="2" customFormat="1" ht="12.75"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</row>
    <row r="1196" spans="3:30" s="2" customFormat="1" ht="12.75"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</row>
    <row r="1197" spans="3:30" s="2" customFormat="1" ht="12.75"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</row>
    <row r="1198" spans="3:30" s="2" customFormat="1" ht="12.75"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</row>
    <row r="1199" spans="3:30" s="2" customFormat="1" ht="12.75"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</row>
    <row r="1200" spans="3:30" s="2" customFormat="1" ht="12.75"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</row>
    <row r="1201" spans="3:30" s="2" customFormat="1" ht="12.75"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</row>
    <row r="1202" spans="3:30" s="2" customFormat="1" ht="12.75"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</row>
    <row r="1203" spans="3:30" s="2" customFormat="1" ht="12.75"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</row>
    <row r="1204" spans="3:30" s="2" customFormat="1" ht="12.75"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</row>
    <row r="1205" spans="3:30" s="2" customFormat="1" ht="12.75"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</row>
    <row r="1206" spans="3:30" s="2" customFormat="1" ht="12.75"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</row>
    <row r="1207" spans="3:30" s="2" customFormat="1" ht="12.75"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</row>
    <row r="1208" spans="3:30" s="2" customFormat="1" ht="12.75"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</row>
    <row r="1209" spans="3:30" s="2" customFormat="1" ht="12.75"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</row>
    <row r="1210" spans="3:30" s="2" customFormat="1" ht="12.75"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</row>
    <row r="1211" spans="3:30" s="2" customFormat="1" ht="12.75"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</row>
    <row r="1212" spans="3:30" s="2" customFormat="1" ht="12.75"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</row>
    <row r="1213" spans="3:30" s="2" customFormat="1" ht="12.75"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</row>
    <row r="1214" spans="3:30" s="2" customFormat="1" ht="12.75"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</row>
    <row r="1215" spans="3:30" s="2" customFormat="1" ht="12.75"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</row>
    <row r="1216" spans="3:30" s="2" customFormat="1" ht="12.75"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</row>
    <row r="1217" spans="3:30" s="2" customFormat="1" ht="12.75"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</row>
    <row r="1218" spans="3:30" s="2" customFormat="1" ht="12.75"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</row>
    <row r="1219" spans="3:30" s="2" customFormat="1" ht="12.75"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</row>
    <row r="1220" spans="3:30" s="2" customFormat="1" ht="12.75"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</row>
    <row r="1221" spans="3:30" s="2" customFormat="1" ht="12.75"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</row>
    <row r="1222" spans="3:30" s="2" customFormat="1" ht="12.75"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</row>
    <row r="1223" spans="3:30" s="2" customFormat="1" ht="12.75"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</row>
    <row r="1224" spans="3:30" s="2" customFormat="1" ht="12.75"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</row>
    <row r="1225" spans="3:30" s="2" customFormat="1" ht="12.75"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</row>
    <row r="1226" spans="3:30" s="2" customFormat="1" ht="12.75"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</row>
    <row r="1227" spans="3:30" s="2" customFormat="1" ht="12.75"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</row>
    <row r="1228" spans="3:30" s="2" customFormat="1" ht="12.75"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</row>
    <row r="1229" spans="3:30" s="2" customFormat="1" ht="12.75"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</row>
    <row r="1230" spans="3:30" s="2" customFormat="1" ht="12.75"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</row>
    <row r="1231" spans="3:30" s="2" customFormat="1" ht="12.75"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</row>
    <row r="1232" spans="3:30" s="2" customFormat="1" ht="12.75"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</row>
    <row r="1233" spans="3:30" s="2" customFormat="1" ht="12.75"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</row>
    <row r="1234" spans="3:30" s="2" customFormat="1" ht="12.75"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</row>
    <row r="1235" spans="3:30" s="2" customFormat="1" ht="12.75"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</row>
    <row r="1236" spans="3:30" s="2" customFormat="1" ht="12.75"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</row>
    <row r="1237" spans="3:30" s="2" customFormat="1" ht="12.75"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</row>
    <row r="1238" spans="3:30" s="2" customFormat="1" ht="12.75"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</row>
    <row r="1239" spans="3:30" s="2" customFormat="1" ht="12.75"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</row>
    <row r="1240" spans="3:30" s="2" customFormat="1" ht="12.75"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</row>
    <row r="1241" spans="3:30" s="2" customFormat="1" ht="12.75"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</row>
    <row r="1242" spans="3:30" s="2" customFormat="1" ht="12.75"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</row>
    <row r="1243" spans="3:30" s="2" customFormat="1" ht="12.75"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</row>
    <row r="1244" spans="3:30" s="2" customFormat="1" ht="12.75"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</row>
    <row r="1245" spans="3:30" s="2" customFormat="1" ht="12.75"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</row>
    <row r="1246" spans="3:30" s="2" customFormat="1" ht="12.75"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</row>
    <row r="1247" spans="3:30" s="2" customFormat="1" ht="12.75"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</row>
    <row r="1248" spans="3:30" s="2" customFormat="1" ht="12.75"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</row>
    <row r="1249" spans="3:30" s="2" customFormat="1" ht="12.75"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</row>
    <row r="1250" spans="3:30" s="2" customFormat="1" ht="12.75"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</row>
    <row r="1251" spans="3:30" s="2" customFormat="1" ht="12.75"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</row>
    <row r="1252" spans="3:30" s="2" customFormat="1" ht="12.75"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</row>
    <row r="1253" spans="3:30" s="2" customFormat="1" ht="12.75"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</row>
    <row r="1254" spans="3:30" s="2" customFormat="1" ht="12.75"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</row>
    <row r="1255" spans="3:30" s="2" customFormat="1" ht="12.75"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</row>
    <row r="1256" spans="3:30" s="2" customFormat="1" ht="12.75"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</row>
    <row r="1257" spans="3:30" s="2" customFormat="1" ht="12.75"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</row>
    <row r="1258" spans="3:30" s="2" customFormat="1" ht="12.75"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</row>
    <row r="1259" spans="3:30" s="2" customFormat="1" ht="12.75"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</row>
    <row r="1260" spans="3:30" s="2" customFormat="1" ht="12.75"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</row>
    <row r="1261" spans="3:30" s="2" customFormat="1" ht="12.75"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</row>
    <row r="1262" spans="3:30" s="2" customFormat="1" ht="12.75"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</row>
    <row r="1263" spans="3:30" s="2" customFormat="1" ht="12.75"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</row>
    <row r="1264" spans="3:30" s="2" customFormat="1" ht="12.75"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</row>
    <row r="1265" spans="3:30" s="2" customFormat="1" ht="12.75"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</row>
    <row r="1266" spans="3:30" s="2" customFormat="1" ht="12.75"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</row>
    <row r="1267" spans="3:30" s="2" customFormat="1" ht="12.75"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</row>
    <row r="1268" spans="3:30" s="2" customFormat="1" ht="12.75"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</row>
    <row r="1269" spans="3:30" s="2" customFormat="1" ht="12.75"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</row>
    <row r="1270" spans="3:30" s="2" customFormat="1" ht="12.75"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</row>
    <row r="1271" spans="3:30" s="2" customFormat="1" ht="12.75"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</row>
    <row r="1272" spans="3:30" s="2" customFormat="1" ht="12.75"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</row>
    <row r="1273" spans="3:30" s="2" customFormat="1" ht="12.75"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</row>
    <row r="1274" spans="3:30" s="2" customFormat="1" ht="12.75"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</row>
    <row r="1275" spans="3:30" s="2" customFormat="1" ht="12.75"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</row>
    <row r="1276" spans="3:30" s="2" customFormat="1" ht="12.75"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</row>
    <row r="1277" spans="3:30" s="2" customFormat="1" ht="12.75"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</row>
    <row r="1278" spans="3:30" s="2" customFormat="1" ht="12.75"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</row>
    <row r="1279" spans="3:30" s="2" customFormat="1" ht="12.75"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</row>
    <row r="1280" spans="3:30" s="2" customFormat="1" ht="12.75"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</row>
    <row r="1281" spans="3:30" s="2" customFormat="1" ht="12.75"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</row>
    <row r="1282" spans="3:30" s="2" customFormat="1" ht="12.75"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</row>
    <row r="1283" spans="3:30" s="2" customFormat="1" ht="12.75"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</row>
    <row r="1284" spans="3:30" s="2" customFormat="1" ht="12.75"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</row>
    <row r="1285" spans="3:30" s="2" customFormat="1" ht="12.75"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</row>
    <row r="1286" spans="3:30" s="2" customFormat="1" ht="12.75"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</row>
    <row r="1287" spans="3:30" s="2" customFormat="1" ht="12.75"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</row>
    <row r="1288" spans="3:30" s="2" customFormat="1" ht="12.75"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</row>
    <row r="1289" spans="3:30" s="2" customFormat="1" ht="12.75"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</row>
    <row r="1290" spans="3:30" s="2" customFormat="1" ht="12.75"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</row>
    <row r="1291" spans="3:30" s="2" customFormat="1" ht="12.75"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</row>
    <row r="1292" spans="3:30" s="2" customFormat="1" ht="12.75"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</row>
    <row r="1293" spans="3:30" s="2" customFormat="1" ht="12.75"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</row>
    <row r="1294" spans="3:30" s="2" customFormat="1" ht="12.75"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</row>
    <row r="1295" spans="3:30" s="2" customFormat="1" ht="12.75"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</row>
    <row r="1296" spans="3:30" s="2" customFormat="1" ht="12.75"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</row>
    <row r="1297" spans="3:30" s="2" customFormat="1" ht="12.75"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</row>
    <row r="1298" spans="3:30" s="2" customFormat="1" ht="12.75"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</row>
    <row r="1299" spans="3:30" s="2" customFormat="1" ht="12.75"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</row>
    <row r="1300" spans="3:30" s="2" customFormat="1" ht="12.75"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</row>
    <row r="1301" spans="3:30" s="2" customFormat="1" ht="12.75"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</row>
    <row r="1302" spans="3:30" s="2" customFormat="1" ht="12.75"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</row>
    <row r="1303" spans="3:30" s="2" customFormat="1" ht="12.75"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</row>
    <row r="1304" spans="3:30" s="2" customFormat="1" ht="12.75"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</row>
    <row r="1305" spans="3:30" s="2" customFormat="1" ht="12.75"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</row>
    <row r="1306" spans="3:30" s="2" customFormat="1" ht="12.75"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</row>
    <row r="1307" spans="3:30" s="2" customFormat="1" ht="12.75"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</row>
    <row r="1308" spans="3:30" s="2" customFormat="1" ht="12.75"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</row>
    <row r="1309" spans="3:30" s="2" customFormat="1" ht="12.75"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</row>
    <row r="1310" spans="3:30" s="2" customFormat="1" ht="12.75"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</row>
    <row r="1311" spans="3:30" s="2" customFormat="1" ht="12.75"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</row>
    <row r="1312" spans="3:30" s="2" customFormat="1" ht="12.75"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</row>
    <row r="1313" spans="3:30" s="2" customFormat="1" ht="12.75"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</row>
    <row r="1314" spans="3:30" s="2" customFormat="1" ht="12.75"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</row>
    <row r="1315" spans="3:30" s="2" customFormat="1" ht="12.75"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</row>
    <row r="1316" spans="3:30" s="2" customFormat="1" ht="12.75"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</row>
    <row r="1317" spans="3:30" s="2" customFormat="1" ht="12.75"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</row>
    <row r="1318" spans="3:30" s="2" customFormat="1" ht="12.75"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</row>
    <row r="1319" spans="3:30" s="2" customFormat="1" ht="12.75"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</row>
    <row r="1320" spans="3:30" s="2" customFormat="1" ht="12.75"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</row>
    <row r="1321" spans="3:30" s="2" customFormat="1" ht="12.75"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</row>
    <row r="1322" spans="3:30" s="2" customFormat="1" ht="12.75"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</row>
    <row r="1323" spans="3:30" s="2" customFormat="1" ht="12.75"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</row>
    <row r="1324" spans="3:30" s="2" customFormat="1" ht="12.75"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</row>
    <row r="1325" spans="3:30" s="2" customFormat="1" ht="12.75"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</row>
    <row r="1326" spans="3:30" s="2" customFormat="1" ht="12.75"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</row>
    <row r="1327" spans="3:30" s="2" customFormat="1" ht="12.75"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</row>
    <row r="1328" spans="3:30" s="2" customFormat="1" ht="12.75"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</row>
    <row r="1329" spans="3:30" s="2" customFormat="1" ht="12.75"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</row>
    <row r="1330" spans="3:30" s="2" customFormat="1" ht="12.75"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</row>
    <row r="1331" spans="3:30" s="2" customFormat="1" ht="12.75"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</row>
    <row r="1332" spans="3:30" s="2" customFormat="1" ht="12.75"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</row>
    <row r="1333" spans="3:30" s="2" customFormat="1" ht="12.75"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</row>
    <row r="1334" spans="3:30" s="2" customFormat="1" ht="12.75"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</row>
    <row r="1335" spans="3:30" s="2" customFormat="1" ht="12.75"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</row>
    <row r="1336" spans="3:30" s="2" customFormat="1" ht="12.75"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</row>
    <row r="1337" spans="3:30" s="2" customFormat="1" ht="12.75"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</row>
    <row r="1338" spans="3:30" s="2" customFormat="1" ht="12.75"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</row>
    <row r="1339" spans="3:30" s="2" customFormat="1" ht="12.75"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</row>
    <row r="1340" spans="3:30" s="2" customFormat="1" ht="12.75"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</row>
    <row r="1341" spans="3:30" s="2" customFormat="1" ht="12.75"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</row>
    <row r="1342" spans="3:30" s="2" customFormat="1" ht="12.75"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</row>
    <row r="1343" spans="3:30" s="2" customFormat="1" ht="12.75"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</row>
    <row r="1344" spans="3:30" s="2" customFormat="1" ht="12.75"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</row>
    <row r="1345" spans="3:30" s="2" customFormat="1" ht="12.75"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</row>
    <row r="1346" spans="3:30" s="2" customFormat="1" ht="12.75"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3:30" s="2" customFormat="1" ht="12.75"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</row>
    <row r="1348" spans="3:30" s="2" customFormat="1" ht="12.75"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</row>
    <row r="1349" spans="3:30" s="2" customFormat="1" ht="12.75"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</row>
    <row r="1350" spans="3:30" s="2" customFormat="1" ht="12.75"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</row>
    <row r="1351" spans="3:30" s="2" customFormat="1" ht="12.75"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</row>
    <row r="1352" spans="3:30" s="2" customFormat="1" ht="12.75"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</row>
    <row r="1353" spans="3:30" s="2" customFormat="1" ht="12.75"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</row>
    <row r="1354" spans="3:30" s="2" customFormat="1" ht="12.75"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</row>
    <row r="1355" spans="3:30" s="2" customFormat="1" ht="12.75"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</row>
    <row r="1356" spans="3:30" s="2" customFormat="1" ht="12.75"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</row>
    <row r="1357" spans="3:30" s="2" customFormat="1" ht="12.75"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</row>
    <row r="1358" spans="3:30" s="2" customFormat="1" ht="12.75"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</row>
    <row r="1359" spans="3:30" s="2" customFormat="1" ht="12.75"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</row>
    <row r="1360" spans="3:30" s="2" customFormat="1" ht="12.75"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</row>
    <row r="1361" spans="3:30" s="2" customFormat="1" ht="12.75"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</row>
    <row r="1362" spans="3:30" s="2" customFormat="1" ht="12.75"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</row>
    <row r="1363" spans="3:30" s="2" customFormat="1" ht="12.75"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</row>
    <row r="1364" spans="3:30" s="2" customFormat="1" ht="12.75"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</row>
    <row r="1365" spans="3:30" s="2" customFormat="1" ht="12.75"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</row>
    <row r="1366" spans="3:30" s="2" customFormat="1" ht="12.75"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</row>
    <row r="1367" spans="3:30" s="2" customFormat="1" ht="12.75"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</row>
    <row r="1368" spans="3:30" s="2" customFormat="1" ht="12.75"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</row>
    <row r="1369" spans="3:30" s="2" customFormat="1" ht="12.75"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</row>
    <row r="1370" spans="3:30" s="2" customFormat="1" ht="12.75"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</row>
    <row r="1371" spans="3:30" s="2" customFormat="1" ht="12.75"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</row>
    <row r="1372" spans="3:30" s="2" customFormat="1" ht="12.75"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</row>
    <row r="1373" spans="3:30" s="2" customFormat="1" ht="12.75"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</row>
    <row r="1374" spans="3:30" s="2" customFormat="1" ht="12.75"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</row>
    <row r="1375" spans="3:30" s="2" customFormat="1" ht="12.75"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</row>
    <row r="1376" spans="3:30" s="2" customFormat="1" ht="12.75"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</row>
    <row r="1377" spans="3:30" s="2" customFormat="1" ht="12.75"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</row>
    <row r="1378" spans="3:30" s="2" customFormat="1" ht="12.75"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</row>
    <row r="1379" spans="3:30" s="2" customFormat="1" ht="12.75"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</row>
    <row r="1380" spans="3:30" s="2" customFormat="1" ht="12.75"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</row>
    <row r="1381" spans="3:30" s="2" customFormat="1" ht="12.75"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</row>
    <row r="1382" spans="3:30" s="2" customFormat="1" ht="12.75"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</row>
    <row r="1383" spans="3:30" s="2" customFormat="1" ht="12.75"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</row>
    <row r="1384" spans="3:30" s="2" customFormat="1" ht="12.75"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</row>
    <row r="1385" spans="3:30" s="2" customFormat="1" ht="12.75"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</row>
    <row r="1386" spans="3:30" s="2" customFormat="1" ht="12.75"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</row>
    <row r="1387" spans="3:30" s="2" customFormat="1" ht="12.75"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</row>
    <row r="1388" spans="3:30" s="2" customFormat="1" ht="12.75"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</row>
    <row r="1389" spans="3:30" s="2" customFormat="1" ht="12.75"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</row>
    <row r="1390" spans="3:30" s="2" customFormat="1" ht="12.75"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</row>
    <row r="1391" spans="3:30" s="2" customFormat="1" ht="12.75"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</row>
    <row r="1392" spans="3:30" s="2" customFormat="1" ht="12.75"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</row>
    <row r="1393" spans="3:30" s="2" customFormat="1" ht="12.75"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</row>
    <row r="1394" spans="3:30" s="2" customFormat="1" ht="12.75"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</row>
    <row r="1395" spans="3:30" s="2" customFormat="1" ht="12.75"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</row>
    <row r="1396" spans="3:30" s="2" customFormat="1" ht="12.75"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</row>
    <row r="1397" spans="3:30" s="2" customFormat="1" ht="12.75"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</row>
    <row r="1398" spans="3:30" s="2" customFormat="1" ht="12.75"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</row>
    <row r="1399" spans="3:30" s="2" customFormat="1" ht="12.75"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</row>
    <row r="1400" spans="3:30" s="2" customFormat="1" ht="12.75"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</row>
    <row r="1401" spans="3:30" s="2" customFormat="1" ht="12.75"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</row>
    <row r="1402" spans="3:30" s="2" customFormat="1" ht="12.75"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</row>
    <row r="1403" spans="3:30" s="2" customFormat="1" ht="12.75"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</row>
    <row r="1404" spans="3:30" s="2" customFormat="1" ht="12.75"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</row>
    <row r="1405" spans="3:30" s="2" customFormat="1" ht="12.75"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</row>
    <row r="1406" spans="3:30" s="2" customFormat="1" ht="12.75"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</row>
    <row r="1407" spans="3:30" s="2" customFormat="1" ht="12.75"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</row>
    <row r="1408" spans="3:30" s="2" customFormat="1" ht="12.75"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</row>
    <row r="1409" spans="3:30" s="2" customFormat="1" ht="12.75"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</row>
    <row r="1410" spans="3:30" s="2" customFormat="1" ht="12.75"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</row>
    <row r="1411" spans="3:30" s="2" customFormat="1" ht="12.75"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</row>
    <row r="1412" spans="3:30" s="2" customFormat="1" ht="12.75"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</row>
    <row r="1413" spans="3:30" s="2" customFormat="1" ht="12.75"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</row>
    <row r="1414" spans="3:30" s="2" customFormat="1" ht="12.75"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</row>
    <row r="1415" spans="3:30" s="2" customFormat="1" ht="12.75"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</row>
    <row r="1416" spans="3:30" s="2" customFormat="1" ht="12.75"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</row>
    <row r="1417" spans="3:30" s="2" customFormat="1" ht="12.75"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</row>
    <row r="1418" spans="3:30" s="2" customFormat="1" ht="12.75"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</row>
    <row r="1419" spans="3:30" s="2" customFormat="1" ht="12.75"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</row>
    <row r="1420" spans="3:30" s="2" customFormat="1" ht="12.75"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</row>
    <row r="1421" spans="3:30" s="2" customFormat="1" ht="12.75"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</row>
    <row r="1422" spans="3:30" s="2" customFormat="1" ht="12.75"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</row>
    <row r="1423" spans="3:30" s="2" customFormat="1" ht="12.75"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</row>
    <row r="1424" spans="3:30" s="2" customFormat="1" ht="12.75"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</row>
    <row r="1425" spans="3:30" s="2" customFormat="1" ht="12.75"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</row>
    <row r="1426" spans="3:30" s="2" customFormat="1" ht="12.75"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</row>
    <row r="1427" spans="3:30" s="2" customFormat="1" ht="12.75"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</row>
    <row r="1428" spans="3:30" s="2" customFormat="1" ht="12.75"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</row>
    <row r="1429" spans="3:30" s="2" customFormat="1" ht="12.75"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</row>
    <row r="1430" spans="3:30" s="2" customFormat="1" ht="12.75"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</row>
    <row r="1431" spans="3:30" s="2" customFormat="1" ht="12.75"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</row>
    <row r="1432" spans="3:30" s="2" customFormat="1" ht="12.75"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</row>
    <row r="1433" spans="3:30" s="2" customFormat="1" ht="12.75"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</row>
    <row r="1434" spans="3:30" s="2" customFormat="1" ht="12.75"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</row>
    <row r="1435" spans="3:30" s="2" customFormat="1" ht="12.75"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</row>
    <row r="1436" spans="3:30" s="2" customFormat="1" ht="12.75"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</row>
    <row r="1437" spans="3:30" s="2" customFormat="1" ht="12.75"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</row>
    <row r="1438" spans="3:30" s="2" customFormat="1" ht="12.75"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</row>
    <row r="1439" spans="3:30" s="2" customFormat="1" ht="12.75"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</row>
    <row r="1440" spans="3:30" s="2" customFormat="1" ht="12.75"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</row>
    <row r="1441" spans="3:30" s="2" customFormat="1" ht="12.75"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</row>
    <row r="1442" spans="3:30" s="2" customFormat="1" ht="12.75"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</row>
    <row r="1443" spans="3:30" s="2" customFormat="1" ht="12.75"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</row>
    <row r="1444" spans="3:30" s="2" customFormat="1" ht="12.75"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</row>
    <row r="1445" spans="3:30" s="2" customFormat="1" ht="12.75"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</row>
    <row r="1446" spans="3:30" s="2" customFormat="1" ht="12.75"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</row>
    <row r="1447" spans="3:30" s="2" customFormat="1" ht="12.75"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</row>
    <row r="1448" spans="3:30" s="2" customFormat="1" ht="12.75"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</row>
    <row r="1449" spans="3:30" s="2" customFormat="1" ht="12.75"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</row>
    <row r="1450" spans="3:30" s="2" customFormat="1" ht="12.75"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</row>
    <row r="1451" spans="3:30" s="2" customFormat="1" ht="12.75"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</row>
    <row r="1452" spans="3:30" s="2" customFormat="1" ht="12.75"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</row>
    <row r="1453" spans="3:30" s="2" customFormat="1" ht="12.75"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</row>
    <row r="1454" spans="3:30" s="2" customFormat="1" ht="12.75"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</row>
    <row r="1455" spans="3:30" s="2" customFormat="1" ht="12.75"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</row>
    <row r="1456" spans="3:30" s="2" customFormat="1" ht="12.75"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</row>
    <row r="1457" spans="3:30" s="2" customFormat="1" ht="12.75"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</row>
    <row r="1458" spans="3:30" s="2" customFormat="1" ht="12.75"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</row>
    <row r="1459" spans="3:30" s="2" customFormat="1" ht="12.75"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</row>
    <row r="1460" spans="3:30" s="2" customFormat="1" ht="12.75"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</row>
    <row r="1461" spans="3:30" s="2" customFormat="1" ht="12.75"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</row>
    <row r="1462" spans="3:30" s="2" customFormat="1" ht="12.75"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</row>
    <row r="1463" spans="3:30" s="2" customFormat="1" ht="12.75"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</row>
    <row r="1464" spans="3:30" s="2" customFormat="1" ht="12.75"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</row>
    <row r="1465" spans="3:30" s="2" customFormat="1" ht="12.75"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</row>
    <row r="1466" spans="3:30" s="2" customFormat="1" ht="12.75"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</row>
    <row r="1467" spans="3:30" s="2" customFormat="1" ht="12.75"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</row>
    <row r="1468" spans="3:30" s="2" customFormat="1" ht="12.75"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</row>
    <row r="1469" spans="3:30" s="2" customFormat="1" ht="12.75"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</row>
    <row r="1470" spans="3:30" s="2" customFormat="1" ht="12.75"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</row>
    <row r="1471" spans="3:30" s="2" customFormat="1" ht="12.75"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</row>
    <row r="1472" spans="3:30" s="2" customFormat="1" ht="12.75"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</row>
    <row r="1473" spans="3:30" s="2" customFormat="1" ht="12.75"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</row>
    <row r="1474" spans="3:30" s="2" customFormat="1" ht="12.75"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</row>
    <row r="1475" spans="3:30" s="2" customFormat="1" ht="12.75"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</row>
    <row r="1476" spans="3:30" s="2" customFormat="1" ht="12.75"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</row>
    <row r="1477" spans="3:30" s="2" customFormat="1" ht="12.75"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</row>
    <row r="1478" spans="3:30" s="2" customFormat="1" ht="12.75"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</row>
    <row r="1479" spans="3:30" s="2" customFormat="1" ht="12.75"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</row>
    <row r="1480" spans="3:30" s="2" customFormat="1" ht="12.75"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</row>
    <row r="1481" spans="3:30" s="2" customFormat="1" ht="12.75"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</row>
    <row r="1482" spans="3:30" s="2" customFormat="1" ht="12.75"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</row>
    <row r="1483" spans="3:30" s="2" customFormat="1" ht="12.75"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</row>
    <row r="1484" spans="3:30" s="2" customFormat="1" ht="12.75"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</row>
    <row r="1485" spans="3:30" s="2" customFormat="1" ht="12.75"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</row>
    <row r="1486" spans="3:30" s="2" customFormat="1" ht="12.75"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</row>
    <row r="1487" spans="3:30" s="2" customFormat="1" ht="12.75"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</row>
    <row r="1488" spans="3:30" s="2" customFormat="1" ht="12.75"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</row>
    <row r="1489" spans="3:30" s="2" customFormat="1" ht="12.75"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</row>
    <row r="1490" spans="3:30" s="2" customFormat="1" ht="12.75"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</row>
    <row r="1491" spans="3:30" s="2" customFormat="1" ht="12.75"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</row>
    <row r="1492" spans="3:30" s="2" customFormat="1" ht="12.75"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</row>
    <row r="1493" spans="3:30" s="2" customFormat="1" ht="12.75"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</row>
    <row r="1494" spans="3:30" s="2" customFormat="1" ht="12.75"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</row>
    <row r="1495" spans="3:30" s="2" customFormat="1" ht="12.75"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</row>
    <row r="1496" spans="3:30" s="2" customFormat="1" ht="12.75"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</row>
    <row r="1497" spans="3:30" s="2" customFormat="1" ht="12.75"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</row>
    <row r="1498" spans="3:30" s="2" customFormat="1" ht="12.75"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</row>
    <row r="1499" spans="3:30" s="2" customFormat="1" ht="12.75"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</row>
    <row r="1500" spans="3:30" s="2" customFormat="1" ht="12.75"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</row>
    <row r="1501" spans="3:30" s="2" customFormat="1" ht="12.75"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</row>
    <row r="1502" spans="3:30" s="2" customFormat="1" ht="12.75"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</row>
    <row r="1503" spans="3:30" s="2" customFormat="1" ht="12.75"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</row>
    <row r="1504" spans="3:30" s="2" customFormat="1" ht="12.75"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</row>
    <row r="1505" spans="3:30" s="2" customFormat="1" ht="12.75"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</row>
    <row r="1506" spans="3:30" s="2" customFormat="1" ht="12.75"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</row>
    <row r="1507" spans="3:30" s="2" customFormat="1" ht="12.75"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</row>
    <row r="1508" spans="3:30" s="2" customFormat="1" ht="12.75"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</row>
    <row r="1509" spans="3:30" s="2" customFormat="1" ht="12.75"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</row>
    <row r="1510" spans="3:30" s="2" customFormat="1" ht="12.75"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</row>
    <row r="1511" spans="3:30" s="2" customFormat="1" ht="12.75"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</row>
    <row r="1512" spans="3:30" s="2" customFormat="1" ht="12.75"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</row>
    <row r="1513" spans="3:30" s="2" customFormat="1" ht="12.75"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</row>
    <row r="1514" spans="3:30" s="2" customFormat="1" ht="12.75"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</row>
    <row r="1515" spans="3:30" s="2" customFormat="1" ht="12.75"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</row>
    <row r="1516" spans="3:30" s="2" customFormat="1" ht="12.75"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</row>
    <row r="1517" spans="3:30" s="2" customFormat="1" ht="12.75"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</row>
    <row r="1518" spans="3:30" s="2" customFormat="1" ht="12.75"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</row>
    <row r="1519" spans="3:30" s="2" customFormat="1" ht="12.75"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</row>
    <row r="1520" spans="3:30" s="2" customFormat="1" ht="12.75"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</row>
    <row r="1521" spans="3:30" s="2" customFormat="1" ht="12.75"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</row>
    <row r="1522" spans="3:30" ht="12.75"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</row>
    <row r="1523" spans="3:30" ht="12.75"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</row>
    <row r="1524" spans="3:30" ht="12.75"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</row>
    <row r="1525" spans="3:30" ht="12.75"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</row>
    <row r="1526" spans="3:30" ht="12.75"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</row>
    <row r="1527" spans="3:30" ht="12.75"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</row>
    <row r="1528" spans="3:30" ht="12.75"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</row>
    <row r="1529" spans="3:30" ht="12.75"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</row>
    <row r="1530" spans="3:30" ht="12.75"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</row>
    <row r="1531" spans="3:30" ht="12.75"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</row>
    <row r="1532" spans="3:30" ht="12.75"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</row>
    <row r="1533" spans="3:30" ht="12.75"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</row>
    <row r="1534" spans="3:30" ht="12.75"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</row>
    <row r="1535" spans="3:30" ht="12.75"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</row>
    <row r="1536" spans="3:30" ht="12.75"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</row>
    <row r="1537" spans="3:30" ht="12.75"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</row>
    <row r="1538" spans="3:30" ht="12.75"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</row>
    <row r="1539" spans="3:30" ht="12.75"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</row>
    <row r="1540" spans="3:30" ht="12.75"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</row>
    <row r="1541" spans="3:30" ht="12.75"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</row>
    <row r="1542" spans="3:30" ht="12.75"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</row>
    <row r="1543" spans="3:30" ht="12.75"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</row>
    <row r="1544" spans="3:30" ht="12.75"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</row>
    <row r="1545" spans="3:30" ht="12.75"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</row>
    <row r="1546" spans="3:30" ht="12.75"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</row>
    <row r="1547" spans="3:30" ht="12.75"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</row>
    <row r="1548" spans="3:30" ht="12.75"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</row>
    <row r="1549" spans="3:30" ht="12.75"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</row>
    <row r="1550" spans="3:30" ht="12.75"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</row>
    <row r="1551" spans="3:30" ht="12.75"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</row>
    <row r="1552" spans="3:30" ht="12.75"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</row>
    <row r="1553" spans="3:30" ht="12.75"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</row>
    <row r="1554" spans="3:30" ht="12.75"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</row>
    <row r="1555" spans="3:30" ht="12.75"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</row>
    <row r="1556" spans="3:30" ht="12.75"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</row>
    <row r="1557" spans="3:30" ht="12.75"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</row>
    <row r="1558" spans="3:30" ht="12.75"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</row>
    <row r="1559" spans="3:30" ht="12.75"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</row>
    <row r="1560" spans="3:30" ht="12.75"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</row>
    <row r="1561" spans="3:30" ht="12.75"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</row>
    <row r="1562" spans="3:30" ht="12.75"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</row>
    <row r="1563" spans="3:30" ht="12.75"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</row>
    <row r="1564" spans="3:30" ht="12.75"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</row>
    <row r="1565" spans="3:30" ht="12.75"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</row>
    <row r="1566" spans="3:30" ht="12.75"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</row>
    <row r="1567" spans="3:30" ht="12.75"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</row>
    <row r="1568" spans="3:30" ht="12.75"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</row>
    <row r="1569" spans="3:30" ht="12.75"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</row>
    <row r="1570" spans="3:30" ht="12.75"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</row>
    <row r="1571" spans="3:30" ht="12.75"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</row>
    <row r="1572" spans="3:30" ht="12.75"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</row>
    <row r="1573" spans="3:30" ht="12.75"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</row>
    <row r="1574" spans="3:30" ht="12.75"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</row>
    <row r="1575" spans="3:30" ht="12.75"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</row>
    <row r="1576" spans="3:30" ht="12.75"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</row>
    <row r="1577" spans="3:30" ht="12.75"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</row>
    <row r="1578" spans="3:30" ht="12.75"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</row>
    <row r="1579" spans="3:30" ht="12.75"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</row>
    <row r="1580" spans="3:30" ht="12.75"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</row>
    <row r="1581" spans="3:30" ht="12.75"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</row>
    <row r="1582" spans="3:30" ht="12.75"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</row>
    <row r="1583" spans="3:30" ht="12.75"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</row>
    <row r="1584" spans="3:30" ht="12.75"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</row>
    <row r="1585" spans="3:30" ht="12.75"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</row>
    <row r="1586" spans="3:30" ht="12.75"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</row>
    <row r="1587" spans="3:30" ht="12.75"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</row>
    <row r="1588" spans="3:30" ht="12.75"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</row>
    <row r="1589" spans="3:30" ht="12.75"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</row>
    <row r="1590" spans="3:30" ht="12.75"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</row>
    <row r="1591" spans="3:30" ht="12.75"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</row>
    <row r="1592" spans="3:30" ht="12.75"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</row>
    <row r="1593" spans="3:30" ht="12.75"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</row>
    <row r="1594" spans="3:30" ht="12.75"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</row>
    <row r="1595" spans="3:30" ht="12.75"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</row>
    <row r="1596" spans="3:30" ht="12.75"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</row>
    <row r="1597" spans="3:30" ht="12.75"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</row>
    <row r="1598" spans="3:30" ht="12.75"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</row>
    <row r="1599" spans="3:30" ht="12.75"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</row>
    <row r="1600" spans="3:30" ht="12.75"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</row>
    <row r="1601" spans="3:30" ht="12.75"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</row>
    <row r="1602" spans="3:30" ht="12.75"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</row>
    <row r="1603" spans="3:30" ht="12.75"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</row>
    <row r="1604" spans="3:30" ht="12.75"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</row>
    <row r="1605" spans="3:30" ht="12.75"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</row>
    <row r="1606" spans="3:30" ht="12.75"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</row>
    <row r="1607" spans="3:30" ht="12.75"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</row>
    <row r="1608" spans="3:30" ht="12.75"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</row>
    <row r="1609" spans="3:30" ht="12.75"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</row>
    <row r="1610" spans="3:30" ht="12.75"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</row>
    <row r="1611" spans="3:30" ht="12.75"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</row>
    <row r="1612" spans="3:30" ht="12.75"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</row>
    <row r="1613" spans="3:30" ht="12.75"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</row>
    <row r="1614" spans="3:30" ht="12.75"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</row>
    <row r="1615" spans="3:30" ht="12.75"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</row>
    <row r="1616" spans="3:30" ht="12.75"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</row>
    <row r="1617" spans="3:30" ht="12.75"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</row>
    <row r="1618" spans="3:30" ht="12.75"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</row>
    <row r="1619" spans="3:30" ht="12.75"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</row>
    <row r="1620" spans="3:30" ht="12.75"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</row>
    <row r="1621" spans="3:30" ht="12.75"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</row>
    <row r="1622" spans="3:30" ht="12.75"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</row>
    <row r="1623" spans="3:30" ht="12.75"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</row>
    <row r="1624" spans="3:30" ht="12.75"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</row>
    <row r="1625" spans="3:30" ht="12.75"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</row>
    <row r="1626" spans="3:30" ht="12.75"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</row>
    <row r="1627" spans="3:30" ht="12.75"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</row>
    <row r="1628" spans="3:30" ht="12.75"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</row>
    <row r="1629" spans="3:30" ht="12.75"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</row>
    <row r="1630" spans="3:30" ht="12.75"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</row>
    <row r="1631" spans="3:30" ht="12.75"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</row>
    <row r="1632" spans="3:30" ht="12.75"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</row>
    <row r="1633" spans="3:30" ht="12.75"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</row>
    <row r="1634" spans="3:30" ht="12.75"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</row>
    <row r="1635" spans="3:30" ht="12.75"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</row>
    <row r="1636" spans="3:30" ht="12.75"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</row>
    <row r="1637" spans="3:30" ht="12.75"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</row>
    <row r="1638" spans="3:30" ht="12.75"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</row>
    <row r="1639" spans="3:30" ht="12.75"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</row>
    <row r="1640" spans="3:30" ht="12.75"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</row>
    <row r="1641" spans="3:30" ht="12.75"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</row>
    <row r="1642" spans="3:30" ht="12.75"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</row>
    <row r="1643" spans="3:30" ht="12.75"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</row>
    <row r="1644" spans="3:30" ht="12.75"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</row>
    <row r="1645" spans="3:30" ht="12.75"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</row>
    <row r="1646" spans="3:30" ht="12.75"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</row>
    <row r="1647" spans="3:30" ht="12.75"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</row>
    <row r="1648" spans="3:30" ht="12.75"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</row>
    <row r="1649" spans="3:30" ht="12.75"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</row>
    <row r="1650" spans="3:30" ht="12.75"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</row>
    <row r="1651" spans="3:30" ht="12.75"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</row>
    <row r="1652" spans="3:30" ht="12.75"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</row>
    <row r="1653" spans="3:30" ht="12.75"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</row>
    <row r="1654" spans="3:30" ht="12.75"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</row>
    <row r="1655" spans="3:30" ht="12.75"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</row>
    <row r="1656" spans="3:30" ht="12.75"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</row>
    <row r="1657" spans="3:30" ht="12.75"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</row>
    <row r="1658" spans="3:30" ht="12.75"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</row>
    <row r="1659" spans="3:30" ht="12.75"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</row>
    <row r="1660" spans="3:30" ht="12.75"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</row>
    <row r="1661" spans="3:30" ht="12.75"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</row>
    <row r="1662" spans="3:30" ht="12.75"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</row>
    <row r="1663" spans="3:30" ht="12.75"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</row>
    <row r="1664" spans="3:30" ht="12.75"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</row>
    <row r="1665" spans="3:30" ht="12.75"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</row>
    <row r="1666" spans="3:30" ht="12.75"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</row>
    <row r="1667" spans="3:30" ht="12.75"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</row>
    <row r="1668" spans="3:30" ht="12.75"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</row>
    <row r="1669" spans="3:30" ht="12.75"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</row>
    <row r="1670" spans="3:30" ht="12.75"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</row>
    <row r="1671" spans="3:30" ht="12.75"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</row>
    <row r="1672" spans="3:30" ht="12.75"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</row>
    <row r="1673" spans="3:30" ht="12.75"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</row>
    <row r="1674" spans="3:30" ht="12.75"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</row>
    <row r="1675" spans="3:30" ht="12.75"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</row>
    <row r="1676" spans="3:30" ht="12.75"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</row>
    <row r="1677" spans="3:30" ht="12.75"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</row>
    <row r="1678" spans="3:30" ht="12.75"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</row>
    <row r="1679" spans="3:30" ht="12.75"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</row>
    <row r="1680" spans="3:30" ht="12.75"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</row>
    <row r="1681" spans="3:30" ht="12.75"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</row>
    <row r="1682" spans="3:30" ht="12.75"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</row>
    <row r="1683" spans="3:30" ht="12.75"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</row>
    <row r="1684" spans="3:30" ht="12.75"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</row>
    <row r="1685" spans="3:30" ht="12.75"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</row>
    <row r="1686" spans="3:30" ht="12.75"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</row>
    <row r="1687" spans="3:30" ht="12.75"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</row>
    <row r="1688" spans="3:30" ht="12.75"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</row>
    <row r="1689" spans="3:30" ht="12.75"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</row>
    <row r="1690" spans="3:30" ht="12.75"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</row>
    <row r="1691" spans="3:30" ht="12.75"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</row>
    <row r="1692" spans="3:30" ht="12.75"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</row>
    <row r="1693" spans="3:30" ht="12.75"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</row>
    <row r="1694" spans="3:30" ht="12.75"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</row>
    <row r="1695" spans="3:30" ht="12.75"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</row>
    <row r="1696" spans="3:30" ht="12.75"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</row>
    <row r="1697" spans="3:30" ht="12.75"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</row>
    <row r="1698" spans="3:30" ht="12.75"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</row>
    <row r="1699" spans="3:30" ht="12.75"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</row>
    <row r="1700" spans="3:30" ht="12.75"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</row>
    <row r="1701" spans="3:30" ht="12.75"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</row>
    <row r="1702" spans="3:30" ht="12.75"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</row>
    <row r="1703" spans="3:30" ht="12.75"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</row>
    <row r="1704" spans="3:30" ht="12.75"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</row>
    <row r="1705" spans="3:30" ht="12.75"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</row>
    <row r="1706" spans="3:30" ht="12.75"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</row>
    <row r="1707" spans="3:30" ht="12.75"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</row>
    <row r="1708" spans="3:30" ht="12.75"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</row>
    <row r="1709" spans="3:30" ht="12.75"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</row>
    <row r="1710" spans="3:30" ht="12.75"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</row>
    <row r="1711" spans="3:30" ht="12.75"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</row>
    <row r="1712" spans="3:30" ht="12.75"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</row>
    <row r="1713" spans="3:30" ht="12.75"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</row>
    <row r="1714" spans="3:30" ht="12.75"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</row>
    <row r="1715" spans="3:30" ht="12.75"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</row>
    <row r="1716" spans="3:30" ht="12.75"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</row>
    <row r="1717" spans="3:30" ht="12.75"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</row>
    <row r="1718" spans="3:30" ht="12.75"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</row>
    <row r="1719" spans="3:30" ht="12.75"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</row>
    <row r="1720" spans="3:30" ht="12.75"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</row>
    <row r="1721" spans="3:30" ht="12.75"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</row>
    <row r="1722" spans="3:30" ht="12.75"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</row>
    <row r="1723" spans="3:30" ht="12.75"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</row>
    <row r="1724" spans="3:30" ht="12.75"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</row>
    <row r="1725" spans="3:30" ht="12.75"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</row>
    <row r="1726" spans="3:30" ht="12.75"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</row>
    <row r="1727" spans="3:30" ht="12.75"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</row>
    <row r="1728" spans="3:30" ht="12.75"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</row>
    <row r="1729" spans="3:30" ht="12.75"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</row>
    <row r="1730" spans="3:30" ht="12.75"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</row>
    <row r="1731" spans="3:30" ht="12.75"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</row>
    <row r="1732" spans="3:30" ht="12.75"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</row>
    <row r="1733" spans="3:30" ht="12.75"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</row>
    <row r="1734" spans="3:30" ht="12.75"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</row>
    <row r="1735" spans="3:30" ht="12.75"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</row>
    <row r="1736" spans="3:30" ht="12.75"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</row>
    <row r="1737" spans="3:30" ht="12.75"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</row>
    <row r="1738" spans="3:30" ht="12.75"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</row>
    <row r="1739" spans="3:30" ht="12.75"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</row>
    <row r="1740" spans="3:30" ht="12.75"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</row>
    <row r="1741" spans="3:30" ht="12.75"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</row>
    <row r="1742" spans="3:30" ht="12.75"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</row>
    <row r="1743" spans="3:30" ht="12.75"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</row>
    <row r="1744" spans="3:30" ht="12.75"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</row>
    <row r="1745" spans="3:30" ht="12.75"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</row>
    <row r="1746" spans="3:30" ht="12.75"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</row>
    <row r="1747" spans="3:30" ht="12.75"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</row>
    <row r="1748" spans="3:30" ht="12.75"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</row>
    <row r="1749" spans="3:30" ht="12.75"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</row>
    <row r="1750" spans="3:30" ht="12.75"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</row>
    <row r="1751" spans="3:30" ht="12.75"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</row>
    <row r="1752" spans="3:30" ht="12.75"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</row>
    <row r="1753" spans="3:30" ht="12.75"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</row>
    <row r="1754" spans="3:30" ht="12.75"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</row>
    <row r="1755" spans="3:30" ht="12.75"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</row>
    <row r="1756" spans="3:30" ht="12.75"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</row>
    <row r="1757" spans="3:30" ht="12.75"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</row>
    <row r="1758" spans="3:30" ht="12.75"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</row>
    <row r="1759" spans="3:30" ht="12.75"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</row>
    <row r="1760" spans="3:30" ht="12.75"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</row>
    <row r="1761" spans="3:30" ht="12.75"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</row>
    <row r="1762" spans="3:30" ht="12.75"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</row>
    <row r="1763" spans="3:30" ht="12.75"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</row>
    <row r="1764" spans="3:30" ht="12.75"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</row>
    <row r="1765" spans="3:30" ht="12.75"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</row>
    <row r="1766" spans="3:30" ht="12.75"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</row>
    <row r="1767" spans="3:30" ht="12.75"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</row>
    <row r="1768" spans="3:30" ht="12.75"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</row>
    <row r="1769" spans="3:30" ht="12.75"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</row>
    <row r="1770" spans="3:30" ht="12.75"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</row>
    <row r="1771" spans="3:30" ht="12.75"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</row>
    <row r="1772" spans="3:30" ht="12.75"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</row>
    <row r="1773" spans="3:30" ht="12.75"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</row>
    <row r="1774" spans="3:30" ht="12.75"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</row>
    <row r="1775" spans="3:30" ht="12.75"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</row>
    <row r="1776" spans="3:30" ht="12.75"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</row>
    <row r="1777" spans="3:30" ht="12.75"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</row>
    <row r="1778" spans="3:30" ht="12.75"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</row>
    <row r="1779" spans="3:30" ht="12.75"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</row>
    <row r="1780" spans="3:30" ht="12.75"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</row>
    <row r="1781" spans="3:30" ht="12.75"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</row>
    <row r="1782" spans="3:30" ht="12.75"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</row>
    <row r="1783" spans="3:30" ht="12.75"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</row>
    <row r="1784" spans="3:30" ht="12.75"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</row>
    <row r="1785" spans="3:30" ht="12.75"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</row>
    <row r="1786" spans="3:30" ht="12.75"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</row>
    <row r="1787" spans="3:30" ht="12.75"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</row>
    <row r="1788" spans="3:30" ht="12.75"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</row>
    <row r="1789" spans="3:30" ht="12.75"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</row>
    <row r="1790" spans="3:30" ht="12.75"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</row>
    <row r="1791" spans="3:30" ht="12.75"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</row>
    <row r="1792" spans="3:30" ht="12.75"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</row>
    <row r="1793" spans="3:30" ht="12.75"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</row>
    <row r="1794" spans="3:30" ht="12.75"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</row>
    <row r="1795" spans="3:30" ht="12.75"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</row>
    <row r="1796" spans="3:30" ht="12.75"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</row>
    <row r="1797" spans="3:30" ht="12.75"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</row>
    <row r="1798" spans="3:30" ht="12.75"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</row>
    <row r="1799" spans="3:30" ht="12.75"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</row>
    <row r="1800" spans="3:30" ht="12.75"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</row>
    <row r="1801" spans="3:30" ht="12.75"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</row>
    <row r="1802" spans="3:30" ht="12.75"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</row>
    <row r="1803" spans="3:30" ht="12.75"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</row>
    <row r="1804" spans="3:30" ht="12.75"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</row>
    <row r="1805" spans="3:30" ht="12.75"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</row>
    <row r="1806" spans="3:30" ht="12.75"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</row>
    <row r="1807" spans="3:30" ht="12.75"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</row>
    <row r="1808" spans="3:30" ht="12.75"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</row>
    <row r="1809" spans="3:30" ht="12.75"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</row>
    <row r="1810" spans="3:30" ht="12.75"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</row>
    <row r="1811" spans="3:30" ht="12.75"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</row>
    <row r="1812" spans="3:30" ht="12.75"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</row>
    <row r="1813" spans="3:30" ht="12.75"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</row>
    <row r="1814" spans="3:30" ht="12.75"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</row>
    <row r="1815" spans="3:30" ht="12.75"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</row>
    <row r="1816" spans="3:30" ht="12.75"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</row>
    <row r="1817" spans="3:30" ht="12.75"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</row>
    <row r="1818" spans="3:30" ht="12.75"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</row>
    <row r="1819" spans="3:30" ht="12.75"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</row>
    <row r="1820" spans="3:30" ht="12.75"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</row>
    <row r="1821" spans="3:30" ht="12.75"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</row>
    <row r="1822" spans="3:30" ht="12.75"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</row>
    <row r="1823" spans="3:30" ht="12.75"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</row>
    <row r="1824" spans="3:30" ht="12.75"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</row>
    <row r="1825" spans="3:30" ht="12.75"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</row>
    <row r="1826" spans="3:30" ht="12.75"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</row>
    <row r="1827" spans="3:30" ht="12.75"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</row>
    <row r="1828" spans="3:30" ht="12.75"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</row>
    <row r="1829" spans="3:30" ht="12.75"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</row>
    <row r="1830" spans="3:30" ht="12.75"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</row>
    <row r="1831" spans="3:30" ht="12.75"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</row>
    <row r="1832" spans="3:30" ht="12.75"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</row>
    <row r="1833" spans="3:30" ht="12.75"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</row>
    <row r="1834" spans="3:30" ht="12.75"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</row>
    <row r="1835" spans="3:30" ht="12.75"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</row>
    <row r="1836" spans="3:30" ht="12.75"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</row>
    <row r="1837" spans="3:30" ht="12.75"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</row>
    <row r="1838" spans="3:30" ht="12.75"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</row>
    <row r="1839" spans="3:30" ht="12.75"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</row>
    <row r="1840" spans="3:30" ht="12.75"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</row>
    <row r="1841" spans="3:30" ht="12.75"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</row>
    <row r="1842" spans="3:30" ht="12.75"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</row>
    <row r="1843" spans="3:30" ht="12.75"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</row>
    <row r="1844" spans="3:30" ht="12.75"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</row>
    <row r="1845" spans="3:30" ht="12.75"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</row>
    <row r="1846" spans="3:30" ht="12.75"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</row>
    <row r="1847" spans="3:30" ht="12.75"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</row>
    <row r="1848" spans="3:30" ht="12.75"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</row>
    <row r="1849" spans="3:30" ht="12.75"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</row>
    <row r="1850" spans="3:30" ht="12.75"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</row>
    <row r="1851" spans="3:30" ht="12.75"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</row>
    <row r="1852" spans="3:30" ht="12.75"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</row>
    <row r="1853" spans="3:30" ht="12.75"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</row>
    <row r="1854" spans="3:30" ht="12.75"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</row>
    <row r="1855" spans="3:30" ht="12.75"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</row>
    <row r="1856" spans="3:30" ht="12.75"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</row>
    <row r="1857" spans="3:30" ht="12.75"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</row>
    <row r="1858" spans="3:30" ht="12.75"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</row>
    <row r="1859" spans="3:30" ht="12.75"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</row>
    <row r="1860" spans="3:30" ht="12.75"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</row>
    <row r="1861" spans="3:30" ht="12.75"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</row>
    <row r="1862" spans="3:30" ht="12.75"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</row>
    <row r="1863" spans="3:30" ht="12.75"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</row>
    <row r="1864" spans="3:30" ht="12.75"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</row>
    <row r="1865" spans="3:30" ht="12.75"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</row>
    <row r="1866" spans="3:30" ht="12.75"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</row>
    <row r="1867" spans="3:30" ht="12.75"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</row>
    <row r="1868" spans="3:30" ht="12.75"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</row>
    <row r="1869" spans="3:30" ht="12.75"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</row>
    <row r="1870" spans="3:30" ht="12.75"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</row>
    <row r="1871" spans="3:30" ht="12.75"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</row>
    <row r="1872" spans="3:30" ht="12.75"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</row>
    <row r="1873" spans="3:30" ht="12.75"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</row>
    <row r="1874" spans="3:30" ht="12.75"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</row>
    <row r="1875" spans="3:30" ht="12.75"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</row>
    <row r="1876" spans="3:30" ht="12.75"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</row>
    <row r="1877" spans="3:30" ht="12.75"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</row>
    <row r="1878" spans="3:30" ht="12.75"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</row>
    <row r="1879" spans="3:30" ht="12.75"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</row>
    <row r="1880" spans="3:30" ht="12.75"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</row>
    <row r="1881" spans="3:30" ht="12.75"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</row>
    <row r="1882" spans="3:30" ht="12.75"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</row>
    <row r="1883" spans="3:30" ht="12.75"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</row>
    <row r="1884" spans="3:30" ht="12.75"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</row>
    <row r="1885" spans="3:30" ht="12.75"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</row>
    <row r="1886" spans="3:30" ht="12.75"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</row>
    <row r="1887" spans="3:30" ht="12.75"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</row>
    <row r="1888" spans="3:30" ht="12.75"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</row>
    <row r="1889" spans="3:30" ht="12.75"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</row>
    <row r="1890" spans="3:30" ht="12.75"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</row>
    <row r="1891" spans="3:30" ht="12.75"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</row>
    <row r="1892" spans="3:30" ht="12.75"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</row>
    <row r="1893" spans="3:30" ht="12.75"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</row>
    <row r="1894" spans="3:30" ht="12.75"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</row>
    <row r="1895" spans="3:30" ht="12.75"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</row>
    <row r="1896" spans="3:30" ht="12.75"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</row>
    <row r="1897" spans="3:30" ht="12.75"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</row>
    <row r="1898" spans="3:30" ht="12.75"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</row>
    <row r="1899" spans="3:30" ht="12.75"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</row>
    <row r="1900" spans="3:30" ht="12.75"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</row>
    <row r="1901" spans="3:30" ht="12.75"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</row>
    <row r="1902" spans="3:30" ht="12.75"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</row>
    <row r="1903" spans="3:30" ht="12.75"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</row>
    <row r="1904" spans="3:30" ht="12.75"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</row>
    <row r="1905" spans="3:30" ht="12.75"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</row>
    <row r="1906" spans="3:30" ht="12.75"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</row>
    <row r="1907" spans="3:30" ht="12.75"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</row>
    <row r="1908" spans="3:30" ht="12.75"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</row>
    <row r="1909" spans="3:30" ht="12.75"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</row>
    <row r="1910" spans="3:30" ht="12.75"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</row>
    <row r="1911" spans="3:30" ht="12.75"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</row>
    <row r="1912" spans="3:30" ht="12.75"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</row>
    <row r="1913" spans="3:30" ht="12.75"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</row>
    <row r="1914" spans="3:30" ht="12.75"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</row>
    <row r="1915" spans="3:30" ht="12.75"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</row>
    <row r="1916" spans="3:30" ht="12.75"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</row>
    <row r="1917" spans="3:30" ht="12.75"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</row>
    <row r="1918" spans="3:30" ht="12.75"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</row>
    <row r="1919" spans="3:30" ht="12.75"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</row>
    <row r="1920" spans="3:30" ht="12.75"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</row>
    <row r="1921" spans="3:30" ht="12.75"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</row>
    <row r="1922" spans="3:30" ht="12.75"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</row>
    <row r="1923" spans="3:30" ht="12.75"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</row>
    <row r="1924" spans="3:30" ht="12.75"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</row>
    <row r="1925" spans="3:30" ht="12.75"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</row>
    <row r="1926" spans="3:30" ht="12.75"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</row>
    <row r="1927" spans="3:30" ht="12.75"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</row>
    <row r="1928" spans="3:30" ht="12.75"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</row>
    <row r="1929" spans="3:30" ht="12.75"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</row>
    <row r="1930" spans="3:30" ht="12.75"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</row>
    <row r="1931" spans="3:30" ht="12.75"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</row>
    <row r="1932" spans="3:30" ht="12.75"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</row>
    <row r="1933" spans="3:30" ht="12.75"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</row>
    <row r="1934" spans="3:30" ht="12.75"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</row>
    <row r="1935" spans="3:30" ht="12.75"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</row>
    <row r="1936" spans="3:30" ht="12.75"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</row>
    <row r="1937" spans="3:30" ht="12.75"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</row>
    <row r="1938" spans="3:30" ht="12.75"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</row>
    <row r="1939" spans="3:30" ht="12.75"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</row>
    <row r="1940" spans="3:30" ht="12.75"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</row>
    <row r="1941" spans="3:30" ht="12.75"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</row>
    <row r="1942" spans="3:30" ht="12.75"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</row>
    <row r="1943" spans="3:30" ht="12.75"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</row>
    <row r="1944" spans="3:30" ht="12.75"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</row>
    <row r="1945" spans="3:30" ht="12.75"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</row>
    <row r="1946" spans="3:30" ht="12.75"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</row>
    <row r="1947" spans="3:30" ht="12.75"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</row>
    <row r="1948" spans="3:30" ht="12.75"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</row>
    <row r="1949" spans="3:30" ht="12.75"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</row>
    <row r="1950" spans="3:30" ht="12.75"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</row>
    <row r="1951" spans="3:30" ht="12.75"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</row>
    <row r="1952" spans="3:30" ht="12.75"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</row>
    <row r="1953" spans="3:30" ht="12.75"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</row>
    <row r="1954" spans="3:30" ht="12.75"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</row>
    <row r="1955" spans="3:30" ht="12.75"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</row>
    <row r="1956" spans="3:30" ht="12.75"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</row>
    <row r="1957" spans="3:30" ht="12.75"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</row>
    <row r="1958" spans="3:30" ht="12.75"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</row>
    <row r="1959" spans="3:30" ht="12.75"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</row>
    <row r="1960" spans="3:30" ht="12.75"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</row>
    <row r="1961" spans="3:30" ht="12.75"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</row>
    <row r="1962" spans="3:30" ht="12.75"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</row>
    <row r="1963" spans="3:30" ht="12.75"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</row>
    <row r="1964" spans="3:30" ht="12.75"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</row>
    <row r="1965" spans="3:30" ht="12.75"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</row>
    <row r="1966" spans="3:30" ht="12.75"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</row>
    <row r="1967" spans="3:30" ht="12.75"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</row>
    <row r="1968" spans="3:30" ht="12.75"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</row>
    <row r="1969" spans="3:30" ht="12.75"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</row>
    <row r="1970" spans="3:30" ht="12.75"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</row>
    <row r="1971" spans="3:30" ht="12.75"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</row>
    <row r="1972" spans="3:30" ht="12.75"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</row>
    <row r="1973" spans="3:30" ht="12.75"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</row>
    <row r="1974" spans="3:30" ht="12.75"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</row>
    <row r="1975" spans="3:30" ht="12.75"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</row>
    <row r="1976" spans="3:30" ht="12.75"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</row>
    <row r="1977" spans="3:30" ht="12.75"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</row>
    <row r="1978" spans="3:30" ht="12.75"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</row>
    <row r="1979" spans="3:30" ht="12.75"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</row>
    <row r="1980" spans="3:30" ht="12.75"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</row>
    <row r="1981" spans="3:30" ht="12.75"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</row>
    <row r="1982" spans="3:30" ht="12.75"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</row>
    <row r="1983" spans="3:30" ht="12.75"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</row>
    <row r="1984" spans="3:30" ht="12.75"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</row>
    <row r="1985" spans="3:30" ht="12.75"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</row>
    <row r="1986" spans="3:30" ht="12.75"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</row>
    <row r="1987" spans="3:30" ht="12.75"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</row>
    <row r="1988" spans="3:30" ht="12.75"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</row>
    <row r="1989" spans="3:30" ht="12.75"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</row>
    <row r="1990" spans="3:30" ht="12.75"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</row>
    <row r="1991" spans="3:30" ht="12.75"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</row>
    <row r="1992" spans="3:30" ht="12.75"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</row>
    <row r="1993" spans="3:30" ht="12.75"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</row>
    <row r="1994" spans="3:30" ht="12.75"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</row>
    <row r="1995" spans="3:30" ht="12.75"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</row>
    <row r="1996" spans="3:30" ht="12.75"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</row>
    <row r="1997" spans="3:30" ht="12.75"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</row>
    <row r="1998" spans="3:30" ht="12.75"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</row>
    <row r="1999" spans="3:30" ht="12.75"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</row>
    <row r="2000" spans="3:30" ht="12.75"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</row>
    <row r="2001" spans="3:30" ht="12.75"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</row>
    <row r="2002" spans="3:30" ht="12.75"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</row>
    <row r="2003" spans="3:30" ht="12.75"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</row>
    <row r="2004" spans="3:30" ht="12.75"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</row>
    <row r="2005" spans="3:30" ht="12.75"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</row>
    <row r="2006" spans="3:30" ht="12.75"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</row>
    <row r="2007" spans="3:30" ht="12.75"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</row>
    <row r="2008" spans="3:30" ht="12.75"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</row>
    <row r="2009" spans="3:30" ht="12.75"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</row>
    <row r="2010" spans="3:30" ht="12.75"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</row>
    <row r="2011" spans="3:30" ht="12.75"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</row>
    <row r="2012" spans="3:30" ht="12.75"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</row>
    <row r="2013" spans="3:30" ht="12.75"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</row>
    <row r="2014" spans="3:30" ht="12.75"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</row>
    <row r="2015" spans="3:30" ht="12.75"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</row>
    <row r="2016" spans="3:30" ht="12.75"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</row>
    <row r="2017" spans="3:30" ht="12.75"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</row>
    <row r="2018" spans="3:30" ht="12.75"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</row>
    <row r="2019" spans="3:30" ht="12.75"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</row>
    <row r="2020" spans="3:30" ht="12.75"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</row>
    <row r="2021" spans="3:30" ht="12.75"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</row>
    <row r="2022" spans="3:30" ht="12.75"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</row>
    <row r="2023" spans="3:30" ht="12.75"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</row>
    <row r="2024" spans="3:30" ht="12.75"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</row>
    <row r="2025" spans="3:30" ht="12.75"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</row>
    <row r="2026" spans="3:30" ht="12.75"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</row>
    <row r="2027" spans="3:30" ht="12.75"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</row>
    <row r="2028" spans="3:30" ht="12.75"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</row>
    <row r="2029" spans="3:30" ht="12.75"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</row>
    <row r="2030" spans="3:30" ht="12.75"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</row>
    <row r="2031" spans="3:30" ht="12.75"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</row>
    <row r="2032" spans="3:30" ht="12.75"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</row>
    <row r="2033" spans="3:30" ht="12.75"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</row>
    <row r="2034" spans="3:30" ht="12.75"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</row>
    <row r="2035" spans="3:30" ht="12.75"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</row>
    <row r="2036" spans="3:30" ht="12.75"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</row>
    <row r="2037" spans="3:30" ht="12.75"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</row>
    <row r="2038" spans="3:30" ht="12.75"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</row>
    <row r="2039" spans="3:30" ht="12.75"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</row>
    <row r="2040" spans="3:30" ht="12.75"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</row>
    <row r="2041" spans="3:30" ht="12.75"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</row>
    <row r="2042" spans="3:30" ht="12.75"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</row>
    <row r="2043" spans="3:30" ht="12.75"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</row>
    <row r="2044" spans="3:30" ht="12.75"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</row>
    <row r="2045" spans="3:30" ht="12.75"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</row>
    <row r="2046" spans="3:30" ht="12.75"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</row>
    <row r="2047" spans="3:30" ht="12.75"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</row>
    <row r="2048" spans="3:30" ht="12.75"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</row>
    <row r="2049" spans="3:30" ht="12.75"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</row>
    <row r="2050" spans="3:30" ht="12.75"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</row>
    <row r="2051" spans="3:30" ht="12.75"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</row>
    <row r="2052" spans="3:30" ht="12.75"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</row>
    <row r="2053" spans="3:30" ht="12.75"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</row>
    <row r="2054" spans="3:30" ht="12.75"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</row>
    <row r="2055" spans="3:30" ht="12.75"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</row>
    <row r="2056" spans="3:30" ht="12.75"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</row>
    <row r="2057" spans="3:30" ht="12.75"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</row>
    <row r="2058" spans="3:30" ht="12.75"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</row>
    <row r="2059" spans="3:30" ht="12.75"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</row>
    <row r="2060" spans="3:30" ht="12.75"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</row>
    <row r="2061" spans="3:30" ht="12.75"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</row>
    <row r="2062" spans="3:30" ht="12.75"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</row>
    <row r="2063" spans="3:30" ht="12.75"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</row>
    <row r="2064" spans="3:30" ht="12.75"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</row>
    <row r="2065" spans="3:30" ht="12.75"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</row>
    <row r="2066" spans="3:30" ht="12.75"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</row>
    <row r="2067" spans="3:30" ht="12.75"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</row>
    <row r="2068" spans="3:30" ht="12.75"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</row>
    <row r="2069" spans="3:30" ht="12.75"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</row>
    <row r="2070" spans="3:30" ht="12.75"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</row>
    <row r="2071" spans="3:30" ht="12.75"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</row>
    <row r="2072" spans="3:30" ht="12.75"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</row>
    <row r="2073" spans="3:30" ht="12.75"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</row>
    <row r="2074" spans="3:30" ht="12.75"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</row>
    <row r="2075" spans="3:30" ht="12.75"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</row>
    <row r="2076" spans="3:30" ht="12.75"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</row>
    <row r="2077" spans="3:30" ht="12.75"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</row>
    <row r="2078" spans="3:30" ht="12.75"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</row>
    <row r="2079" spans="3:30" ht="12.75"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</row>
    <row r="2080" spans="3:30" ht="12.75"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</row>
    <row r="2081" spans="3:30" ht="12.75"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</row>
    <row r="2082" spans="3:30" ht="12.75"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</row>
    <row r="2083" spans="3:30" ht="12.75"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</row>
    <row r="2084" spans="3:30" ht="12.75"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</row>
    <row r="2085" spans="3:30" ht="12.75"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</row>
    <row r="2086" spans="3:30" ht="12.75"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</row>
    <row r="2087" spans="3:30" ht="12.75"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</row>
    <row r="2088" spans="3:30" ht="12.75"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</row>
    <row r="2089" spans="3:30" ht="12.75"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</row>
    <row r="2090" spans="3:30" ht="12.75"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</row>
    <row r="2091" spans="3:30" ht="12.75"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</row>
    <row r="2092" spans="3:30" ht="12.75"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</row>
    <row r="2093" spans="3:30" ht="12.75"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</row>
    <row r="2094" spans="3:30" ht="12.75"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</row>
    <row r="2095" spans="3:30" ht="12.75"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</row>
    <row r="2096" spans="3:30" ht="12.75"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</row>
    <row r="2097" spans="3:30" ht="12.75"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</row>
    <row r="2098" spans="3:30" ht="12.75"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</row>
    <row r="2099" spans="3:30" ht="12.75"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</row>
    <row r="2100" spans="3:30" ht="12.75"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</row>
    <row r="2101" spans="3:30" ht="12.75"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</row>
    <row r="2102" spans="3:30" ht="12.75"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</row>
    <row r="2103" spans="3:30" ht="12.75"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</row>
    <row r="2104" spans="3:30" ht="12.75"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</row>
    <row r="2105" spans="3:30" ht="12.75"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</row>
    <row r="2106" spans="3:30" ht="12.75"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</row>
    <row r="2107" spans="3:30" ht="12.75"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</row>
    <row r="2108" spans="3:30" ht="12.75"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</row>
    <row r="2109" spans="3:30" ht="12.75"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</row>
    <row r="2110" spans="3:30" ht="12.75"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</row>
    <row r="2111" spans="3:30" ht="12.75"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</row>
    <row r="2112" spans="3:30" ht="12.75"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</row>
    <row r="2113" spans="3:30" ht="12.75"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</row>
    <row r="2114" spans="3:30" ht="12.75"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</row>
    <row r="2115" spans="3:30" ht="12.75"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</row>
    <row r="2116" spans="3:30" ht="12.75"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</row>
    <row r="2117" spans="3:30" ht="12.75"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</row>
    <row r="2118" spans="3:30" ht="12.75"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</row>
    <row r="2119" spans="3:30" ht="12.75"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</row>
    <row r="2120" spans="3:30" ht="12.75"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</row>
    <row r="2121" spans="3:30" ht="12.75"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</row>
    <row r="2122" spans="3:30" ht="12.75"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</row>
    <row r="2123" spans="3:30" ht="12.75"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</row>
    <row r="2124" spans="3:30" ht="12.75"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</row>
    <row r="2125" spans="3:30" ht="12.75"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</row>
    <row r="2126" spans="3:30" ht="12.75"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</row>
    <row r="2127" spans="3:30" ht="12.75"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</row>
    <row r="2128" spans="3:30" ht="12.75"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</row>
    <row r="2129" spans="3:30" ht="12.75"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</row>
    <row r="2130" spans="3:30" ht="12.75"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</row>
    <row r="2131" spans="3:30" ht="12.75"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</row>
    <row r="2132" spans="3:30" ht="12.75"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</row>
    <row r="2133" spans="3:30" ht="12.75"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</row>
    <row r="2134" spans="3:30" ht="12.75"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</row>
    <row r="2135" spans="3:30" ht="12.75"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</row>
    <row r="2136" spans="3:30" ht="12.75"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</row>
    <row r="2137" spans="3:30" ht="12.75"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</row>
    <row r="2138" spans="3:30" ht="12.75"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</row>
    <row r="2139" spans="3:30" ht="12.75"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</row>
    <row r="2140" spans="3:30" ht="12.75"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</row>
    <row r="2141" spans="3:30" ht="12.75"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</row>
    <row r="2142" spans="3:30" ht="12.75"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</row>
    <row r="2143" spans="3:30" ht="12.75"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</row>
    <row r="2144" spans="3:30" ht="12.75"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</row>
    <row r="2145" spans="3:30" ht="12.75"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</row>
    <row r="2146" spans="3:30" ht="12.75"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</row>
    <row r="2147" spans="3:30" ht="12.75"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</row>
    <row r="2148" spans="3:30" ht="12.75"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</row>
    <row r="2149" spans="3:30" ht="12.75"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</row>
    <row r="2150" spans="3:30" ht="12.75"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</row>
    <row r="2151" spans="3:30" ht="12.75"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</row>
    <row r="2152" spans="3:30" ht="12.75"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</row>
    <row r="2153" spans="3:30" ht="12.75"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</row>
    <row r="2154" spans="3:30" ht="12.75"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</row>
    <row r="2155" spans="3:30" ht="12.75"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</row>
    <row r="2156" spans="3:30" ht="12.75"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</row>
    <row r="2157" spans="3:30" ht="12.75"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</row>
    <row r="2158" spans="3:30" ht="12.75"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</row>
    <row r="2159" spans="3:30" ht="12.75"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</row>
    <row r="2160" spans="3:30" ht="12.75"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</row>
    <row r="2161" spans="3:30" ht="12.75"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</row>
    <row r="2162" spans="3:30" ht="12.75"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</row>
    <row r="2163" spans="3:30" ht="12.75"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</row>
    <row r="2164" spans="3:30" ht="12.75"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</row>
    <row r="2165" spans="3:30" ht="12.75"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</row>
    <row r="2166" spans="3:30" ht="12.75"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</row>
    <row r="2167" spans="3:30" ht="12.75"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</row>
    <row r="2168" spans="3:30" ht="12.75"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</row>
    <row r="2169" spans="3:30" ht="12.75"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</row>
    <row r="2170" spans="3:30" ht="12.75"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</row>
    <row r="2171" spans="3:30" ht="12.75"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</row>
    <row r="2172" spans="3:30" ht="12.75"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</row>
    <row r="2173" spans="3:30" ht="12.75"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</row>
    <row r="2174" spans="3:30" ht="12.75"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</row>
    <row r="2175" spans="3:30" ht="12.75"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</row>
    <row r="2176" spans="3:30" ht="12.75"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</row>
    <row r="2177" spans="3:30" ht="12.75"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</row>
    <row r="2178" spans="3:30" ht="12.75"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</row>
    <row r="2179" spans="3:30" ht="12.75"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</row>
    <row r="2180" spans="3:30" ht="12.75"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</row>
    <row r="2181" spans="3:30" ht="12.75"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</row>
    <row r="2182" spans="3:30" ht="12.75"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</row>
    <row r="2183" spans="3:30" ht="12.75"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</row>
    <row r="2184" spans="3:30" ht="12.75"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</row>
    <row r="2185" spans="3:30" ht="12.75"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</row>
    <row r="2186" spans="3:30" ht="12.75"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</row>
    <row r="2187" spans="3:30" ht="12.75"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</row>
    <row r="2188" spans="3:30" ht="12.75"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</row>
    <row r="2189" spans="3:30" ht="12.75"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</row>
    <row r="2190" spans="3:30" ht="12.75"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</row>
    <row r="2191" spans="3:30" ht="12.75"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</row>
    <row r="2192" spans="3:30" ht="12.75"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</row>
    <row r="2193" spans="3:30" ht="12.75"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</row>
    <row r="2194" spans="3:30" ht="12.75"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</row>
    <row r="2195" spans="3:30" ht="12.75"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</row>
    <row r="2196" spans="3:30" ht="12.75"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</row>
    <row r="2197" spans="3:30" ht="12.75"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</row>
    <row r="2198" spans="3:30" ht="12.75"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</row>
    <row r="2199" spans="3:30" ht="12.75"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</row>
    <row r="2200" spans="3:30" ht="12.75"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</row>
    <row r="2201" spans="3:30" ht="12.75"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</row>
    <row r="2202" spans="3:30" ht="12.75"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</row>
    <row r="2203" spans="3:30" ht="12.75"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</row>
    <row r="2204" spans="3:30" ht="12.75"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</row>
    <row r="2205" spans="3:30" ht="12.75"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</row>
    <row r="2206" spans="3:30" ht="12.75"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</row>
    <row r="2207" spans="3:30" ht="12.75"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</row>
    <row r="2208" spans="3:30" ht="12.75"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</row>
    <row r="2209" spans="3:30" ht="12.75"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</row>
    <row r="2210" spans="3:30" ht="12.75"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</row>
    <row r="2211" spans="3:30" ht="12.75"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</row>
    <row r="2212" spans="3:30" ht="12.75"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</row>
    <row r="2213" spans="3:30" ht="12.75"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</row>
    <row r="2214" spans="3:30" ht="12.75"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</row>
    <row r="2215" spans="3:30" ht="12.75"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</row>
    <row r="2216" spans="3:30" ht="12.75"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</row>
    <row r="2217" spans="3:30" ht="12.75"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</row>
    <row r="2218" spans="3:30" ht="12.75"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</row>
    <row r="2219" spans="3:30" ht="12.75"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</row>
    <row r="2220" spans="3:30" ht="12.75"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</row>
    <row r="2221" spans="3:30" ht="12.75"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</row>
    <row r="2222" spans="3:30" ht="12.75"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</row>
    <row r="2223" spans="3:30" ht="12.75"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</row>
    <row r="2224" spans="3:30" ht="12.75"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</row>
    <row r="2225" spans="3:30" ht="12.75"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</row>
    <row r="2226" spans="3:30" ht="12.75"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</row>
    <row r="2227" spans="3:30" ht="12.75"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</row>
    <row r="2228" spans="3:30" ht="12.75"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</row>
    <row r="2229" spans="3:30" ht="12.75"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</row>
    <row r="2230" spans="3:30" ht="12.75"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</row>
    <row r="2231" spans="3:30" ht="12.75"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</row>
    <row r="2232" spans="3:30" ht="12.75"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</row>
    <row r="2233" spans="3:30" ht="12.75"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</row>
    <row r="2234" spans="3:30" ht="12.75"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</row>
    <row r="2235" spans="3:30" ht="12.75"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</row>
    <row r="2236" spans="3:30" ht="12.75"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</row>
    <row r="2237" spans="3:30" ht="12.75"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</row>
    <row r="2238" spans="3:30" ht="12.75"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</row>
    <row r="2239" spans="3:30" ht="12.75"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</row>
    <row r="2240" spans="3:30" ht="12.75"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</row>
    <row r="2241" spans="3:30" ht="12.75"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</row>
    <row r="2242" spans="3:30" ht="12.75"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</row>
    <row r="2243" spans="3:30" ht="12.75"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</row>
    <row r="2244" spans="3:30" ht="12.75"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</row>
    <row r="2245" spans="3:30" ht="12.75"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</row>
    <row r="2246" spans="3:30" ht="12.75"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</row>
    <row r="2247" spans="3:30" ht="12.75"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</row>
    <row r="2248" spans="3:30" ht="12.75"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</row>
    <row r="2249" spans="3:30" ht="12.75"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</row>
    <row r="2250" spans="3:30" ht="12.75"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</row>
    <row r="2251" spans="3:30" ht="12.75"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</row>
    <row r="2252" spans="3:30" ht="12.75"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</row>
    <row r="2253" spans="3:30" ht="12.75"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</row>
    <row r="2254" spans="3:30" ht="12.75"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</row>
    <row r="2255" spans="3:30" ht="12.75"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</row>
    <row r="2256" spans="3:30" ht="12.75"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</row>
    <row r="2257" spans="3:30" ht="12.75"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</row>
    <row r="2258" spans="3:30" ht="12.75"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</row>
    <row r="2259" spans="3:30" ht="12.75"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</row>
    <row r="2260" spans="3:30" ht="12.75"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</row>
    <row r="2261" spans="3:30" ht="12.75"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</row>
    <row r="2262" spans="3:30" ht="12.75"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</row>
    <row r="2263" spans="3:30" ht="12.75"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</row>
    <row r="2264" spans="3:30" ht="12.75"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</row>
    <row r="2265" spans="3:30" ht="12.75"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</row>
    <row r="2266" spans="3:30" ht="12.75"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</row>
    <row r="2267" spans="3:30" ht="12.75"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</row>
    <row r="2268" spans="3:30" ht="12.75"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</row>
    <row r="2269" spans="3:30" ht="12.75"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</row>
    <row r="2270" spans="3:30" ht="12.75"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</row>
    <row r="2271" spans="3:30" ht="12.75"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</row>
    <row r="2272" spans="3:30" ht="12.75"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</row>
    <row r="2273" spans="3:30" ht="12.75"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</row>
    <row r="2274" spans="3:30" ht="12.75"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</row>
    <row r="2275" spans="3:30" ht="12.75"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</row>
    <row r="2276" spans="3:30" ht="12.75"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</row>
    <row r="2277" spans="3:30" ht="12.75"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</row>
    <row r="2278" spans="3:30" ht="12.75"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</row>
    <row r="2279" spans="3:30" ht="12.75"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</row>
    <row r="2280" spans="3:30" ht="12.75"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</row>
    <row r="2281" spans="3:30" ht="12.75"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</row>
    <row r="2282" spans="3:30" ht="12.75"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</row>
    <row r="2283" spans="3:30" ht="12.75"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</row>
    <row r="2284" spans="3:30" ht="12.75"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</row>
    <row r="2285" spans="3:30" ht="12.75"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</row>
    <row r="2286" spans="3:30" ht="12.75"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</row>
    <row r="2287" spans="3:30" ht="12.75"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</row>
    <row r="2288" spans="3:30" ht="12.75"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</row>
    <row r="2289" spans="3:30" ht="12.75"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</row>
    <row r="2290" spans="3:30" ht="12.75"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</row>
    <row r="2291" spans="3:30" ht="12.75"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</row>
    <row r="2292" spans="3:30" ht="12.75"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</row>
    <row r="2293" spans="3:30" ht="12.75"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</row>
    <row r="2294" spans="3:30" ht="12.75"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</row>
    <row r="2295" spans="3:30" ht="12.75"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</row>
    <row r="2296" spans="3:30" ht="12.75"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</row>
    <row r="2297" spans="3:30" ht="12.75"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</row>
    <row r="2298" spans="3:30" ht="12.75"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</row>
    <row r="2299" spans="3:30" ht="12.75"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</row>
    <row r="2300" spans="3:30" ht="12.75"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</row>
    <row r="2301" spans="3:30" ht="12.75"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</row>
    <row r="2302" spans="3:30" ht="12.75"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</row>
    <row r="2303" spans="3:30" ht="12.75"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</row>
    <row r="2304" spans="3:30" ht="12.75"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</row>
    <row r="2305" spans="3:30" ht="12.75"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</row>
    <row r="2306" spans="3:30" ht="12.75"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</row>
    <row r="2307" spans="3:30" ht="12.75"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</row>
    <row r="2308" spans="3:30" ht="12.75"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</row>
    <row r="2309" spans="3:30" ht="12.75"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</row>
    <row r="2310" spans="3:30" ht="12.75"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</row>
    <row r="2311" spans="3:30" ht="12.75"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</row>
    <row r="2312" spans="3:30" ht="12.75"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</row>
    <row r="2313" spans="3:30" ht="12.75"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</row>
    <row r="2314" spans="3:30" ht="12.75"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</row>
    <row r="2315" spans="3:30" ht="12.75"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</row>
    <row r="2316" spans="3:30" ht="12.75"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</row>
    <row r="2317" spans="3:30" ht="12.75"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</row>
    <row r="2318" spans="3:30" ht="12.75"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</row>
    <row r="2319" spans="3:30" ht="12.75"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</row>
    <row r="2320" spans="3:30" ht="12.75"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</row>
    <row r="2321" spans="3:30" ht="12.75"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</row>
    <row r="2322" spans="3:30" ht="12.75"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</row>
    <row r="2323" spans="3:30" ht="12.75"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</row>
    <row r="2324" spans="3:30" ht="12.75"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</row>
    <row r="2325" spans="3:30" ht="12.75"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</row>
    <row r="2326" spans="3:30" ht="12.75"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</row>
    <row r="2327" spans="3:30" ht="12.75"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</row>
    <row r="2328" spans="3:30" ht="12.75"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</row>
    <row r="2329" spans="3:30" ht="12.75"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</row>
    <row r="2330" spans="3:30" ht="12.75"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</row>
    <row r="2331" spans="3:30" ht="12.75"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</row>
    <row r="2332" spans="3:30" ht="12.75"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</row>
    <row r="2333" spans="3:30" ht="12.75"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</row>
    <row r="2334" spans="3:30" ht="12.75"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</row>
    <row r="2335" spans="3:30" ht="12.75"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</row>
    <row r="2336" spans="3:30" ht="12.75"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</row>
    <row r="2337" spans="3:30" ht="12.75"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</row>
    <row r="2338" spans="3:30" ht="12.75"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</row>
    <row r="2339" spans="3:30" ht="12.75"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</row>
    <row r="2340" spans="3:30" ht="12.75"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</row>
    <row r="2341" spans="3:30" ht="12.75"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</row>
    <row r="2342" spans="3:30" ht="12.75"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/>
      <c r="AA2342" s="32"/>
      <c r="AB2342" s="32"/>
      <c r="AC2342" s="32"/>
      <c r="AD2342" s="32"/>
    </row>
    <row r="2343" spans="3:30" ht="12.75"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</row>
    <row r="2344" spans="3:30" ht="12.75"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</row>
    <row r="2345" spans="3:30" ht="12.75"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</row>
    <row r="2346" spans="3:30" ht="12.75"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2"/>
      <c r="AD2346" s="32"/>
    </row>
    <row r="2347" spans="3:30" ht="12.75"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</row>
    <row r="2348" spans="3:30" ht="12.75"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  <c r="Z2348" s="32"/>
      <c r="AA2348" s="32"/>
      <c r="AB2348" s="32"/>
      <c r="AC2348" s="32"/>
      <c r="AD2348" s="32"/>
    </row>
    <row r="2349" spans="3:30" ht="12.75"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</row>
    <row r="2350" spans="3:30" ht="12.75"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  <c r="Z2350" s="32"/>
      <c r="AA2350" s="32"/>
      <c r="AB2350" s="32"/>
      <c r="AC2350" s="32"/>
      <c r="AD2350" s="32"/>
    </row>
    <row r="2351" spans="3:30" ht="12.75"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</row>
    <row r="2352" spans="3:30" ht="12.75"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2"/>
      <c r="AD2352" s="32"/>
    </row>
    <row r="2353" spans="3:30" ht="12.75"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</row>
    <row r="2354" spans="3:30" ht="12.75"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</row>
    <row r="2355" spans="3:30" ht="12.75"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</row>
    <row r="2356" spans="3:30" ht="12.75"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2"/>
      <c r="AD2356" s="32"/>
    </row>
    <row r="2357" spans="3:30" ht="12.75"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</row>
    <row r="2358" spans="3:30" ht="12.75"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</row>
    <row r="2359" spans="3:30" ht="12.75"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</row>
    <row r="2360" spans="3:30" ht="12.75"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  <c r="Z2360" s="32"/>
      <c r="AA2360" s="32"/>
      <c r="AB2360" s="32"/>
      <c r="AC2360" s="32"/>
      <c r="AD2360" s="32"/>
    </row>
    <row r="2361" spans="3:30" ht="12.75"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</row>
    <row r="2362" spans="3:30" ht="12.75"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2"/>
      <c r="AD2362" s="32"/>
    </row>
    <row r="2363" spans="3:30" ht="12.75"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</row>
    <row r="2364" spans="3:30" ht="12.75"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2"/>
      <c r="AD2364" s="32"/>
    </row>
    <row r="2365" spans="3:30" ht="12.75"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</row>
    <row r="2366" spans="3:30" ht="12.75"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2"/>
      <c r="AD2366" s="32"/>
    </row>
    <row r="2367" spans="3:30" ht="12.75"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</row>
    <row r="2368" spans="3:30" ht="12.75"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  <c r="Z2368" s="32"/>
      <c r="AA2368" s="32"/>
      <c r="AB2368" s="32"/>
      <c r="AC2368" s="32"/>
      <c r="AD2368" s="32"/>
    </row>
    <row r="2369" spans="3:30" ht="12.75"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</row>
    <row r="2370" spans="3:30" ht="12.75"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  <c r="Z2370" s="32"/>
      <c r="AA2370" s="32"/>
      <c r="AB2370" s="32"/>
      <c r="AC2370" s="32"/>
      <c r="AD2370" s="32"/>
    </row>
    <row r="2371" spans="3:30" ht="12.75"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</row>
    <row r="2372" spans="3:30" ht="12.75"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2"/>
      <c r="AD2372" s="32"/>
    </row>
    <row r="2373" spans="3:30" ht="12.75"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</row>
    <row r="2374" spans="3:30" ht="12.75"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2"/>
      <c r="AD2374" s="32"/>
    </row>
    <row r="2375" spans="3:30" ht="12.75"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</row>
    <row r="2376" spans="3:30" ht="12.75"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2"/>
      <c r="AD2376" s="32"/>
    </row>
    <row r="2377" spans="3:30" ht="12.75"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</row>
    <row r="2378" spans="3:30" ht="12.75"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  <c r="Z2378" s="32"/>
      <c r="AA2378" s="32"/>
      <c r="AB2378" s="32"/>
      <c r="AC2378" s="32"/>
      <c r="AD2378" s="32"/>
    </row>
    <row r="2379" spans="3:30" ht="12.75"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</row>
    <row r="2380" spans="3:30" ht="12.75"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/>
      <c r="AA2380" s="32"/>
      <c r="AB2380" s="32"/>
      <c r="AC2380" s="32"/>
      <c r="AD2380" s="32"/>
    </row>
    <row r="2381" spans="3:30" ht="12.75"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</row>
    <row r="2382" spans="3:30" ht="12.75"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</row>
    <row r="2383" spans="3:30" ht="12.75"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</row>
    <row r="2384" spans="3:30" ht="12.75"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2"/>
      <c r="AD2384" s="32"/>
    </row>
    <row r="2385" spans="3:30" ht="12.75"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</row>
    <row r="2386" spans="3:30" ht="12.75"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2"/>
      <c r="AD2386" s="32"/>
    </row>
    <row r="2387" spans="3:30" ht="12.75"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/>
      <c r="AB2387" s="32"/>
      <c r="AC2387" s="32"/>
      <c r="AD2387" s="32"/>
    </row>
    <row r="2388" spans="3:30" ht="12.75"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  <c r="Z2388" s="32"/>
      <c r="AA2388" s="32"/>
      <c r="AB2388" s="32"/>
      <c r="AC2388" s="32"/>
      <c r="AD2388" s="32"/>
    </row>
    <row r="2389" spans="3:30" ht="12.75"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</row>
    <row r="2390" spans="3:30" ht="12.75"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/>
      <c r="AA2390" s="32"/>
      <c r="AB2390" s="32"/>
      <c r="AC2390" s="32"/>
      <c r="AD2390" s="32"/>
    </row>
    <row r="2391" spans="3:30" ht="12.75"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</row>
    <row r="2392" spans="3:30" ht="12.75"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2"/>
      <c r="AD2392" s="32"/>
    </row>
    <row r="2393" spans="3:30" ht="12.75"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</row>
    <row r="2394" spans="3:30" ht="12.75"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2"/>
      <c r="AD2394" s="32"/>
    </row>
    <row r="2395" spans="3:30" ht="12.75"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</row>
    <row r="2396" spans="3:30" ht="12.75"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2"/>
      <c r="AD2396" s="32"/>
    </row>
    <row r="2397" spans="3:30" ht="12.75"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</row>
    <row r="2398" spans="3:30" ht="12.75"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  <c r="Z2398" s="32"/>
      <c r="AA2398" s="32"/>
      <c r="AB2398" s="32"/>
      <c r="AC2398" s="32"/>
      <c r="AD2398" s="32"/>
    </row>
    <row r="2399" spans="3:30" ht="12.75"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</row>
    <row r="2400" spans="3:30" ht="12.75"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/>
      <c r="AA2400" s="32"/>
      <c r="AB2400" s="32"/>
      <c r="AC2400" s="32"/>
      <c r="AD2400" s="32"/>
    </row>
    <row r="2401" spans="3:30" ht="12.75"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</row>
    <row r="2402" spans="3:30" ht="12.75"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2"/>
      <c r="AD2402" s="32"/>
    </row>
    <row r="2403" spans="3:30" ht="12.75"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</row>
    <row r="2404" spans="3:30" ht="12.75"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2"/>
      <c r="AD2404" s="32"/>
    </row>
    <row r="2405" spans="3:30" ht="12.75"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</row>
    <row r="2406" spans="3:30" ht="12.75"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2"/>
      <c r="AD2406" s="32"/>
    </row>
    <row r="2407" spans="3:30" ht="12.75"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</row>
    <row r="2408" spans="3:30" ht="12.75"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/>
      <c r="AA2408" s="32"/>
      <c r="AB2408" s="32"/>
      <c r="AC2408" s="32"/>
      <c r="AD2408" s="32"/>
    </row>
    <row r="2409" spans="3:30" ht="12.75"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</row>
    <row r="2410" spans="3:30" ht="12.75"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/>
      <c r="AA2410" s="32"/>
      <c r="AB2410" s="32"/>
      <c r="AC2410" s="32"/>
      <c r="AD2410" s="32"/>
    </row>
    <row r="2411" spans="3:30" ht="12.75"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</row>
    <row r="2412" spans="3:30" ht="12.75"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/>
      <c r="AA2412" s="32"/>
      <c r="AB2412" s="32"/>
      <c r="AC2412" s="32"/>
      <c r="AD2412" s="32"/>
    </row>
    <row r="2413" spans="3:30" ht="12.75"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</row>
    <row r="2414" spans="3:30" ht="12.75"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2"/>
      <c r="AD2414" s="32"/>
    </row>
    <row r="2415" spans="3:30" ht="12.75"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</row>
    <row r="2416" spans="3:30" ht="12.75"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2"/>
      <c r="AD2416" s="32"/>
    </row>
    <row r="2417" spans="3:30" ht="12.75"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</row>
    <row r="2418" spans="3:30" ht="12.75"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</row>
    <row r="2419" spans="3:30" ht="12.75"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</row>
    <row r="2420" spans="3:30" ht="12.75"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</row>
    <row r="2421" spans="3:30" ht="12.75"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</row>
    <row r="2422" spans="3:30" ht="12.75"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/>
      <c r="AA2422" s="32"/>
      <c r="AB2422" s="32"/>
      <c r="AC2422" s="32"/>
      <c r="AD2422" s="32"/>
    </row>
    <row r="2423" spans="3:30" ht="12.75"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</row>
    <row r="2424" spans="3:30" ht="12.75"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2"/>
      <c r="AD2424" s="32"/>
    </row>
    <row r="2425" spans="3:30" ht="12.75"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</row>
    <row r="2426" spans="3:30" ht="12.75"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2"/>
      <c r="AD2426" s="32"/>
    </row>
    <row r="2427" spans="3:30" ht="12.75"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</row>
    <row r="2428" spans="3:30" ht="12.75"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</row>
    <row r="2429" spans="3:30" ht="12.75"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</row>
    <row r="2430" spans="3:30" ht="12.75"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</row>
    <row r="2431" spans="3:30" ht="12.75"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</row>
    <row r="2432" spans="3:30" ht="12.75"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/>
      <c r="AA2432" s="32"/>
      <c r="AB2432" s="32"/>
      <c r="AC2432" s="32"/>
      <c r="AD2432" s="32"/>
    </row>
    <row r="2433" spans="3:30" ht="12.75"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</row>
    <row r="2434" spans="3:30" ht="12.75"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2"/>
      <c r="AD2434" s="32"/>
    </row>
    <row r="2435" spans="3:30" ht="12.75"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</row>
    <row r="2436" spans="3:30" ht="12.75"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</row>
    <row r="2437" spans="3:30" ht="12.75"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</row>
    <row r="2438" spans="3:30" ht="12.75"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/>
      <c r="AA2438" s="32"/>
      <c r="AB2438" s="32"/>
      <c r="AC2438" s="32"/>
      <c r="AD2438" s="32"/>
    </row>
    <row r="2439" spans="3:30" ht="12.75"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</row>
    <row r="2440" spans="3:30" ht="12.75"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/>
      <c r="AA2440" s="32"/>
      <c r="AB2440" s="32"/>
      <c r="AC2440" s="32"/>
      <c r="AD2440" s="32"/>
    </row>
    <row r="2441" spans="3:30" ht="12.75"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</row>
    <row r="2442" spans="3:30" ht="12.75"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/>
      <c r="AA2442" s="32"/>
      <c r="AB2442" s="32"/>
      <c r="AC2442" s="32"/>
      <c r="AD2442" s="32"/>
    </row>
    <row r="2443" spans="3:30" ht="12.75"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</row>
    <row r="2444" spans="3:30" ht="12.75"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2"/>
      <c r="AD2444" s="32"/>
    </row>
    <row r="2445" spans="3:30" ht="12.75"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</row>
    <row r="2446" spans="3:30" ht="12.75"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2"/>
      <c r="AD2446" s="32"/>
    </row>
    <row r="2447" spans="3:30" ht="12.75"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</row>
    <row r="2448" spans="3:30" ht="12.75"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/>
      <c r="AA2448" s="32"/>
      <c r="AB2448" s="32"/>
      <c r="AC2448" s="32"/>
      <c r="AD2448" s="32"/>
    </row>
    <row r="2449" spans="3:30" ht="12.75"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</row>
    <row r="2450" spans="3:30" ht="12.75"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/>
      <c r="AA2450" s="32"/>
      <c r="AB2450" s="32"/>
      <c r="AC2450" s="32"/>
      <c r="AD2450" s="32"/>
    </row>
    <row r="2451" spans="3:30" ht="12.75"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</row>
    <row r="2452" spans="3:30" ht="12.75"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/>
      <c r="AA2452" s="32"/>
      <c r="AB2452" s="32"/>
      <c r="AC2452" s="32"/>
      <c r="AD2452" s="32"/>
    </row>
    <row r="2453" spans="3:30" ht="12.75"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</row>
    <row r="2454" spans="3:30" ht="12.75"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2"/>
      <c r="AD2454" s="32"/>
    </row>
    <row r="2455" spans="3:30" ht="12.75"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</row>
    <row r="2456" spans="3:30" ht="12.75"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2"/>
      <c r="AD2456" s="32"/>
    </row>
    <row r="2457" spans="3:30" ht="12.75"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</row>
    <row r="2458" spans="3:30" ht="12.75"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/>
      <c r="AA2458" s="32"/>
      <c r="AB2458" s="32"/>
      <c r="AC2458" s="32"/>
      <c r="AD2458" s="32"/>
    </row>
    <row r="2459" spans="3:30" ht="12.75"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</row>
    <row r="2460" spans="3:30" ht="12.75"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/>
      <c r="AA2460" s="32"/>
      <c r="AB2460" s="32"/>
      <c r="AC2460" s="32"/>
      <c r="AD2460" s="32"/>
    </row>
    <row r="2461" spans="3:30" ht="12.75"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</row>
    <row r="2462" spans="3:30" ht="12.75"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/>
      <c r="AA2462" s="32"/>
      <c r="AB2462" s="32"/>
      <c r="AC2462" s="32"/>
      <c r="AD2462" s="32"/>
    </row>
    <row r="2463" spans="3:30" ht="12.75"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</row>
    <row r="2464" spans="3:30" ht="12.75"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2"/>
      <c r="AD2464" s="32"/>
    </row>
    <row r="2465" spans="3:30" ht="12.75"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</row>
    <row r="2466" spans="3:30" ht="12.75"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2"/>
      <c r="AD2466" s="32"/>
    </row>
    <row r="2467" spans="3:30" ht="12.75"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</row>
    <row r="2468" spans="3:30" ht="12.75"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/>
      <c r="AA2468" s="32"/>
      <c r="AB2468" s="32"/>
      <c r="AC2468" s="32"/>
      <c r="AD2468" s="32"/>
    </row>
    <row r="2469" spans="3:30" ht="12.75"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</row>
    <row r="2470" spans="3:30" ht="12.75"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/>
      <c r="AA2470" s="32"/>
      <c r="AB2470" s="32"/>
      <c r="AC2470" s="32"/>
      <c r="AD2470" s="32"/>
    </row>
    <row r="2471" spans="3:30" ht="12.75"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</row>
    <row r="2472" spans="3:30" ht="12.75"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/>
      <c r="AA2472" s="32"/>
      <c r="AB2472" s="32"/>
      <c r="AC2472" s="32"/>
      <c r="AD2472" s="32"/>
    </row>
    <row r="2473" spans="3:30" ht="12.75"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</row>
    <row r="2474" spans="3:30" ht="12.75"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2"/>
      <c r="AD2474" s="32"/>
    </row>
    <row r="2475" spans="3:30" ht="12.75"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</row>
    <row r="2476" spans="3:30" ht="12.75"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2"/>
      <c r="AD2476" s="32"/>
    </row>
    <row r="2477" spans="3:30" ht="12.75"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</row>
    <row r="2478" spans="3:30" ht="12.75"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</row>
    <row r="2479" spans="3:30" ht="12.75"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</row>
    <row r="2480" spans="3:30" ht="12.75"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/>
      <c r="AA2480" s="32"/>
      <c r="AB2480" s="32"/>
      <c r="AC2480" s="32"/>
      <c r="AD2480" s="32"/>
    </row>
    <row r="2481" spans="3:30" ht="12.75"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</row>
    <row r="2482" spans="3:30" ht="12.75"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/>
      <c r="AA2482" s="32"/>
      <c r="AB2482" s="32"/>
      <c r="AC2482" s="32"/>
      <c r="AD2482" s="32"/>
    </row>
    <row r="2483" spans="3:30" ht="12.75"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</row>
    <row r="2484" spans="3:30" ht="12.75"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2"/>
      <c r="AD2484" s="32"/>
    </row>
    <row r="2485" spans="3:30" ht="12.75"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</row>
    <row r="2486" spans="3:30" ht="12.75"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2"/>
      <c r="AD2486" s="32"/>
    </row>
    <row r="2487" spans="3:30" ht="12.75"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</row>
    <row r="2488" spans="3:30" ht="12.75"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</row>
    <row r="2489" spans="3:30" ht="12.75"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</row>
    <row r="2490" spans="3:30" ht="12.75"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/>
      <c r="AA2490" s="32"/>
      <c r="AB2490" s="32"/>
      <c r="AC2490" s="32"/>
      <c r="AD2490" s="32"/>
    </row>
    <row r="2491" spans="3:30" ht="12.75"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</row>
    <row r="2492" spans="3:30" ht="12.75"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/>
      <c r="AA2492" s="32"/>
      <c r="AB2492" s="32"/>
      <c r="AC2492" s="32"/>
      <c r="AD2492" s="32"/>
    </row>
    <row r="2493" spans="3:30" ht="12.75"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</row>
    <row r="2494" spans="3:30" ht="12.75"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2"/>
      <c r="AD2494" s="32"/>
    </row>
    <row r="2495" spans="3:30" ht="12.75"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2"/>
      <c r="AD2495" s="32"/>
    </row>
    <row r="2496" spans="3:30" ht="12.75"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2"/>
      <c r="AD2496" s="32"/>
    </row>
    <row r="2497" spans="3:30" ht="12.75"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</row>
    <row r="2498" spans="3:30" ht="12.75"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/>
      <c r="AA2498" s="32"/>
      <c r="AB2498" s="32"/>
      <c r="AC2498" s="32"/>
      <c r="AD2498" s="32"/>
    </row>
    <row r="2499" spans="3:30" ht="12.75"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</row>
    <row r="2500" spans="3:30" ht="12.75"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/>
      <c r="AA2500" s="32"/>
      <c r="AB2500" s="32"/>
      <c r="AC2500" s="32"/>
      <c r="AD2500" s="32"/>
    </row>
    <row r="2501" spans="3:30" ht="12.75"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</row>
    <row r="2502" spans="3:30" ht="12.75"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</row>
    <row r="2503" spans="3:30" ht="12.75"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</row>
    <row r="2504" spans="3:30" ht="12.75"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2"/>
      <c r="AD2504" s="32"/>
    </row>
    <row r="2505" spans="3:30" ht="12.75"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</row>
    <row r="2506" spans="3:30" ht="12.75"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2"/>
      <c r="AD2506" s="32"/>
    </row>
    <row r="2507" spans="3:30" ht="12.75"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</row>
    <row r="2508" spans="3:30" ht="12.75"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/>
      <c r="AA2508" s="32"/>
      <c r="AB2508" s="32"/>
      <c r="AC2508" s="32"/>
      <c r="AD2508" s="32"/>
    </row>
    <row r="2509" spans="3:30" ht="12.75"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</row>
    <row r="2510" spans="3:30" ht="12.75"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/>
      <c r="AA2510" s="32"/>
      <c r="AB2510" s="32"/>
      <c r="AC2510" s="32"/>
      <c r="AD2510" s="32"/>
    </row>
    <row r="2511" spans="3:30" ht="12.75"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</row>
    <row r="2512" spans="3:30" ht="12.75"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/>
      <c r="AA2512" s="32"/>
      <c r="AB2512" s="32"/>
      <c r="AC2512" s="32"/>
      <c r="AD2512" s="32"/>
    </row>
    <row r="2513" spans="3:30" ht="12.75"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</row>
    <row r="2514" spans="3:30" ht="12.75"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2"/>
      <c r="AD2514" s="32"/>
    </row>
    <row r="2515" spans="3:30" ht="12.75"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</row>
    <row r="2516" spans="3:30" ht="12.75"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2"/>
      <c r="AD2516" s="32"/>
    </row>
    <row r="2517" spans="3:30" ht="12.75"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</row>
    <row r="2518" spans="3:30" ht="12.75"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2"/>
      <c r="AD2518" s="32"/>
    </row>
    <row r="2519" spans="3:30" ht="12.75"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</row>
    <row r="2520" spans="3:30" ht="12.75"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</row>
    <row r="2521" spans="3:30" ht="12.75"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</row>
    <row r="2522" spans="3:30" ht="12.75"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/>
      <c r="AA2522" s="32"/>
      <c r="AB2522" s="32"/>
      <c r="AC2522" s="32"/>
      <c r="AD2522" s="32"/>
    </row>
    <row r="2523" spans="3:30" ht="12.75"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</row>
    <row r="2524" spans="3:30" ht="12.75"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2"/>
      <c r="AD2524" s="32"/>
    </row>
    <row r="2525" spans="3:30" ht="12.75"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</row>
    <row r="2526" spans="3:30" ht="12.75"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2"/>
      <c r="AD2526" s="32"/>
    </row>
    <row r="2527" spans="3:30" ht="12.75"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</row>
    <row r="2528" spans="3:30" ht="12.75"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2"/>
      <c r="AD2528" s="32"/>
    </row>
    <row r="2529" spans="3:30" ht="12.75"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</row>
    <row r="2530" spans="3:30" ht="12.75"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/>
      <c r="AA2530" s="32"/>
      <c r="AB2530" s="32"/>
      <c r="AC2530" s="32"/>
      <c r="AD2530" s="32"/>
    </row>
    <row r="2531" spans="3:30" ht="12.75"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</row>
    <row r="2532" spans="3:30" ht="12.75"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/>
      <c r="AA2532" s="32"/>
      <c r="AB2532" s="32"/>
      <c r="AC2532" s="32"/>
      <c r="AD2532" s="32"/>
    </row>
    <row r="2533" spans="3:30" ht="12.75"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</row>
    <row r="2534" spans="3:30" ht="12.75"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2"/>
      <c r="AD2534" s="32"/>
    </row>
    <row r="2535" spans="3:30" ht="12.75"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</row>
    <row r="2536" spans="3:30" ht="12.75"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2"/>
      <c r="AD2536" s="32"/>
    </row>
    <row r="2537" spans="3:30" ht="12.75"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</row>
    <row r="2538" spans="3:30" ht="12.75"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2"/>
      <c r="AD2538" s="32"/>
    </row>
    <row r="2539" spans="3:30" ht="12.75"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</row>
    <row r="2540" spans="3:30" ht="12.75"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</row>
    <row r="2541" spans="3:30" ht="12.75"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</row>
    <row r="2542" spans="3:30" ht="12.75"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/>
      <c r="AA2542" s="32"/>
      <c r="AB2542" s="32"/>
      <c r="AC2542" s="32"/>
      <c r="AD2542" s="32"/>
    </row>
    <row r="2543" spans="3:30" ht="12.75"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</row>
    <row r="2544" spans="3:30" ht="12.75"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2"/>
      <c r="AD2544" s="32"/>
    </row>
    <row r="2545" spans="3:30" ht="12.75"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</row>
    <row r="2546" spans="3:30" ht="12.75"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</row>
    <row r="2547" spans="3:30" ht="12.75"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</row>
    <row r="2548" spans="3:30" ht="12.75"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</row>
    <row r="2549" spans="3:30" ht="12.75"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2"/>
      <c r="AC2549" s="32"/>
      <c r="AD2549" s="32"/>
    </row>
    <row r="2550" spans="3:30" ht="12.75"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/>
      <c r="AA2550" s="32"/>
      <c r="AB2550" s="32"/>
      <c r="AC2550" s="32"/>
      <c r="AD2550" s="32"/>
    </row>
    <row r="2551" spans="3:30" ht="12.75"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</row>
    <row r="2552" spans="3:30" ht="12.75"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2"/>
      <c r="AC2552" s="32"/>
      <c r="AD2552" s="32"/>
    </row>
    <row r="2553" spans="3:30" ht="12.75"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</row>
    <row r="2554" spans="3:30" ht="12.75"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2"/>
      <c r="AD2554" s="32"/>
    </row>
    <row r="2555" spans="3:30" ht="12.75"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</row>
    <row r="2556" spans="3:30" ht="12.75"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2"/>
      <c r="AD2556" s="32"/>
    </row>
    <row r="2557" spans="3:30" ht="12.75"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</row>
    <row r="2558" spans="3:30" ht="12.75"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2"/>
      <c r="AD2558" s="32"/>
    </row>
    <row r="2559" spans="3:30" ht="12.75"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</row>
    <row r="2560" spans="3:30" ht="12.75"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/>
      <c r="AA2560" s="32"/>
      <c r="AB2560" s="32"/>
      <c r="AC2560" s="32"/>
      <c r="AD2560" s="32"/>
    </row>
    <row r="2561" spans="3:30" ht="12.75"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</row>
    <row r="2562" spans="3:30" ht="12.75"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2"/>
      <c r="AC2562" s="32"/>
      <c r="AD2562" s="32"/>
    </row>
    <row r="2563" spans="3:30" ht="12.75"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</row>
    <row r="2564" spans="3:30" ht="12.75"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2"/>
      <c r="AD2564" s="32"/>
    </row>
    <row r="2565" spans="3:30" ht="12.75"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</row>
    <row r="2566" spans="3:30" ht="12.75"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2"/>
      <c r="AD2566" s="32"/>
    </row>
    <row r="2567" spans="3:30" ht="12.75"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</row>
    <row r="2568" spans="3:30" ht="12.75"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2"/>
      <c r="AD2568" s="32"/>
    </row>
    <row r="2569" spans="3:30" ht="12.75"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</row>
    <row r="2570" spans="3:30" ht="12.75"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/>
      <c r="AA2570" s="32"/>
      <c r="AB2570" s="32"/>
      <c r="AC2570" s="32"/>
      <c r="AD2570" s="32"/>
    </row>
    <row r="2571" spans="3:30" ht="12.75"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</row>
    <row r="2572" spans="3:30" ht="12.75"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</row>
    <row r="2573" spans="3:30" ht="12.75"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</row>
    <row r="2574" spans="3:30" ht="12.75"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2"/>
      <c r="AD2574" s="32"/>
    </row>
    <row r="2575" spans="3:30" ht="12.75"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</row>
    <row r="2576" spans="3:30" ht="12.75"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2"/>
      <c r="AD2576" s="32"/>
    </row>
    <row r="2577" spans="3:30" ht="12.75"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</row>
    <row r="2578" spans="3:30" ht="12.75"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</row>
    <row r="2579" spans="3:30" ht="12.75"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</row>
    <row r="2580" spans="3:30" ht="12.75"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</row>
    <row r="2581" spans="3:30" ht="12.75"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</row>
    <row r="2582" spans="3:30" ht="12.75"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2"/>
      <c r="AC2582" s="32"/>
      <c r="AD2582" s="32"/>
    </row>
    <row r="2583" spans="3:30" ht="12.75"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</row>
    <row r="2584" spans="3:30" ht="12.75"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2"/>
      <c r="AD2584" s="32"/>
    </row>
    <row r="2585" spans="3:30" ht="12.75"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</row>
    <row r="2586" spans="3:30" ht="12.75"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2"/>
      <c r="AD2586" s="32"/>
    </row>
    <row r="2587" spans="3:30" ht="12.75"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</row>
    <row r="2588" spans="3:30" ht="12.75"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2"/>
      <c r="AD2588" s="32"/>
    </row>
    <row r="2589" spans="3:30" ht="12.75"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</row>
    <row r="2590" spans="3:30" ht="12.75"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/>
      <c r="AA2590" s="32"/>
      <c r="AB2590" s="32"/>
      <c r="AC2590" s="32"/>
      <c r="AD2590" s="32"/>
    </row>
    <row r="2591" spans="3:30" ht="12.75"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</row>
    <row r="2592" spans="3:30" ht="12.75"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/>
      <c r="AA2592" s="32"/>
      <c r="AB2592" s="32"/>
      <c r="AC2592" s="32"/>
      <c r="AD2592" s="32"/>
    </row>
    <row r="2593" spans="3:30" ht="12.75"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</row>
    <row r="2594" spans="3:30" ht="12.75"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2"/>
      <c r="AD2594" s="32"/>
    </row>
    <row r="2595" spans="3:30" ht="12.75"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</row>
    <row r="2596" spans="3:30" ht="12.75"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2"/>
      <c r="AD2596" s="32"/>
    </row>
    <row r="2597" spans="3:30" ht="12.75"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</row>
    <row r="2598" spans="3:30" ht="12.75"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2"/>
      <c r="AD2598" s="32"/>
    </row>
    <row r="2599" spans="3:30" ht="12.75"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</row>
    <row r="2600" spans="3:30" ht="12.75"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/>
      <c r="AA2600" s="32"/>
      <c r="AB2600" s="32"/>
      <c r="AC2600" s="32"/>
      <c r="AD2600" s="32"/>
    </row>
    <row r="2601" spans="3:30" ht="12.75"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</row>
  </sheetData>
  <mergeCells count="6">
    <mergeCell ref="I8:O8"/>
    <mergeCell ref="A1:Y1"/>
    <mergeCell ref="A2:Y2"/>
    <mergeCell ref="A3:Y3"/>
    <mergeCell ref="A4:Y4"/>
    <mergeCell ref="Q8:S8"/>
  </mergeCells>
  <printOptions/>
  <pageMargins left="0.25" right="0.25" top="0.1" bottom="0.1" header="0.5" footer="0.5"/>
  <pageSetup horizontalDpi="300" verticalDpi="300" orientation="landscape" scale="61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workbookViewId="0" topLeftCell="A1">
      <selection activeCell="A2" sqref="A2"/>
    </sheetView>
  </sheetViews>
  <sheetFormatPr defaultColWidth="9.140625" defaultRowHeight="12.75"/>
  <cols>
    <col min="1" max="1" width="45.00390625" style="0" customWidth="1"/>
    <col min="2" max="2" width="1.7109375" style="0" customWidth="1"/>
    <col min="3" max="3" width="11.7109375" style="0" customWidth="1"/>
    <col min="4" max="6" width="11.7109375" style="0" hidden="1" customWidth="1"/>
    <col min="7" max="7" width="11.7109375" style="0" customWidth="1"/>
    <col min="8" max="8" width="1.7109375" style="0" customWidth="1"/>
    <col min="9" max="13" width="11.7109375" style="0" customWidth="1"/>
    <col min="14" max="14" width="13.7109375" style="0" customWidth="1"/>
    <col min="15" max="15" width="11.7109375" style="0" customWidth="1"/>
    <col min="16" max="16" width="1.7109375" style="0" customWidth="1"/>
    <col min="17" max="17" width="12.7109375" style="0" customWidth="1"/>
    <col min="18" max="19" width="11.7109375" style="0" customWidth="1"/>
    <col min="20" max="20" width="1.7109375" style="0" customWidth="1"/>
    <col min="21" max="25" width="11.7109375" style="0" customWidth="1"/>
  </cols>
  <sheetData>
    <row r="1" ht="12.75">
      <c r="A1" t="e">
        <f>+'To 000''s'!#REF!</f>
        <v>#REF!</v>
      </c>
    </row>
    <row r="2" ht="12.75">
      <c r="A2" t="e">
        <f>+'To 000''s'!#REF!</f>
        <v>#REF!</v>
      </c>
    </row>
    <row r="4" spans="1:25" ht="12.7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2.75">
      <c r="A5" s="62" t="s">
        <v>70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2.75">
      <c r="A6" s="62" t="s">
        <v>83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2.75">
      <c r="A7" s="63" t="s">
        <v>64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11" spans="3:19" ht="13.5" thickBot="1">
      <c r="C11" s="2"/>
      <c r="D11" s="2"/>
      <c r="E11" s="2"/>
      <c r="F11" s="2"/>
      <c r="G11" s="2"/>
      <c r="H11" s="2"/>
      <c r="I11" s="61" t="s">
        <v>73</v>
      </c>
      <c r="J11" s="61"/>
      <c r="K11" s="61"/>
      <c r="L11" s="61"/>
      <c r="M11" s="61"/>
      <c r="N11" s="61"/>
      <c r="O11" s="61"/>
      <c r="P11" s="49"/>
      <c r="Q11" s="61" t="s">
        <v>85</v>
      </c>
      <c r="R11" s="61"/>
      <c r="S11" s="61"/>
    </row>
    <row r="12" spans="3:25" ht="12.75">
      <c r="C12" s="14"/>
      <c r="D12" s="24" t="s">
        <v>3</v>
      </c>
      <c r="E12" s="24" t="s">
        <v>4</v>
      </c>
      <c r="F12" s="24" t="s">
        <v>5</v>
      </c>
      <c r="G12" s="24" t="s">
        <v>71</v>
      </c>
      <c r="H12" s="2"/>
      <c r="I12" s="21"/>
      <c r="J12" s="21"/>
      <c r="K12" s="21"/>
      <c r="L12" s="21" t="s">
        <v>77</v>
      </c>
      <c r="M12" s="21"/>
      <c r="N12" s="21" t="s">
        <v>60</v>
      </c>
      <c r="O12" s="21"/>
      <c r="P12" s="21"/>
      <c r="Q12" s="21" t="s">
        <v>72</v>
      </c>
      <c r="R12" s="21" t="s">
        <v>79</v>
      </c>
      <c r="S12" s="21"/>
      <c r="U12" s="21" t="s">
        <v>72</v>
      </c>
      <c r="V12" s="33"/>
      <c r="W12" s="33"/>
      <c r="X12" s="33"/>
      <c r="Y12" s="21" t="s">
        <v>72</v>
      </c>
    </row>
    <row r="13" spans="3:25" ht="12.75">
      <c r="C13" s="25" t="s">
        <v>69</v>
      </c>
      <c r="D13" s="24" t="s">
        <v>6</v>
      </c>
      <c r="E13" s="24" t="s">
        <v>7</v>
      </c>
      <c r="F13" s="24" t="s">
        <v>7</v>
      </c>
      <c r="G13" s="24" t="s">
        <v>8</v>
      </c>
      <c r="H13" s="2"/>
      <c r="I13" s="21" t="s">
        <v>61</v>
      </c>
      <c r="J13" s="21"/>
      <c r="K13" s="21" t="s">
        <v>75</v>
      </c>
      <c r="L13" s="21" t="s">
        <v>4</v>
      </c>
      <c r="M13" s="21" t="s">
        <v>78</v>
      </c>
      <c r="N13" s="21" t="s">
        <v>62</v>
      </c>
      <c r="O13" s="21"/>
      <c r="P13" s="21"/>
      <c r="Q13" s="21" t="s">
        <v>62</v>
      </c>
      <c r="R13" s="21" t="s">
        <v>80</v>
      </c>
      <c r="S13" s="21" t="s">
        <v>82</v>
      </c>
      <c r="U13" s="21" t="s">
        <v>10</v>
      </c>
      <c r="V13" s="33"/>
      <c r="W13" s="33"/>
      <c r="X13" s="33"/>
      <c r="Y13" s="21" t="s">
        <v>10</v>
      </c>
    </row>
    <row r="14" spans="1:25" ht="12.75">
      <c r="A14" s="26" t="s">
        <v>9</v>
      </c>
      <c r="B14" s="27"/>
      <c r="C14" s="28" t="s">
        <v>10</v>
      </c>
      <c r="D14" s="29" t="s">
        <v>11</v>
      </c>
      <c r="E14" s="29" t="s">
        <v>11</v>
      </c>
      <c r="F14" s="29" t="s">
        <v>11</v>
      </c>
      <c r="G14" s="29" t="s">
        <v>12</v>
      </c>
      <c r="I14" s="22" t="s">
        <v>63</v>
      </c>
      <c r="J14" s="22" t="s">
        <v>74</v>
      </c>
      <c r="K14" s="22" t="s">
        <v>76</v>
      </c>
      <c r="L14" s="22" t="s">
        <v>26</v>
      </c>
      <c r="M14" s="22" t="s">
        <v>26</v>
      </c>
      <c r="N14" s="50">
        <v>-0.00476</v>
      </c>
      <c r="O14" s="22" t="s">
        <v>26</v>
      </c>
      <c r="P14" s="22"/>
      <c r="Q14" s="22">
        <v>-0.01</v>
      </c>
      <c r="R14" s="22" t="s">
        <v>81</v>
      </c>
      <c r="S14" s="22" t="s">
        <v>81</v>
      </c>
      <c r="U14" s="22" t="s">
        <v>65</v>
      </c>
      <c r="V14" s="22" t="s">
        <v>66</v>
      </c>
      <c r="W14" s="22" t="s">
        <v>67</v>
      </c>
      <c r="X14" s="22" t="s">
        <v>68</v>
      </c>
      <c r="Y14" s="22" t="s">
        <v>65</v>
      </c>
    </row>
    <row r="15" spans="1:25" ht="12.75">
      <c r="A15" s="11"/>
      <c r="B15" s="11"/>
      <c r="C15" s="11"/>
      <c r="D15" s="11"/>
      <c r="E15" s="11"/>
      <c r="F15" s="11"/>
      <c r="G15" s="11"/>
      <c r="U15" s="33"/>
      <c r="V15" s="33"/>
      <c r="W15" s="33"/>
      <c r="X15" s="33"/>
      <c r="Y15" s="33"/>
    </row>
    <row r="16" spans="1:25" ht="12.75">
      <c r="A16" s="14" t="s">
        <v>13</v>
      </c>
      <c r="B16" s="12"/>
      <c r="C16" s="12"/>
      <c r="D16" s="12"/>
      <c r="E16" s="12"/>
      <c r="F16" s="12"/>
      <c r="G16" s="12"/>
      <c r="U16" s="33"/>
      <c r="V16" s="33"/>
      <c r="W16" s="33"/>
      <c r="X16" s="33"/>
      <c r="Y16" s="33"/>
    </row>
    <row r="17" spans="1:25" ht="12.75">
      <c r="A17" s="14" t="s">
        <v>14</v>
      </c>
      <c r="B17" s="12"/>
      <c r="C17" s="12"/>
      <c r="D17" s="12"/>
      <c r="E17" s="12"/>
      <c r="F17" s="12"/>
      <c r="G17" s="12"/>
      <c r="U17" s="33"/>
      <c r="V17" s="33"/>
      <c r="W17" s="33"/>
      <c r="X17" s="33"/>
      <c r="Y17" s="33"/>
    </row>
    <row r="18" spans="1:26" ht="12.75">
      <c r="A18" s="12" t="s">
        <v>15</v>
      </c>
      <c r="B18" s="12"/>
      <c r="C18" s="15">
        <v>71393000</v>
      </c>
      <c r="D18" s="12">
        <v>1560000</v>
      </c>
      <c r="E18" s="12">
        <v>0</v>
      </c>
      <c r="F18" s="12">
        <v>-1071000</v>
      </c>
      <c r="G18" s="12">
        <f>+C18+D18+E18+F18</f>
        <v>71882000</v>
      </c>
      <c r="H18" s="12"/>
      <c r="I18" s="12">
        <v>71882000</v>
      </c>
      <c r="J18" s="32"/>
      <c r="K18" s="32">
        <v>-2000000</v>
      </c>
      <c r="L18" s="32">
        <f>SUM(J18:K18)</f>
        <v>-2000000</v>
      </c>
      <c r="M18" s="32">
        <f>+I18+L18</f>
        <v>69882000</v>
      </c>
      <c r="N18" s="12">
        <f>ROUND(M18*$N$14,0)</f>
        <v>-332638</v>
      </c>
      <c r="O18" s="12">
        <f>+M18+N18</f>
        <v>69549362</v>
      </c>
      <c r="P18" s="12"/>
      <c r="Q18" s="12">
        <f>ROUND(O18*$Q$14,0)</f>
        <v>-695494</v>
      </c>
      <c r="R18" s="12"/>
      <c r="S18" s="12"/>
      <c r="U18" s="12">
        <f>SUM(O18:S18)</f>
        <v>68853868</v>
      </c>
      <c r="V18" s="12">
        <f>+U18</f>
        <v>68853868</v>
      </c>
      <c r="W18" s="12"/>
      <c r="X18" s="12"/>
      <c r="Y18" s="12">
        <f>SUM(V18:X18)</f>
        <v>68853868</v>
      </c>
      <c r="Z18" s="32"/>
    </row>
    <row r="19" spans="1:26" ht="12.75">
      <c r="A19" s="12" t="s">
        <v>16</v>
      </c>
      <c r="B19" s="12"/>
      <c r="C19" s="15">
        <v>32730000</v>
      </c>
      <c r="D19" s="12">
        <v>259000</v>
      </c>
      <c r="E19" s="12">
        <v>0</v>
      </c>
      <c r="F19" s="12">
        <v>13407000</v>
      </c>
      <c r="G19" s="12">
        <f>+C19+D19+E19+F19</f>
        <v>46396000</v>
      </c>
      <c r="H19" s="12"/>
      <c r="I19" s="12">
        <v>44396000</v>
      </c>
      <c r="J19" s="32">
        <v>2000000</v>
      </c>
      <c r="K19" s="32"/>
      <c r="L19" s="32">
        <f>SUM(J19:K19)</f>
        <v>2000000</v>
      </c>
      <c r="M19" s="32">
        <f>+I19+L19</f>
        <v>46396000</v>
      </c>
      <c r="N19" s="12">
        <f>ROUND(M19*$N$14,0)</f>
        <v>-220845</v>
      </c>
      <c r="O19" s="12">
        <f>+M19+N19</f>
        <v>46175155</v>
      </c>
      <c r="P19" s="12"/>
      <c r="Q19" s="12">
        <f>ROUND(O19*$Q$14,0)+1</f>
        <v>-461751</v>
      </c>
      <c r="R19" s="12"/>
      <c r="S19" s="12"/>
      <c r="U19" s="12">
        <f>SUM(O19:S19)</f>
        <v>45713404</v>
      </c>
      <c r="V19" s="12">
        <f>+U19-X19</f>
        <v>37831103</v>
      </c>
      <c r="W19" s="12"/>
      <c r="X19" s="12">
        <f>8000000-38080-79619</f>
        <v>7882301</v>
      </c>
      <c r="Y19" s="12">
        <f>SUM(V19:X19)</f>
        <v>45713404</v>
      </c>
      <c r="Z19" s="32"/>
    </row>
    <row r="20" spans="1:26" ht="12.75">
      <c r="A20" s="12" t="s">
        <v>17</v>
      </c>
      <c r="B20" s="12"/>
      <c r="C20" s="15">
        <v>14628000</v>
      </c>
      <c r="D20" s="12">
        <v>325000</v>
      </c>
      <c r="E20" s="12">
        <v>0</v>
      </c>
      <c r="F20" s="12">
        <v>222000</v>
      </c>
      <c r="G20" s="12">
        <f>+C20+D20+E20+F20</f>
        <v>15175000</v>
      </c>
      <c r="H20" s="12"/>
      <c r="I20" s="12">
        <v>14925000</v>
      </c>
      <c r="J20" s="32"/>
      <c r="K20" s="32"/>
      <c r="L20" s="32">
        <f>SUM(J20:K20)</f>
        <v>0</v>
      </c>
      <c r="M20" s="32">
        <f>+I20+L20</f>
        <v>14925000</v>
      </c>
      <c r="N20" s="12">
        <f>ROUND(M20*$N$14,0)</f>
        <v>-71043</v>
      </c>
      <c r="O20" s="12">
        <f>+M20+N20</f>
        <v>14853957</v>
      </c>
      <c r="P20" s="12"/>
      <c r="Q20" s="12">
        <f>ROUND(O20*$Q$14,0)</f>
        <v>-148540</v>
      </c>
      <c r="R20" s="12"/>
      <c r="S20" s="12"/>
      <c r="U20" s="12">
        <f>SUM(O20:S20)</f>
        <v>14705417</v>
      </c>
      <c r="V20" s="12">
        <f>+U20</f>
        <v>14705417</v>
      </c>
      <c r="W20" s="12"/>
      <c r="X20" s="12"/>
      <c r="Y20" s="12">
        <f>SUM(V20:X20)</f>
        <v>14705417</v>
      </c>
      <c r="Z20" s="32"/>
    </row>
    <row r="21" spans="1:26" ht="12.75">
      <c r="A21" s="12"/>
      <c r="B21" s="12"/>
      <c r="C21" s="15"/>
      <c r="D21" s="12"/>
      <c r="E21" s="12"/>
      <c r="F21" s="12"/>
      <c r="G21" s="12"/>
      <c r="H21" s="12"/>
      <c r="I21" s="12"/>
      <c r="J21" s="32"/>
      <c r="K21" s="32"/>
      <c r="L21" s="32"/>
      <c r="M21" s="32"/>
      <c r="N21" s="12"/>
      <c r="O21" s="12"/>
      <c r="P21" s="12"/>
      <c r="Q21" s="12"/>
      <c r="R21" s="12"/>
      <c r="S21" s="12"/>
      <c r="U21" s="12"/>
      <c r="V21" s="12"/>
      <c r="W21" s="12"/>
      <c r="X21" s="12"/>
      <c r="Y21" s="12"/>
      <c r="Z21" s="32"/>
    </row>
    <row r="22" spans="1:26" ht="14.25">
      <c r="A22" s="16" t="s">
        <v>18</v>
      </c>
      <c r="B22" s="12"/>
      <c r="C22" s="11">
        <f>SUM(C18:C20)</f>
        <v>118751000</v>
      </c>
      <c r="D22" s="11">
        <f>SUM(D18:D20)</f>
        <v>2144000</v>
      </c>
      <c r="E22" s="11">
        <f>SUM(E18:E20)</f>
        <v>0</v>
      </c>
      <c r="F22" s="11">
        <f>SUM(F18:F20)</f>
        <v>12558000</v>
      </c>
      <c r="G22" s="11">
        <f>SUM(G18:G20)</f>
        <v>133453000</v>
      </c>
      <c r="H22" s="3"/>
      <c r="I22" s="11">
        <f aca="true" t="shared" si="0" ref="I22:O22">SUM(I18:I20)</f>
        <v>131203000</v>
      </c>
      <c r="J22" s="41">
        <f t="shared" si="0"/>
        <v>2000000</v>
      </c>
      <c r="K22" s="41">
        <f t="shared" si="0"/>
        <v>-2000000</v>
      </c>
      <c r="L22" s="41">
        <f t="shared" si="0"/>
        <v>0</v>
      </c>
      <c r="M22" s="41">
        <f t="shared" si="0"/>
        <v>131203000</v>
      </c>
      <c r="N22" s="11">
        <f t="shared" si="0"/>
        <v>-624526</v>
      </c>
      <c r="O22" s="11">
        <f t="shared" si="0"/>
        <v>130578474</v>
      </c>
      <c r="P22" s="11"/>
      <c r="Q22" s="41">
        <f>SUM(Q18:Q20)</f>
        <v>-1305785</v>
      </c>
      <c r="R22" s="41">
        <f>SUM(R18:R20)</f>
        <v>0</v>
      </c>
      <c r="S22" s="41">
        <f>SUM(S18:S20)</f>
        <v>0</v>
      </c>
      <c r="U22" s="41">
        <f aca="true" t="shared" si="1" ref="U22:Z22">SUM(U18:U20)</f>
        <v>129272689</v>
      </c>
      <c r="V22" s="41">
        <f t="shared" si="1"/>
        <v>121390388</v>
      </c>
      <c r="W22" s="41">
        <f t="shared" si="1"/>
        <v>0</v>
      </c>
      <c r="X22" s="41">
        <f t="shared" si="1"/>
        <v>7882301</v>
      </c>
      <c r="Y22" s="41">
        <f t="shared" si="1"/>
        <v>129272689</v>
      </c>
      <c r="Z22" s="41">
        <f t="shared" si="1"/>
        <v>0</v>
      </c>
    </row>
    <row r="23" spans="1:26" ht="15" thickBot="1">
      <c r="A23" s="17"/>
      <c r="B23" s="17"/>
      <c r="C23" s="18"/>
      <c r="D23" s="18"/>
      <c r="E23" s="18"/>
      <c r="F23" s="18"/>
      <c r="G23" s="18"/>
      <c r="H23" s="8"/>
      <c r="I23" s="18"/>
      <c r="J23" s="42"/>
      <c r="K23" s="42"/>
      <c r="L23" s="42"/>
      <c r="M23" s="42"/>
      <c r="N23" s="51">
        <f>ROUND($N$14*I22,2)</f>
        <v>-624526.28</v>
      </c>
      <c r="O23" s="18"/>
      <c r="P23" s="18"/>
      <c r="Q23" s="42">
        <f>ROUND(O22*$Q$14,0)</f>
        <v>-1305785</v>
      </c>
      <c r="R23" s="42"/>
      <c r="S23" s="42"/>
      <c r="T23" s="35"/>
      <c r="U23" s="42"/>
      <c r="V23" s="42"/>
      <c r="W23" s="42"/>
      <c r="X23" s="42"/>
      <c r="Y23" s="42"/>
      <c r="Z23" s="42"/>
    </row>
    <row r="24" spans="1:26" ht="15" thickTop="1">
      <c r="A24" s="12"/>
      <c r="B24" s="12"/>
      <c r="C24" s="12"/>
      <c r="D24" s="12"/>
      <c r="E24" s="12"/>
      <c r="F24" s="12"/>
      <c r="G24" s="12"/>
      <c r="H24" s="4"/>
      <c r="I24" s="12"/>
      <c r="J24" s="43"/>
      <c r="K24" s="43"/>
      <c r="L24" s="43"/>
      <c r="M24" s="43"/>
      <c r="N24" s="12"/>
      <c r="O24" s="12"/>
      <c r="P24" s="12"/>
      <c r="Q24" s="43"/>
      <c r="R24" s="43"/>
      <c r="S24" s="43"/>
      <c r="T24" s="36"/>
      <c r="U24" s="43"/>
      <c r="V24" s="43"/>
      <c r="W24" s="43"/>
      <c r="X24" s="43"/>
      <c r="Y24" s="43"/>
      <c r="Z24" s="43"/>
    </row>
    <row r="25" spans="1:26" ht="14.25">
      <c r="A25" s="14" t="s">
        <v>19</v>
      </c>
      <c r="B25" s="12"/>
      <c r="C25" s="12"/>
      <c r="D25" s="12"/>
      <c r="E25" s="12"/>
      <c r="F25" s="12"/>
      <c r="G25" s="12"/>
      <c r="H25" s="4"/>
      <c r="I25" s="12"/>
      <c r="J25" s="24"/>
      <c r="K25" s="24"/>
      <c r="L25" s="24"/>
      <c r="M25" s="24"/>
      <c r="N25" s="12"/>
      <c r="O25" s="12"/>
      <c r="P25" s="12"/>
      <c r="Q25" s="24"/>
      <c r="R25" s="24"/>
      <c r="S25" s="24"/>
      <c r="T25" s="37"/>
      <c r="U25" s="24"/>
      <c r="V25" s="24"/>
      <c r="W25" s="24"/>
      <c r="X25" s="24"/>
      <c r="Y25" s="24"/>
      <c r="Z25" s="24"/>
    </row>
    <row r="26" spans="1:26" ht="14.25">
      <c r="A26" s="12" t="s">
        <v>20</v>
      </c>
      <c r="B26" s="12"/>
      <c r="C26" s="12"/>
      <c r="D26" s="12"/>
      <c r="E26" s="12"/>
      <c r="F26" s="12"/>
      <c r="G26" s="12"/>
      <c r="H26" s="4"/>
      <c r="I26" s="12"/>
      <c r="J26" s="43"/>
      <c r="K26" s="43"/>
      <c r="L26" s="43"/>
      <c r="M26" s="43"/>
      <c r="N26" s="12"/>
      <c r="O26" s="12"/>
      <c r="P26" s="12"/>
      <c r="Q26" s="43"/>
      <c r="R26" s="43"/>
      <c r="S26" s="43"/>
      <c r="T26" s="36"/>
      <c r="U26" s="43"/>
      <c r="V26" s="43"/>
      <c r="W26" s="43"/>
      <c r="X26" s="43"/>
      <c r="Y26" s="43"/>
      <c r="Z26" s="43"/>
    </row>
    <row r="27" spans="1:26" ht="14.25">
      <c r="A27" s="12" t="s">
        <v>21</v>
      </c>
      <c r="B27" s="12"/>
      <c r="C27" s="15">
        <f>46898000+3966000</f>
        <v>50864000</v>
      </c>
      <c r="D27" s="12">
        <v>694000</v>
      </c>
      <c r="E27" s="12">
        <v>0</v>
      </c>
      <c r="F27" s="12">
        <v>3745000</v>
      </c>
      <c r="G27" s="12">
        <f>+C27+D27+E27+F27-3966000</f>
        <v>51337000</v>
      </c>
      <c r="H27" s="4"/>
      <c r="I27" s="12">
        <v>51337000</v>
      </c>
      <c r="J27" s="12"/>
      <c r="K27" s="12"/>
      <c r="L27" s="32">
        <f>SUM(J27:K27)</f>
        <v>0</v>
      </c>
      <c r="M27" s="32">
        <f>+I27+L27</f>
        <v>51337000</v>
      </c>
      <c r="N27" s="12">
        <f>ROUND(M27*$N$14,0)</f>
        <v>-244364</v>
      </c>
      <c r="O27" s="12">
        <f>+M27+N27</f>
        <v>51092636</v>
      </c>
      <c r="P27" s="12"/>
      <c r="Q27" s="12">
        <f>ROUND(O27*$Q$14,0)</f>
        <v>-510926</v>
      </c>
      <c r="R27" s="12"/>
      <c r="S27" s="12"/>
      <c r="U27" s="12">
        <f>SUM(O27:S27)</f>
        <v>50581710</v>
      </c>
      <c r="V27" s="12">
        <f>+U27</f>
        <v>50581710</v>
      </c>
      <c r="W27" s="12"/>
      <c r="X27" s="12"/>
      <c r="Y27" s="12">
        <f>SUM(V27:X27)</f>
        <v>50581710</v>
      </c>
      <c r="Z27" s="12"/>
    </row>
    <row r="28" spans="1:26" ht="14.25">
      <c r="A28" s="12" t="s">
        <v>22</v>
      </c>
      <c r="B28" s="12"/>
      <c r="C28" s="15">
        <v>20714000</v>
      </c>
      <c r="D28" s="12">
        <v>247000</v>
      </c>
      <c r="E28" s="12">
        <v>0</v>
      </c>
      <c r="F28" s="12">
        <v>826000</v>
      </c>
      <c r="G28" s="12">
        <f>+C28+D28+E28+F28</f>
        <v>21787000</v>
      </c>
      <c r="H28" s="4"/>
      <c r="I28" s="12">
        <v>21787000</v>
      </c>
      <c r="J28" s="12"/>
      <c r="K28" s="12"/>
      <c r="L28" s="32">
        <f>SUM(J28:K28)</f>
        <v>0</v>
      </c>
      <c r="M28" s="32">
        <f>+I28+L28</f>
        <v>21787000</v>
      </c>
      <c r="N28" s="12">
        <f>ROUND(M28*$N$14,0)</f>
        <v>-103706</v>
      </c>
      <c r="O28" s="12">
        <f>+M28+N28</f>
        <v>21683294</v>
      </c>
      <c r="P28" s="12"/>
      <c r="Q28" s="12">
        <f>ROUND(O28*$Q$14,0)</f>
        <v>-216833</v>
      </c>
      <c r="R28" s="12"/>
      <c r="S28" s="12"/>
      <c r="U28" s="12">
        <f>SUM(O28:S28)</f>
        <v>21466461</v>
      </c>
      <c r="V28" s="12">
        <f>+U28</f>
        <v>21466461</v>
      </c>
      <c r="W28" s="12"/>
      <c r="X28" s="12"/>
      <c r="Y28" s="12">
        <f>SUM(V28:X28)</f>
        <v>21466461</v>
      </c>
      <c r="Z28" s="12"/>
    </row>
    <row r="29" spans="1:26" ht="14.25">
      <c r="A29" s="12" t="s">
        <v>23</v>
      </c>
      <c r="B29" s="12"/>
      <c r="C29" s="15">
        <v>3043000</v>
      </c>
      <c r="D29" s="12">
        <v>51000</v>
      </c>
      <c r="E29" s="12">
        <v>0</v>
      </c>
      <c r="F29" s="12">
        <v>-6000</v>
      </c>
      <c r="G29" s="12">
        <f>+C29+D29+E29+F29</f>
        <v>3088000</v>
      </c>
      <c r="H29" s="4"/>
      <c r="I29" s="12">
        <v>3088000</v>
      </c>
      <c r="J29" s="12"/>
      <c r="K29" s="12"/>
      <c r="L29" s="32">
        <f>SUM(J29:K29)</f>
        <v>0</v>
      </c>
      <c r="M29" s="32">
        <f>+I29+L29</f>
        <v>3088000</v>
      </c>
      <c r="N29" s="12">
        <f>ROUND(M29*$N$14,0)</f>
        <v>-14699</v>
      </c>
      <c r="O29" s="12">
        <f>+M29+N29</f>
        <v>3073301</v>
      </c>
      <c r="P29" s="12"/>
      <c r="Q29" s="12">
        <f>ROUND(O29*$Q$14,0)</f>
        <v>-30733</v>
      </c>
      <c r="R29" s="12"/>
      <c r="S29" s="12"/>
      <c r="U29" s="12">
        <f>SUM(O29:S29)</f>
        <v>3042568</v>
      </c>
      <c r="V29" s="12">
        <f>+U29</f>
        <v>3042568</v>
      </c>
      <c r="W29" s="12"/>
      <c r="X29" s="12"/>
      <c r="Y29" s="12">
        <f>SUM(V29:X29)</f>
        <v>3042568</v>
      </c>
      <c r="Z29" s="12"/>
    </row>
    <row r="30" spans="1:26" ht="14.25">
      <c r="A30" s="12" t="s">
        <v>24</v>
      </c>
      <c r="B30" s="12"/>
      <c r="C30" s="15">
        <f>3335000+4134000</f>
        <v>7469000</v>
      </c>
      <c r="D30" s="12">
        <v>42000</v>
      </c>
      <c r="E30" s="12">
        <v>0</v>
      </c>
      <c r="F30" s="12">
        <v>595000</v>
      </c>
      <c r="G30" s="12">
        <f>+C30+D30+E30+F30-4134000</f>
        <v>3972000</v>
      </c>
      <c r="H30" s="4"/>
      <c r="I30" s="12">
        <v>3972000</v>
      </c>
      <c r="J30" s="12"/>
      <c r="K30" s="12"/>
      <c r="L30" s="32">
        <f>SUM(J30:K30)</f>
        <v>0</v>
      </c>
      <c r="M30" s="32">
        <f>+I30+L30</f>
        <v>3972000</v>
      </c>
      <c r="N30" s="12">
        <f>ROUND(M30*$N$14,0)</f>
        <v>-18907</v>
      </c>
      <c r="O30" s="12">
        <f>+M30+N30</f>
        <v>3953093</v>
      </c>
      <c r="P30" s="12"/>
      <c r="Q30" s="12">
        <f>ROUND(O30*$Q$14,0)</f>
        <v>-39531</v>
      </c>
      <c r="R30" s="12"/>
      <c r="S30" s="12"/>
      <c r="U30" s="12">
        <f>SUM(O30:S30)</f>
        <v>3913562</v>
      </c>
      <c r="V30" s="12">
        <f>+U30</f>
        <v>3913562</v>
      </c>
      <c r="W30" s="12"/>
      <c r="X30" s="12"/>
      <c r="Y30" s="12">
        <f>SUM(V30:X30)</f>
        <v>3913562</v>
      </c>
      <c r="Z30" s="12"/>
    </row>
    <row r="31" spans="1:26" ht="14.25">
      <c r="A31" s="12" t="s">
        <v>25</v>
      </c>
      <c r="B31" s="12"/>
      <c r="C31" s="19">
        <v>1989000</v>
      </c>
      <c r="D31" s="19">
        <v>42000</v>
      </c>
      <c r="E31" s="19">
        <v>0</v>
      </c>
      <c r="F31" s="19">
        <v>-6000</v>
      </c>
      <c r="G31" s="19">
        <f>+C31+D31+E31+F31</f>
        <v>2025000</v>
      </c>
      <c r="H31" s="9"/>
      <c r="I31" s="19">
        <v>2025000</v>
      </c>
      <c r="J31" s="44"/>
      <c r="K31" s="44"/>
      <c r="L31" s="55">
        <f>SUM(J31:K31)</f>
        <v>0</v>
      </c>
      <c r="M31" s="55">
        <f>+I31+L31</f>
        <v>2025000</v>
      </c>
      <c r="N31" s="44">
        <f>ROUND(M31*$N$14,0)</f>
        <v>-9639</v>
      </c>
      <c r="O31" s="44">
        <f>+M31+N31</f>
        <v>2015361</v>
      </c>
      <c r="P31" s="44"/>
      <c r="Q31" s="44">
        <f>ROUND(O31*$Q$14,0)</f>
        <v>-20154</v>
      </c>
      <c r="R31" s="44"/>
      <c r="S31" s="44">
        <v>200000</v>
      </c>
      <c r="T31" s="58"/>
      <c r="U31" s="44">
        <f>SUM(O31:S31)</f>
        <v>2195207</v>
      </c>
      <c r="V31" s="44">
        <f>+U31-X31</f>
        <v>1995207</v>
      </c>
      <c r="W31" s="44"/>
      <c r="X31" s="44">
        <v>200000</v>
      </c>
      <c r="Y31" s="44">
        <f>SUM(V31:X31)</f>
        <v>2195207</v>
      </c>
      <c r="Z31" s="44"/>
    </row>
    <row r="32" spans="1:26" ht="14.25">
      <c r="A32" s="16" t="s">
        <v>26</v>
      </c>
      <c r="B32" s="12"/>
      <c r="C32" s="11">
        <f>SUM(C27:C31)</f>
        <v>84079000</v>
      </c>
      <c r="D32" s="11">
        <f>SUM(D27:D31)</f>
        <v>1076000</v>
      </c>
      <c r="E32" s="11">
        <f>SUM(E27:E31)</f>
        <v>0</v>
      </c>
      <c r="F32" s="11">
        <f>SUM(F27:F31)</f>
        <v>5154000</v>
      </c>
      <c r="G32" s="11">
        <f>SUM(G27:G31)</f>
        <v>82209000</v>
      </c>
      <c r="H32" s="3"/>
      <c r="I32" s="11">
        <f aca="true" t="shared" si="2" ref="I32:O32">SUM(I27:I31)</f>
        <v>82209000</v>
      </c>
      <c r="J32" s="43">
        <f t="shared" si="2"/>
        <v>0</v>
      </c>
      <c r="K32" s="43">
        <f t="shared" si="2"/>
        <v>0</v>
      </c>
      <c r="L32" s="43">
        <f t="shared" si="2"/>
        <v>0</v>
      </c>
      <c r="M32" s="43">
        <f t="shared" si="2"/>
        <v>82209000</v>
      </c>
      <c r="N32" s="11">
        <f t="shared" si="2"/>
        <v>-391315</v>
      </c>
      <c r="O32" s="11">
        <f t="shared" si="2"/>
        <v>81817685</v>
      </c>
      <c r="P32" s="11"/>
      <c r="Q32" s="43">
        <f aca="true" t="shared" si="3" ref="Q32:Z32">SUM(Q27:Q31)</f>
        <v>-818177</v>
      </c>
      <c r="R32" s="43">
        <f>SUM(R27:R31)</f>
        <v>0</v>
      </c>
      <c r="S32" s="43">
        <f>SUM(S27:S31)</f>
        <v>200000</v>
      </c>
      <c r="T32" s="36"/>
      <c r="U32" s="43">
        <f t="shared" si="3"/>
        <v>81199508</v>
      </c>
      <c r="V32" s="43">
        <f t="shared" si="3"/>
        <v>80999508</v>
      </c>
      <c r="W32" s="43">
        <f t="shared" si="3"/>
        <v>0</v>
      </c>
      <c r="X32" s="43">
        <f t="shared" si="3"/>
        <v>200000</v>
      </c>
      <c r="Y32" s="43">
        <f t="shared" si="3"/>
        <v>81199508</v>
      </c>
      <c r="Z32" s="43">
        <f t="shared" si="3"/>
        <v>0</v>
      </c>
    </row>
    <row r="33" spans="1:26" ht="14.25">
      <c r="A33" s="12"/>
      <c r="B33" s="12"/>
      <c r="C33" s="12"/>
      <c r="D33" s="12"/>
      <c r="E33" s="12"/>
      <c r="F33" s="12"/>
      <c r="G33" s="12"/>
      <c r="H33" s="4"/>
      <c r="I33" s="12"/>
      <c r="J33" s="43"/>
      <c r="K33" s="43"/>
      <c r="L33" s="43"/>
      <c r="M33" s="43"/>
      <c r="N33" s="12"/>
      <c r="O33" s="12"/>
      <c r="P33" s="12"/>
      <c r="Q33" s="43"/>
      <c r="R33" s="43"/>
      <c r="S33" s="43"/>
      <c r="T33" s="36"/>
      <c r="U33" s="43"/>
      <c r="V33" s="43"/>
      <c r="W33" s="43"/>
      <c r="X33" s="43"/>
      <c r="Y33" s="43"/>
      <c r="Z33" s="43"/>
    </row>
    <row r="34" spans="1:26" ht="14.25">
      <c r="A34" s="12" t="s">
        <v>27</v>
      </c>
      <c r="B34" s="12"/>
      <c r="C34" s="12"/>
      <c r="D34" s="12"/>
      <c r="E34" s="12"/>
      <c r="F34" s="12"/>
      <c r="G34" s="12"/>
      <c r="H34" s="4"/>
      <c r="I34" s="12"/>
      <c r="J34" s="43"/>
      <c r="K34" s="43"/>
      <c r="L34" s="43"/>
      <c r="M34" s="43"/>
      <c r="N34" s="12"/>
      <c r="O34" s="12"/>
      <c r="P34" s="12"/>
      <c r="Q34" s="43"/>
      <c r="R34" s="43"/>
      <c r="S34" s="43"/>
      <c r="T34" s="36"/>
      <c r="U34" s="43"/>
      <c r="V34" s="43"/>
      <c r="W34" s="43"/>
      <c r="X34" s="43"/>
      <c r="Y34" s="43"/>
      <c r="Z34" s="43"/>
    </row>
    <row r="35" spans="1:26" ht="14.25">
      <c r="A35" s="12" t="s">
        <v>28</v>
      </c>
      <c r="B35" s="12"/>
      <c r="C35" s="15">
        <v>13634000</v>
      </c>
      <c r="D35" s="12">
        <v>190000</v>
      </c>
      <c r="E35" s="12">
        <v>-243000</v>
      </c>
      <c r="F35" s="12">
        <v>-277000</v>
      </c>
      <c r="G35" s="12">
        <f>+C35+D35+E35+F35</f>
        <v>13304000</v>
      </c>
      <c r="H35" s="4"/>
      <c r="I35" s="12">
        <v>13554000</v>
      </c>
      <c r="J35" s="12"/>
      <c r="K35" s="12"/>
      <c r="L35" s="32">
        <f>SUM(J35:K35)</f>
        <v>0</v>
      </c>
      <c r="M35" s="32">
        <f>+I35+L35</f>
        <v>13554000</v>
      </c>
      <c r="N35" s="12">
        <f>ROUND(M35*$N$14,0)</f>
        <v>-64517</v>
      </c>
      <c r="O35" s="12">
        <f>+M35+N35</f>
        <v>13489483</v>
      </c>
      <c r="P35" s="12"/>
      <c r="Q35" s="12">
        <f>ROUND(O35*$Q$14,0)</f>
        <v>-134895</v>
      </c>
      <c r="R35" s="12"/>
      <c r="S35" s="12"/>
      <c r="U35" s="12">
        <f>SUM(O35:S35)</f>
        <v>13354588</v>
      </c>
      <c r="V35" s="12">
        <f>+U35</f>
        <v>13354588</v>
      </c>
      <c r="W35" s="12"/>
      <c r="X35" s="12"/>
      <c r="Y35" s="12">
        <f>SUM(V35:X35)</f>
        <v>13354588</v>
      </c>
      <c r="Z35" s="12"/>
    </row>
    <row r="36" spans="1:26" ht="14.25">
      <c r="A36" s="12" t="s">
        <v>29</v>
      </c>
      <c r="B36" s="12"/>
      <c r="C36" s="15">
        <v>25162000</v>
      </c>
      <c r="D36" s="12">
        <v>400000</v>
      </c>
      <c r="E36" s="12">
        <v>0</v>
      </c>
      <c r="F36" s="12">
        <v>-74000</v>
      </c>
      <c r="G36" s="12">
        <f>+C36+D36+E36+F36</f>
        <v>25488000</v>
      </c>
      <c r="H36" s="4"/>
      <c r="I36" s="12">
        <v>25488000</v>
      </c>
      <c r="J36" s="12"/>
      <c r="K36" s="12"/>
      <c r="L36" s="32">
        <f>SUM(J36:K36)</f>
        <v>0</v>
      </c>
      <c r="M36" s="32">
        <f>+I36+L36</f>
        <v>25488000</v>
      </c>
      <c r="N36" s="12">
        <f>ROUND(M36*$N$14,0)</f>
        <v>-121323</v>
      </c>
      <c r="O36" s="12">
        <f>+M36+N36</f>
        <v>25366677</v>
      </c>
      <c r="P36" s="12"/>
      <c r="Q36" s="12">
        <f>ROUND(O36*$Q$14,0)</f>
        <v>-253667</v>
      </c>
      <c r="R36" s="12"/>
      <c r="S36" s="12"/>
      <c r="U36" s="12">
        <f>SUM(O36:S36)</f>
        <v>25113010</v>
      </c>
      <c r="V36" s="12">
        <f>+U36</f>
        <v>25113010</v>
      </c>
      <c r="W36" s="12"/>
      <c r="X36" s="12"/>
      <c r="Y36" s="12">
        <f>SUM(V36:X36)</f>
        <v>25113010</v>
      </c>
      <c r="Z36" s="12"/>
    </row>
    <row r="37" spans="1:26" ht="14.25">
      <c r="A37" s="12" t="s">
        <v>30</v>
      </c>
      <c r="B37" s="12"/>
      <c r="C37" s="19">
        <v>37457000</v>
      </c>
      <c r="D37" s="19">
        <v>597000</v>
      </c>
      <c r="E37" s="19">
        <v>-194000</v>
      </c>
      <c r="F37" s="19">
        <v>576000</v>
      </c>
      <c r="G37" s="19">
        <f>+C37+D37+E37+F37</f>
        <v>38436000</v>
      </c>
      <c r="H37" s="9"/>
      <c r="I37" s="19">
        <v>39872000</v>
      </c>
      <c r="J37" s="44"/>
      <c r="K37" s="44"/>
      <c r="L37" s="55">
        <f>SUM(J37:K37)</f>
        <v>0</v>
      </c>
      <c r="M37" s="55">
        <f>+I37+L37</f>
        <v>39872000</v>
      </c>
      <c r="N37" s="44">
        <f>ROUND(M37*$N$14,0)</f>
        <v>-189791</v>
      </c>
      <c r="O37" s="44">
        <f>+M37+N37</f>
        <v>39682209</v>
      </c>
      <c r="P37" s="44"/>
      <c r="Q37" s="44">
        <f>ROUND(O37*$Q$14,0)</f>
        <v>-396822</v>
      </c>
      <c r="R37" s="44"/>
      <c r="S37" s="44"/>
      <c r="T37" s="58"/>
      <c r="U37" s="44">
        <f>SUM(O37:S37)</f>
        <v>39285387</v>
      </c>
      <c r="V37" s="44">
        <f>+U37</f>
        <v>39285387</v>
      </c>
      <c r="W37" s="44"/>
      <c r="X37" s="44"/>
      <c r="Y37" s="44">
        <f>SUM(V37:X37)</f>
        <v>39285387</v>
      </c>
      <c r="Z37" s="44"/>
    </row>
    <row r="38" spans="1:26" ht="14.25">
      <c r="A38" s="16" t="s">
        <v>26</v>
      </c>
      <c r="B38" s="12"/>
      <c r="C38" s="11">
        <f>SUM(C35:C37)</f>
        <v>76253000</v>
      </c>
      <c r="D38" s="11">
        <f>SUM(D35:D37)</f>
        <v>1187000</v>
      </c>
      <c r="E38" s="11">
        <f>SUM(E35:E37)</f>
        <v>-437000</v>
      </c>
      <c r="F38" s="11">
        <f>SUM(F35:F37)</f>
        <v>225000</v>
      </c>
      <c r="G38" s="11">
        <f>SUM(G35:G37)</f>
        <v>77228000</v>
      </c>
      <c r="H38" s="3"/>
      <c r="I38" s="11">
        <f aca="true" t="shared" si="4" ref="I38:O38">SUM(I35:I37)</f>
        <v>78914000</v>
      </c>
      <c r="J38" s="43">
        <f t="shared" si="4"/>
        <v>0</v>
      </c>
      <c r="K38" s="43">
        <f t="shared" si="4"/>
        <v>0</v>
      </c>
      <c r="L38" s="43">
        <f t="shared" si="4"/>
        <v>0</v>
      </c>
      <c r="M38" s="43">
        <f t="shared" si="4"/>
        <v>78914000</v>
      </c>
      <c r="N38" s="11">
        <f t="shared" si="4"/>
        <v>-375631</v>
      </c>
      <c r="O38" s="11">
        <f t="shared" si="4"/>
        <v>78538369</v>
      </c>
      <c r="P38" s="11"/>
      <c r="Q38" s="43">
        <f aca="true" t="shared" si="5" ref="Q38:Z38">SUM(Q35:Q37)</f>
        <v>-785384</v>
      </c>
      <c r="R38" s="43">
        <f>SUM(R35:R37)</f>
        <v>0</v>
      </c>
      <c r="S38" s="43">
        <f>SUM(S35:S37)</f>
        <v>0</v>
      </c>
      <c r="T38" s="36"/>
      <c r="U38" s="43">
        <f t="shared" si="5"/>
        <v>77752985</v>
      </c>
      <c r="V38" s="43">
        <f t="shared" si="5"/>
        <v>77752985</v>
      </c>
      <c r="W38" s="43">
        <f t="shared" si="5"/>
        <v>0</v>
      </c>
      <c r="X38" s="43">
        <f t="shared" si="5"/>
        <v>0</v>
      </c>
      <c r="Y38" s="43">
        <f t="shared" si="5"/>
        <v>77752985</v>
      </c>
      <c r="Z38" s="43">
        <f t="shared" si="5"/>
        <v>0</v>
      </c>
    </row>
    <row r="39" spans="1:26" ht="14.25">
      <c r="A39" s="12"/>
      <c r="B39" s="12"/>
      <c r="C39" s="12"/>
      <c r="D39" s="12"/>
      <c r="E39" s="12"/>
      <c r="F39" s="12"/>
      <c r="G39" s="12"/>
      <c r="H39" s="4"/>
      <c r="I39" s="12"/>
      <c r="J39" s="43"/>
      <c r="K39" s="43"/>
      <c r="L39" s="43"/>
      <c r="M39" s="43"/>
      <c r="N39" s="12"/>
      <c r="O39" s="12"/>
      <c r="P39" s="12"/>
      <c r="Q39" s="43"/>
      <c r="R39" s="43"/>
      <c r="S39" s="43"/>
      <c r="T39" s="36"/>
      <c r="U39" s="43"/>
      <c r="V39" s="43"/>
      <c r="W39" s="43"/>
      <c r="X39" s="43"/>
      <c r="Y39" s="43"/>
      <c r="Z39" s="43"/>
    </row>
    <row r="40" spans="1:26" ht="14.25">
      <c r="A40" s="12" t="s">
        <v>31</v>
      </c>
      <c r="B40" s="12"/>
      <c r="C40" s="12"/>
      <c r="D40" s="12"/>
      <c r="E40" s="12"/>
      <c r="F40" s="12"/>
      <c r="G40" s="12"/>
      <c r="H40" s="4"/>
      <c r="I40" s="12"/>
      <c r="J40" s="43"/>
      <c r="K40" s="43"/>
      <c r="L40" s="43"/>
      <c r="M40" s="43"/>
      <c r="N40" s="12"/>
      <c r="O40" s="12"/>
      <c r="P40" s="12"/>
      <c r="Q40" s="43"/>
      <c r="R40" s="43"/>
      <c r="S40" s="43"/>
      <c r="T40" s="36"/>
      <c r="U40" s="43"/>
      <c r="V40" s="43"/>
      <c r="W40" s="43"/>
      <c r="X40" s="43"/>
      <c r="Y40" s="43"/>
      <c r="Z40" s="43"/>
    </row>
    <row r="41" spans="1:26" ht="14.25">
      <c r="A41" s="12" t="s">
        <v>32</v>
      </c>
      <c r="B41" s="12"/>
      <c r="C41" s="15">
        <f>53764000+1436000</f>
        <v>55200000</v>
      </c>
      <c r="D41" s="12">
        <v>1140000</v>
      </c>
      <c r="E41" s="12">
        <v>0</v>
      </c>
      <c r="F41" s="12">
        <v>-29820000</v>
      </c>
      <c r="G41" s="12">
        <f>+C41+D41+E41+F41-1436000</f>
        <v>25084000</v>
      </c>
      <c r="H41" s="4"/>
      <c r="I41" s="12">
        <v>53562000</v>
      </c>
      <c r="J41" s="12"/>
      <c r="K41" s="12"/>
      <c r="L41" s="32">
        <f>SUM(J41:K41)</f>
        <v>0</v>
      </c>
      <c r="M41" s="32">
        <f>+I41+L41</f>
        <v>53562000</v>
      </c>
      <c r="N41" s="12">
        <f>ROUND(M41*$N$14,0)</f>
        <v>-254955</v>
      </c>
      <c r="O41" s="12">
        <f>+M41+N41</f>
        <v>53307045</v>
      </c>
      <c r="P41" s="12"/>
      <c r="Q41" s="12">
        <f>ROUND(O41*$Q$14,0)</f>
        <v>-533070</v>
      </c>
      <c r="R41" s="12"/>
      <c r="S41" s="12"/>
      <c r="U41" s="12">
        <f>SUM(O41:S41)</f>
        <v>52773975</v>
      </c>
      <c r="V41" s="12">
        <f>+U41</f>
        <v>52773975</v>
      </c>
      <c r="W41" s="12"/>
      <c r="X41" s="12"/>
      <c r="Y41" s="12">
        <f>SUM(V41:X41)</f>
        <v>52773975</v>
      </c>
      <c r="Z41" s="12"/>
    </row>
    <row r="42" spans="1:26" ht="14.25">
      <c r="A42" s="12" t="s">
        <v>33</v>
      </c>
      <c r="B42" s="12"/>
      <c r="C42" s="19">
        <v>23250000</v>
      </c>
      <c r="D42" s="19">
        <v>444000</v>
      </c>
      <c r="E42" s="19">
        <v>-25000</v>
      </c>
      <c r="F42" s="19">
        <v>-54000</v>
      </c>
      <c r="G42" s="19">
        <f>+C42+D42+E42+F42</f>
        <v>23615000</v>
      </c>
      <c r="H42" s="9"/>
      <c r="I42" s="19">
        <v>24115000</v>
      </c>
      <c r="J42" s="44"/>
      <c r="K42" s="44"/>
      <c r="L42" s="55">
        <f>SUM(J42:K42)</f>
        <v>0</v>
      </c>
      <c r="M42" s="55">
        <f>+I42+L42</f>
        <v>24115000</v>
      </c>
      <c r="N42" s="44">
        <f>ROUND(M42*$N$14,0)</f>
        <v>-114787</v>
      </c>
      <c r="O42" s="44">
        <f>+M42+N42</f>
        <v>24000213</v>
      </c>
      <c r="P42" s="44"/>
      <c r="Q42" s="44">
        <f>ROUND(O42*$Q$14,0)</f>
        <v>-240002</v>
      </c>
      <c r="R42" s="44"/>
      <c r="S42" s="44"/>
      <c r="T42" s="58"/>
      <c r="U42" s="44">
        <f>SUM(O42:S42)</f>
        <v>23760211</v>
      </c>
      <c r="V42" s="44">
        <f>+U42</f>
        <v>23760211</v>
      </c>
      <c r="W42" s="44"/>
      <c r="X42" s="44"/>
      <c r="Y42" s="44">
        <f>SUM(V42:X42)</f>
        <v>23760211</v>
      </c>
      <c r="Z42" s="44"/>
    </row>
    <row r="43" spans="1:26" ht="14.25">
      <c r="A43" s="16" t="s">
        <v>26</v>
      </c>
      <c r="B43" s="12"/>
      <c r="C43" s="11">
        <f>SUM(C41:C42)</f>
        <v>78450000</v>
      </c>
      <c r="D43" s="11">
        <f>SUM(D41:D42)</f>
        <v>1584000</v>
      </c>
      <c r="E43" s="11">
        <f>SUM(E41:E42)</f>
        <v>-25000</v>
      </c>
      <c r="F43" s="11">
        <f>SUM(F41:F42)</f>
        <v>-29874000</v>
      </c>
      <c r="G43" s="11">
        <f>SUM(G41:G42)</f>
        <v>48699000</v>
      </c>
      <c r="H43" s="3"/>
      <c r="I43" s="11">
        <f aca="true" t="shared" si="6" ref="I43:O43">SUM(I41:I42)</f>
        <v>77677000</v>
      </c>
      <c r="J43" s="11">
        <f t="shared" si="6"/>
        <v>0</v>
      </c>
      <c r="K43" s="11">
        <f t="shared" si="6"/>
        <v>0</v>
      </c>
      <c r="L43" s="11">
        <f t="shared" si="6"/>
        <v>0</v>
      </c>
      <c r="M43" s="11">
        <f t="shared" si="6"/>
        <v>77677000</v>
      </c>
      <c r="N43" s="11">
        <f t="shared" si="6"/>
        <v>-369742</v>
      </c>
      <c r="O43" s="11">
        <f t="shared" si="6"/>
        <v>77307258</v>
      </c>
      <c r="P43" s="11"/>
      <c r="Q43" s="11">
        <f>SUM(Q41:Q42)</f>
        <v>-773072</v>
      </c>
      <c r="R43" s="11">
        <f>SUM(R41:R42)</f>
        <v>0</v>
      </c>
      <c r="S43" s="11">
        <f>SUM(S41:S42)</f>
        <v>0</v>
      </c>
      <c r="T43" s="59"/>
      <c r="U43" s="15">
        <f>SUM(U41:U42)</f>
        <v>76534186</v>
      </c>
      <c r="V43" s="15">
        <f>+U43-X43</f>
        <v>76534186</v>
      </c>
      <c r="W43" s="11">
        <f>SUM(W41:W42)</f>
        <v>0</v>
      </c>
      <c r="X43" s="11">
        <f>SUM(X41:X42)</f>
        <v>0</v>
      </c>
      <c r="Y43" s="45">
        <f>SUM(V43:X43)</f>
        <v>76534186</v>
      </c>
      <c r="Z43" s="11">
        <f>SUM(Z41:Z42)</f>
        <v>0</v>
      </c>
    </row>
    <row r="44" spans="1:26" ht="14.25">
      <c r="A44" s="16"/>
      <c r="B44" s="12"/>
      <c r="C44" s="12"/>
      <c r="D44" s="12"/>
      <c r="E44" s="12"/>
      <c r="F44" s="12"/>
      <c r="G44" s="12"/>
      <c r="H44" s="4"/>
      <c r="I44" s="12"/>
      <c r="J44" s="43"/>
      <c r="K44" s="43"/>
      <c r="L44" s="43"/>
      <c r="M44" s="43"/>
      <c r="N44" s="12"/>
      <c r="O44" s="12"/>
      <c r="P44" s="12"/>
      <c r="Q44" s="43"/>
      <c r="R44" s="43"/>
      <c r="S44" s="43"/>
      <c r="T44" s="36"/>
      <c r="U44" s="43"/>
      <c r="V44" s="43"/>
      <c r="W44" s="43"/>
      <c r="X44" s="43"/>
      <c r="Y44" s="43"/>
      <c r="Z44" s="43"/>
    </row>
    <row r="45" spans="1:26" ht="14.25">
      <c r="A45" s="16" t="s">
        <v>18</v>
      </c>
      <c r="B45" s="12"/>
      <c r="C45" s="11">
        <f>SUM(C32,C38,C43)</f>
        <v>238782000</v>
      </c>
      <c r="D45" s="11">
        <f>SUM(D32,D38,D43)</f>
        <v>3847000</v>
      </c>
      <c r="E45" s="11">
        <f>SUM(E32,E38,E43)</f>
        <v>-462000</v>
      </c>
      <c r="F45" s="11">
        <f>SUM(F32,F38,F43)</f>
        <v>-24495000</v>
      </c>
      <c r="G45" s="11">
        <f>SUM(G32,G38,G43)</f>
        <v>208136000</v>
      </c>
      <c r="H45" s="3"/>
      <c r="I45" s="11">
        <f>SUM(I32,I38,I43)</f>
        <v>238800000</v>
      </c>
      <c r="J45" s="43">
        <f>+J32+J38+J43</f>
        <v>0</v>
      </c>
      <c r="K45" s="43">
        <f>+K32+K38+K43</f>
        <v>0</v>
      </c>
      <c r="L45" s="43">
        <f>+L32+L38+L43</f>
        <v>0</v>
      </c>
      <c r="M45" s="43">
        <f>+M32+M38+M43</f>
        <v>238800000</v>
      </c>
      <c r="N45" s="11">
        <f>SUM(N32,N38,N43)</f>
        <v>-1136688</v>
      </c>
      <c r="O45" s="11">
        <f>SUM(O32,O38,O43)</f>
        <v>237663312</v>
      </c>
      <c r="P45" s="11"/>
      <c r="Q45" s="43">
        <f>+Q32+Q38+Q43</f>
        <v>-2376633</v>
      </c>
      <c r="R45" s="43">
        <f>+R32+R38+R43</f>
        <v>0</v>
      </c>
      <c r="S45" s="43">
        <f>+S32+S38+S43</f>
        <v>200000</v>
      </c>
      <c r="T45" s="36"/>
      <c r="U45" s="43">
        <f aca="true" t="shared" si="7" ref="U45:Z45">+U32+U38+U43</f>
        <v>235486679</v>
      </c>
      <c r="V45" s="43">
        <f t="shared" si="7"/>
        <v>235286679</v>
      </c>
      <c r="W45" s="43">
        <f t="shared" si="7"/>
        <v>0</v>
      </c>
      <c r="X45" s="43">
        <f t="shared" si="7"/>
        <v>200000</v>
      </c>
      <c r="Y45" s="43">
        <f t="shared" si="7"/>
        <v>235486679</v>
      </c>
      <c r="Z45" s="43">
        <f t="shared" si="7"/>
        <v>0</v>
      </c>
    </row>
    <row r="46" spans="1:26" ht="15" thickBot="1">
      <c r="A46" s="17"/>
      <c r="B46" s="17"/>
      <c r="C46" s="18"/>
      <c r="D46" s="17"/>
      <c r="E46" s="17"/>
      <c r="F46" s="17"/>
      <c r="G46" s="17"/>
      <c r="H46" s="7"/>
      <c r="I46" s="17"/>
      <c r="J46" s="42"/>
      <c r="K46" s="42"/>
      <c r="L46" s="42"/>
      <c r="M46" s="42"/>
      <c r="N46" s="51">
        <f>ROUND($N$14*I45,2)</f>
        <v>-1136688</v>
      </c>
      <c r="O46" s="17"/>
      <c r="P46" s="17"/>
      <c r="Q46" s="42">
        <f>ROUND(O45*$Q$14,0)</f>
        <v>-2376633</v>
      </c>
      <c r="R46" s="42"/>
      <c r="S46" s="42"/>
      <c r="T46" s="35"/>
      <c r="U46" s="42"/>
      <c r="V46" s="42"/>
      <c r="W46" s="42"/>
      <c r="X46" s="42"/>
      <c r="Y46" s="42"/>
      <c r="Z46" s="42"/>
    </row>
    <row r="47" spans="1:26" ht="15" thickTop="1">
      <c r="A47" s="12"/>
      <c r="B47" s="12"/>
      <c r="C47" s="12"/>
      <c r="D47" s="12"/>
      <c r="E47" s="12"/>
      <c r="F47" s="12"/>
      <c r="G47" s="12"/>
      <c r="H47" s="4"/>
      <c r="I47" s="12"/>
      <c r="J47" s="43"/>
      <c r="K47" s="43"/>
      <c r="L47" s="43"/>
      <c r="M47" s="43"/>
      <c r="N47" s="12"/>
      <c r="O47" s="12"/>
      <c r="P47" s="12"/>
      <c r="Q47" s="43"/>
      <c r="R47" s="43"/>
      <c r="S47" s="43"/>
      <c r="T47" s="36"/>
      <c r="U47" s="43"/>
      <c r="V47" s="43"/>
      <c r="W47" s="43"/>
      <c r="X47" s="43"/>
      <c r="Y47" s="43"/>
      <c r="Z47" s="43"/>
    </row>
    <row r="48" spans="1:26" ht="14.25">
      <c r="A48" s="14" t="s">
        <v>34</v>
      </c>
      <c r="B48" s="12"/>
      <c r="C48" s="12"/>
      <c r="D48" s="12"/>
      <c r="E48" s="12"/>
      <c r="F48" s="12"/>
      <c r="G48" s="12"/>
      <c r="H48" s="4"/>
      <c r="I48" s="12"/>
      <c r="J48" s="24"/>
      <c r="K48" s="24"/>
      <c r="L48" s="24"/>
      <c r="M48" s="24"/>
      <c r="N48" s="12"/>
      <c r="O48" s="12"/>
      <c r="P48" s="12"/>
      <c r="Q48" s="24"/>
      <c r="R48" s="24"/>
      <c r="S48" s="24"/>
      <c r="T48" s="37"/>
      <c r="U48" s="24"/>
      <c r="V48" s="24"/>
      <c r="W48" s="24"/>
      <c r="X48" s="24"/>
      <c r="Y48" s="24"/>
      <c r="Z48" s="24"/>
    </row>
    <row r="49" spans="1:26" ht="14.25">
      <c r="A49" s="12" t="s">
        <v>35</v>
      </c>
      <c r="B49" s="12"/>
      <c r="C49" s="12"/>
      <c r="D49" s="12"/>
      <c r="E49" s="12"/>
      <c r="F49" s="12"/>
      <c r="G49" s="12"/>
      <c r="H49" s="4"/>
      <c r="I49" s="12"/>
      <c r="J49" s="43"/>
      <c r="K49" s="43"/>
      <c r="L49" s="43"/>
      <c r="M49" s="43"/>
      <c r="N49" s="12"/>
      <c r="O49" s="12"/>
      <c r="P49" s="12"/>
      <c r="Q49" s="43"/>
      <c r="R49" s="43"/>
      <c r="S49" s="43"/>
      <c r="T49" s="36"/>
      <c r="U49" s="43"/>
      <c r="V49" s="43"/>
      <c r="W49" s="43"/>
      <c r="X49" s="43"/>
      <c r="Y49" s="43"/>
      <c r="Z49" s="43"/>
    </row>
    <row r="50" spans="1:26" ht="14.25">
      <c r="A50" s="12" t="s">
        <v>36</v>
      </c>
      <c r="B50" s="12"/>
      <c r="C50" s="15">
        <v>6998000</v>
      </c>
      <c r="D50" s="12">
        <v>147000</v>
      </c>
      <c r="E50" s="12">
        <v>-98000</v>
      </c>
      <c r="F50" s="12">
        <v>370000</v>
      </c>
      <c r="G50" s="12">
        <f>+C50+D50+E50+F50</f>
        <v>7417000</v>
      </c>
      <c r="H50" s="4"/>
      <c r="I50" s="12">
        <v>8147000</v>
      </c>
      <c r="J50" s="12"/>
      <c r="K50" s="12"/>
      <c r="L50" s="32">
        <f aca="true" t="shared" si="8" ref="L50:L55">SUM(J50:K50)</f>
        <v>0</v>
      </c>
      <c r="M50" s="32">
        <f aca="true" t="shared" si="9" ref="M50:M55">+I50+L50</f>
        <v>8147000</v>
      </c>
      <c r="N50" s="12">
        <f aca="true" t="shared" si="10" ref="N50:N55">ROUND(M50*$N$14,0)</f>
        <v>-38780</v>
      </c>
      <c r="O50" s="12">
        <f aca="true" t="shared" si="11" ref="O50:O55">+M50+N50</f>
        <v>8108220</v>
      </c>
      <c r="P50" s="12"/>
      <c r="Q50" s="12">
        <f aca="true" t="shared" si="12" ref="Q50:Q55">ROUND(O50*$Q$14,0)</f>
        <v>-81082</v>
      </c>
      <c r="R50" s="12"/>
      <c r="S50" s="12"/>
      <c r="U50" s="12">
        <f aca="true" t="shared" si="13" ref="U50:U55">SUM(O50:S50)</f>
        <v>8027138</v>
      </c>
      <c r="V50" s="12">
        <f aca="true" t="shared" si="14" ref="V50:V55">+U50</f>
        <v>8027138</v>
      </c>
      <c r="W50" s="12"/>
      <c r="X50" s="12"/>
      <c r="Y50" s="12">
        <f aca="true" t="shared" si="15" ref="Y50:Y55">SUM(V50:X50)</f>
        <v>8027138</v>
      </c>
      <c r="Z50" s="12"/>
    </row>
    <row r="51" spans="1:26" ht="14.25">
      <c r="A51" s="12" t="s">
        <v>37</v>
      </c>
      <c r="B51" s="12"/>
      <c r="C51" s="15">
        <v>61645000</v>
      </c>
      <c r="D51" s="12">
        <v>1669000</v>
      </c>
      <c r="E51" s="12">
        <v>0</v>
      </c>
      <c r="F51" s="12">
        <v>-182000</v>
      </c>
      <c r="G51" s="12">
        <f>+C51+D51+E51+F51</f>
        <v>63132000</v>
      </c>
      <c r="H51" s="4"/>
      <c r="I51" s="12">
        <v>63132000</v>
      </c>
      <c r="J51" s="12"/>
      <c r="K51" s="12"/>
      <c r="L51" s="32">
        <f t="shared" si="8"/>
        <v>0</v>
      </c>
      <c r="M51" s="32">
        <f t="shared" si="9"/>
        <v>63132000</v>
      </c>
      <c r="N51" s="12">
        <f t="shared" si="10"/>
        <v>-300508</v>
      </c>
      <c r="O51" s="12">
        <f t="shared" si="11"/>
        <v>62831492</v>
      </c>
      <c r="P51" s="12"/>
      <c r="Q51" s="12">
        <f t="shared" si="12"/>
        <v>-628315</v>
      </c>
      <c r="R51" s="12"/>
      <c r="S51" s="12"/>
      <c r="U51" s="12">
        <f t="shared" si="13"/>
        <v>62203177</v>
      </c>
      <c r="V51" s="12">
        <f t="shared" si="14"/>
        <v>62203177</v>
      </c>
      <c r="W51" s="12"/>
      <c r="X51" s="12"/>
      <c r="Y51" s="12">
        <f t="shared" si="15"/>
        <v>62203177</v>
      </c>
      <c r="Z51" s="12"/>
    </row>
    <row r="52" spans="1:26" ht="14.25">
      <c r="A52" s="12" t="s">
        <v>38</v>
      </c>
      <c r="B52" s="12"/>
      <c r="C52" s="15">
        <v>14476000</v>
      </c>
      <c r="D52" s="12">
        <v>367000</v>
      </c>
      <c r="E52" s="12">
        <v>0</v>
      </c>
      <c r="F52" s="12">
        <v>-1723000</v>
      </c>
      <c r="G52" s="12">
        <f>+C52+D52+E52+F52</f>
        <v>13120000</v>
      </c>
      <c r="H52" s="4"/>
      <c r="I52" s="12">
        <v>14600000</v>
      </c>
      <c r="J52" s="12"/>
      <c r="K52" s="12"/>
      <c r="L52" s="32">
        <f t="shared" si="8"/>
        <v>0</v>
      </c>
      <c r="M52" s="32">
        <f t="shared" si="9"/>
        <v>14600000</v>
      </c>
      <c r="N52" s="12">
        <f t="shared" si="10"/>
        <v>-69496</v>
      </c>
      <c r="O52" s="12">
        <f t="shared" si="11"/>
        <v>14530504</v>
      </c>
      <c r="P52" s="12"/>
      <c r="Q52" s="12">
        <f t="shared" si="12"/>
        <v>-145305</v>
      </c>
      <c r="R52" s="12"/>
      <c r="S52" s="12"/>
      <c r="U52" s="12">
        <f t="shared" si="13"/>
        <v>14385199</v>
      </c>
      <c r="V52" s="12">
        <f t="shared" si="14"/>
        <v>14385199</v>
      </c>
      <c r="W52" s="12"/>
      <c r="X52" s="12"/>
      <c r="Y52" s="12">
        <f t="shared" si="15"/>
        <v>14385199</v>
      </c>
      <c r="Z52" s="12"/>
    </row>
    <row r="53" spans="1:26" ht="14.25">
      <c r="A53" s="12" t="s">
        <v>39</v>
      </c>
      <c r="B53" s="12"/>
      <c r="C53" s="15">
        <v>15997000</v>
      </c>
      <c r="D53" s="12">
        <v>363000</v>
      </c>
      <c r="E53" s="12">
        <v>0</v>
      </c>
      <c r="F53" s="12">
        <v>-1932000</v>
      </c>
      <c r="G53" s="12">
        <f>+C53+D53+E53+F53</f>
        <v>14428000</v>
      </c>
      <c r="H53" s="4"/>
      <c r="I53" s="12">
        <v>14828000</v>
      </c>
      <c r="J53" s="12"/>
      <c r="K53" s="12"/>
      <c r="L53" s="32">
        <f t="shared" si="8"/>
        <v>0</v>
      </c>
      <c r="M53" s="32">
        <f t="shared" si="9"/>
        <v>14828000</v>
      </c>
      <c r="N53" s="12">
        <f t="shared" si="10"/>
        <v>-70581</v>
      </c>
      <c r="O53" s="12">
        <f t="shared" si="11"/>
        <v>14757419</v>
      </c>
      <c r="P53" s="12"/>
      <c r="Q53" s="12">
        <f t="shared" si="12"/>
        <v>-147574</v>
      </c>
      <c r="R53" s="12"/>
      <c r="S53" s="12"/>
      <c r="U53" s="12">
        <f t="shared" si="13"/>
        <v>14609845</v>
      </c>
      <c r="V53" s="12">
        <f t="shared" si="14"/>
        <v>14609845</v>
      </c>
      <c r="W53" s="12"/>
      <c r="X53" s="12"/>
      <c r="Y53" s="12">
        <f t="shared" si="15"/>
        <v>14609845</v>
      </c>
      <c r="Z53" s="12"/>
    </row>
    <row r="54" spans="1:26" ht="14.25">
      <c r="A54" s="12" t="s">
        <v>40</v>
      </c>
      <c r="B54" s="12"/>
      <c r="C54" s="15">
        <v>13814000</v>
      </c>
      <c r="D54" s="12">
        <v>379000</v>
      </c>
      <c r="E54" s="12">
        <v>0</v>
      </c>
      <c r="F54" s="12">
        <v>-41000</v>
      </c>
      <c r="G54" s="12">
        <f>+C54+D54+E54+F54</f>
        <v>14152000</v>
      </c>
      <c r="H54" s="4"/>
      <c r="I54" s="12">
        <v>14152000</v>
      </c>
      <c r="J54" s="12"/>
      <c r="K54" s="12"/>
      <c r="L54" s="32">
        <f t="shared" si="8"/>
        <v>0</v>
      </c>
      <c r="M54" s="32">
        <f t="shared" si="9"/>
        <v>14152000</v>
      </c>
      <c r="N54" s="12">
        <f t="shared" si="10"/>
        <v>-67364</v>
      </c>
      <c r="O54" s="12">
        <f t="shared" si="11"/>
        <v>14084636</v>
      </c>
      <c r="P54" s="12"/>
      <c r="Q54" s="12">
        <f t="shared" si="12"/>
        <v>-140846</v>
      </c>
      <c r="R54" s="12"/>
      <c r="S54" s="12">
        <v>5100000</v>
      </c>
      <c r="U54" s="12">
        <f t="shared" si="13"/>
        <v>19043790</v>
      </c>
      <c r="V54" s="12">
        <f>+U54-X54</f>
        <v>13943790</v>
      </c>
      <c r="W54" s="12"/>
      <c r="X54" s="12">
        <v>5100000</v>
      </c>
      <c r="Y54" s="12">
        <f t="shared" si="15"/>
        <v>19043790</v>
      </c>
      <c r="Z54" s="12"/>
    </row>
    <row r="55" spans="1:26" ht="14.25">
      <c r="A55" s="12" t="s">
        <v>41</v>
      </c>
      <c r="B55" s="12"/>
      <c r="C55" s="19">
        <f>29524000+707000</f>
        <v>30231000</v>
      </c>
      <c r="D55" s="19">
        <v>660000</v>
      </c>
      <c r="E55" s="19">
        <v>-268000</v>
      </c>
      <c r="F55" s="19">
        <v>-1764000</v>
      </c>
      <c r="G55" s="19">
        <f>+C55+D55+E55+F55-707000</f>
        <v>28152000</v>
      </c>
      <c r="H55" s="9"/>
      <c r="I55" s="19">
        <v>29797000</v>
      </c>
      <c r="J55" s="44"/>
      <c r="K55" s="44"/>
      <c r="L55" s="55">
        <f t="shared" si="8"/>
        <v>0</v>
      </c>
      <c r="M55" s="55">
        <f t="shared" si="9"/>
        <v>29797000</v>
      </c>
      <c r="N55" s="44">
        <f t="shared" si="10"/>
        <v>-141834</v>
      </c>
      <c r="O55" s="44">
        <f t="shared" si="11"/>
        <v>29655166</v>
      </c>
      <c r="P55" s="44"/>
      <c r="Q55" s="44">
        <f t="shared" si="12"/>
        <v>-296552</v>
      </c>
      <c r="R55" s="44"/>
      <c r="S55" s="44"/>
      <c r="T55" s="58"/>
      <c r="U55" s="44">
        <f t="shared" si="13"/>
        <v>29358614</v>
      </c>
      <c r="V55" s="44">
        <f t="shared" si="14"/>
        <v>29358614</v>
      </c>
      <c r="W55" s="44"/>
      <c r="X55" s="44"/>
      <c r="Y55" s="44">
        <f t="shared" si="15"/>
        <v>29358614</v>
      </c>
      <c r="Z55" s="44"/>
    </row>
    <row r="56" spans="1:26" ht="14.25">
      <c r="A56" s="16" t="s">
        <v>26</v>
      </c>
      <c r="B56" s="12"/>
      <c r="C56" s="11">
        <f>SUM(C49:C55)</f>
        <v>143161000</v>
      </c>
      <c r="D56" s="11">
        <f>SUM(D49:D55)</f>
        <v>3585000</v>
      </c>
      <c r="E56" s="11">
        <f>SUM(E49:E55)</f>
        <v>-366000</v>
      </c>
      <c r="F56" s="11">
        <f>SUM(F49:F55)</f>
        <v>-5272000</v>
      </c>
      <c r="G56" s="11">
        <f>SUM(G49:G55)</f>
        <v>140401000</v>
      </c>
      <c r="H56" s="3"/>
      <c r="I56" s="11">
        <f>SUM(I49:I55)</f>
        <v>144656000</v>
      </c>
      <c r="J56" s="43">
        <f>SUM(J50:J55)</f>
        <v>0</v>
      </c>
      <c r="K56" s="43">
        <f>SUM(K50:K55)</f>
        <v>0</v>
      </c>
      <c r="L56" s="43">
        <f>SUM(L50:L55)</f>
        <v>0</v>
      </c>
      <c r="M56" s="43">
        <f>SUM(M50:M55)</f>
        <v>144656000</v>
      </c>
      <c r="N56" s="11">
        <f>SUM(N49:N55)</f>
        <v>-688563</v>
      </c>
      <c r="O56" s="11">
        <f>SUM(O49:O55)</f>
        <v>143967437</v>
      </c>
      <c r="P56" s="11"/>
      <c r="Q56" s="43">
        <f aca="true" t="shared" si="16" ref="Q56:Z56">SUM(Q50:Q55)</f>
        <v>-1439674</v>
      </c>
      <c r="R56" s="43">
        <f>SUM(R50:R55)</f>
        <v>0</v>
      </c>
      <c r="S56" s="43">
        <f>SUM(S50:S55)</f>
        <v>5100000</v>
      </c>
      <c r="T56" s="36"/>
      <c r="U56" s="43">
        <f t="shared" si="16"/>
        <v>147627763</v>
      </c>
      <c r="V56" s="43">
        <f t="shared" si="16"/>
        <v>142527763</v>
      </c>
      <c r="W56" s="43">
        <f t="shared" si="16"/>
        <v>0</v>
      </c>
      <c r="X56" s="43">
        <f t="shared" si="16"/>
        <v>5100000</v>
      </c>
      <c r="Y56" s="43">
        <f t="shared" si="16"/>
        <v>147627763</v>
      </c>
      <c r="Z56" s="43">
        <f t="shared" si="16"/>
        <v>0</v>
      </c>
    </row>
    <row r="57" spans="1:26" ht="14.25">
      <c r="A57" s="12"/>
      <c r="B57" s="12"/>
      <c r="C57" s="12"/>
      <c r="D57" s="12"/>
      <c r="E57" s="12"/>
      <c r="F57" s="12"/>
      <c r="G57" s="12"/>
      <c r="H57" s="4"/>
      <c r="I57" s="12"/>
      <c r="J57" s="43"/>
      <c r="K57" s="43"/>
      <c r="L57" s="43"/>
      <c r="M57" s="43"/>
      <c r="N57" s="12"/>
      <c r="O57" s="12"/>
      <c r="P57" s="12"/>
      <c r="Q57" s="43"/>
      <c r="R57" s="43"/>
      <c r="S57" s="43"/>
      <c r="T57" s="36"/>
      <c r="U57" s="43"/>
      <c r="V57" s="43"/>
      <c r="W57" s="43"/>
      <c r="X57" s="43"/>
      <c r="Y57" s="43"/>
      <c r="Z57" s="43"/>
    </row>
    <row r="58" spans="1:26" ht="14.25">
      <c r="A58" s="12" t="s">
        <v>42</v>
      </c>
      <c r="B58" s="12"/>
      <c r="C58" s="15">
        <v>62337000</v>
      </c>
      <c r="D58" s="12">
        <v>1711000</v>
      </c>
      <c r="E58" s="12">
        <v>0</v>
      </c>
      <c r="F58" s="12">
        <v>-278000</v>
      </c>
      <c r="G58" s="12">
        <f>+C58+D58+E58+F58</f>
        <v>63770000</v>
      </c>
      <c r="H58" s="4"/>
      <c r="I58" s="12">
        <v>63770000</v>
      </c>
      <c r="J58" s="12"/>
      <c r="K58" s="12"/>
      <c r="L58" s="32">
        <f>SUM(J58:K58)</f>
        <v>0</v>
      </c>
      <c r="M58" s="32">
        <f>+I58+L58</f>
        <v>63770000</v>
      </c>
      <c r="N58" s="12">
        <f>ROUND(M58*$N$14,0)</f>
        <v>-303545</v>
      </c>
      <c r="O58" s="12">
        <f>+M58+N58</f>
        <v>63466455</v>
      </c>
      <c r="P58" s="12"/>
      <c r="Q58" s="12">
        <f>ROUND(O58*$Q$14,0)+1</f>
        <v>-634664</v>
      </c>
      <c r="R58" s="12"/>
      <c r="S58" s="12"/>
      <c r="U58" s="12">
        <f>SUM(O58:S58)</f>
        <v>62831791</v>
      </c>
      <c r="V58" s="12">
        <f>+U58</f>
        <v>62831791</v>
      </c>
      <c r="W58" s="12"/>
      <c r="X58" s="12"/>
      <c r="Y58" s="12">
        <f>SUM(V58:X58)</f>
        <v>62831791</v>
      </c>
      <c r="Z58" s="12"/>
    </row>
    <row r="59" spans="1:26" ht="14.25">
      <c r="A59" s="12" t="s">
        <v>43</v>
      </c>
      <c r="B59" s="12"/>
      <c r="C59" s="15">
        <v>6409000</v>
      </c>
      <c r="D59" s="12">
        <v>0</v>
      </c>
      <c r="E59" s="12">
        <v>0</v>
      </c>
      <c r="F59" s="12">
        <v>-6409000</v>
      </c>
      <c r="G59" s="12">
        <f>+C59+D59+E59+F59</f>
        <v>0</v>
      </c>
      <c r="H59" s="4"/>
      <c r="I59" s="12">
        <v>6500000</v>
      </c>
      <c r="J59" s="12"/>
      <c r="K59" s="12"/>
      <c r="L59" s="32">
        <f>SUM(J59:K59)</f>
        <v>0</v>
      </c>
      <c r="M59" s="32">
        <f>+I59+L59</f>
        <v>6500000</v>
      </c>
      <c r="N59" s="12">
        <f>ROUND(M59*$N$14,0)</f>
        <v>-30940</v>
      </c>
      <c r="O59" s="12">
        <f>+M59+N59</f>
        <v>6469060</v>
      </c>
      <c r="P59" s="12"/>
      <c r="Q59" s="12">
        <f>ROUND(O59*$Q$14,0)</f>
        <v>-64691</v>
      </c>
      <c r="R59" s="12"/>
      <c r="S59" s="12"/>
      <c r="U59" s="12">
        <f>SUM(O59:S59)</f>
        <v>6404369</v>
      </c>
      <c r="V59" s="12">
        <f>+U59</f>
        <v>6404369</v>
      </c>
      <c r="W59" s="12"/>
      <c r="X59" s="12"/>
      <c r="Y59" s="12">
        <f>SUM(V59:X59)</f>
        <v>6404369</v>
      </c>
      <c r="Z59" s="12"/>
    </row>
    <row r="60" spans="1:26" ht="14.25">
      <c r="A60" s="12"/>
      <c r="B60" s="12"/>
      <c r="C60" s="12"/>
      <c r="D60" s="12"/>
      <c r="E60" s="12"/>
      <c r="F60" s="12"/>
      <c r="G60" s="12"/>
      <c r="H60" s="4"/>
      <c r="I60" s="12"/>
      <c r="J60" s="43"/>
      <c r="K60" s="43"/>
      <c r="L60" s="43"/>
      <c r="M60" s="43"/>
      <c r="N60" s="12"/>
      <c r="O60" s="12"/>
      <c r="P60" s="12"/>
      <c r="Q60" s="43"/>
      <c r="R60" s="43"/>
      <c r="S60" s="43"/>
      <c r="T60" s="36"/>
      <c r="U60" s="43"/>
      <c r="V60" s="43"/>
      <c r="W60" s="43"/>
      <c r="X60" s="43"/>
      <c r="Y60" s="43"/>
      <c r="Z60" s="43"/>
    </row>
    <row r="61" spans="1:26" ht="14.25">
      <c r="A61" s="16" t="s">
        <v>18</v>
      </c>
      <c r="B61" s="12"/>
      <c r="C61" s="11">
        <f>SUM(C56,C58:C59)</f>
        <v>211907000</v>
      </c>
      <c r="D61" s="11">
        <f>SUM(D56,D58:D59)</f>
        <v>5296000</v>
      </c>
      <c r="E61" s="11">
        <f>SUM(E56,E58:E59)</f>
        <v>-366000</v>
      </c>
      <c r="F61" s="11">
        <f>SUM(F56,F58:F59)</f>
        <v>-11959000</v>
      </c>
      <c r="G61" s="11">
        <f>SUM(G56,G58:G59)</f>
        <v>204171000</v>
      </c>
      <c r="H61" s="3"/>
      <c r="I61" s="11">
        <f>SUM(I56,I58:I59)</f>
        <v>214926000</v>
      </c>
      <c r="J61" s="43">
        <f>+J56+J58+J59</f>
        <v>0</v>
      </c>
      <c r="K61" s="43">
        <f>+K56+K58+K59</f>
        <v>0</v>
      </c>
      <c r="L61" s="43">
        <f>+L56+L58+L59</f>
        <v>0</v>
      </c>
      <c r="M61" s="43">
        <f>+M56+M58+M59</f>
        <v>214926000</v>
      </c>
      <c r="N61" s="11">
        <f>SUM(N56,N58:N59)</f>
        <v>-1023048</v>
      </c>
      <c r="O61" s="11">
        <f>SUM(O56,O58:O59)</f>
        <v>213902952</v>
      </c>
      <c r="P61" s="11"/>
      <c r="Q61" s="43">
        <f>+Q56+Q58+Q59</f>
        <v>-2139029</v>
      </c>
      <c r="R61" s="43">
        <f>+R56+R58+R59</f>
        <v>0</v>
      </c>
      <c r="S61" s="43">
        <f>+S56+S58+S59</f>
        <v>5100000</v>
      </c>
      <c r="T61" s="36"/>
      <c r="U61" s="43">
        <f aca="true" t="shared" si="17" ref="U61:Z61">+U56+U58+U59</f>
        <v>216863923</v>
      </c>
      <c r="V61" s="43">
        <f t="shared" si="17"/>
        <v>211763923</v>
      </c>
      <c r="W61" s="43">
        <f t="shared" si="17"/>
        <v>0</v>
      </c>
      <c r="X61" s="43">
        <f t="shared" si="17"/>
        <v>5100000</v>
      </c>
      <c r="Y61" s="43">
        <f t="shared" si="17"/>
        <v>216863923</v>
      </c>
      <c r="Z61" s="43">
        <f t="shared" si="17"/>
        <v>0</v>
      </c>
    </row>
    <row r="62" spans="1:26" ht="15" thickBot="1">
      <c r="A62" s="17"/>
      <c r="B62" s="17"/>
      <c r="C62" s="18"/>
      <c r="D62" s="17"/>
      <c r="E62" s="17"/>
      <c r="F62" s="17"/>
      <c r="G62" s="17"/>
      <c r="H62" s="7"/>
      <c r="I62" s="17"/>
      <c r="J62" s="42"/>
      <c r="K62" s="42"/>
      <c r="L62" s="42"/>
      <c r="M62" s="42"/>
      <c r="N62" s="51">
        <f>ROUND($N$14*I61,2)</f>
        <v>-1023047.76</v>
      </c>
      <c r="O62" s="17"/>
      <c r="P62" s="17"/>
      <c r="Q62" s="42">
        <f>ROUND(O61*$Q$14,0)+1</f>
        <v>-2139029</v>
      </c>
      <c r="R62" s="42"/>
      <c r="S62" s="42"/>
      <c r="T62" s="35"/>
      <c r="U62" s="42"/>
      <c r="V62" s="42"/>
      <c r="W62" s="42"/>
      <c r="X62" s="42"/>
      <c r="Y62" s="42"/>
      <c r="Z62" s="42"/>
    </row>
    <row r="63" spans="1:26" ht="15" thickTop="1">
      <c r="A63" s="12"/>
      <c r="B63" s="12"/>
      <c r="C63" s="12"/>
      <c r="D63" s="12"/>
      <c r="E63" s="12"/>
      <c r="F63" s="12"/>
      <c r="G63" s="12"/>
      <c r="H63" s="4"/>
      <c r="I63" s="12"/>
      <c r="J63" s="43"/>
      <c r="K63" s="43"/>
      <c r="L63" s="43"/>
      <c r="M63" s="43"/>
      <c r="N63" s="12"/>
      <c r="O63" s="12"/>
      <c r="P63" s="12"/>
      <c r="Q63" s="43"/>
      <c r="R63" s="43"/>
      <c r="S63" s="43"/>
      <c r="T63" s="36"/>
      <c r="U63" s="43"/>
      <c r="V63" s="43"/>
      <c r="W63" s="43"/>
      <c r="X63" s="43"/>
      <c r="Y63" s="43"/>
      <c r="Z63" s="43"/>
    </row>
    <row r="64" spans="1:26" ht="14.25">
      <c r="A64" s="14" t="s">
        <v>44</v>
      </c>
      <c r="B64" s="12"/>
      <c r="C64" s="12"/>
      <c r="D64" s="12"/>
      <c r="E64" s="12"/>
      <c r="F64" s="12"/>
      <c r="G64" s="12"/>
      <c r="H64" s="4"/>
      <c r="I64" s="12"/>
      <c r="J64" s="24"/>
      <c r="K64" s="24"/>
      <c r="L64" s="24"/>
      <c r="M64" s="24"/>
      <c r="N64" s="12"/>
      <c r="O64" s="12"/>
      <c r="P64" s="12"/>
      <c r="Q64" s="24"/>
      <c r="R64" s="24"/>
      <c r="S64" s="24"/>
      <c r="T64" s="37"/>
      <c r="U64" s="24"/>
      <c r="V64" s="24"/>
      <c r="W64" s="24"/>
      <c r="X64" s="24"/>
      <c r="Y64" s="24"/>
      <c r="Z64" s="24"/>
    </row>
    <row r="65" spans="1:26" ht="14.25">
      <c r="A65" s="12" t="s">
        <v>45</v>
      </c>
      <c r="B65" s="12"/>
      <c r="C65" s="15">
        <f>133130000+293000</f>
        <v>133423000</v>
      </c>
      <c r="D65" s="12">
        <v>2565000</v>
      </c>
      <c r="E65" s="12">
        <v>828000</v>
      </c>
      <c r="F65" s="12">
        <v>-2175000</v>
      </c>
      <c r="G65" s="12">
        <f>+C65+D65+E65+F65-293000</f>
        <v>134348000</v>
      </c>
      <c r="H65" s="4"/>
      <c r="I65" s="12">
        <v>138453000</v>
      </c>
      <c r="J65" s="12"/>
      <c r="K65" s="12"/>
      <c r="L65" s="32">
        <f>SUM(J65:K65)</f>
        <v>0</v>
      </c>
      <c r="M65" s="32">
        <f>+I65+L65</f>
        <v>138453000</v>
      </c>
      <c r="N65" s="12">
        <f>ROUND(M65*$N$14,0)-1</f>
        <v>-659037</v>
      </c>
      <c r="O65" s="12">
        <f>+M65+N65</f>
        <v>137793963</v>
      </c>
      <c r="P65" s="12"/>
      <c r="Q65" s="12">
        <f>ROUND(O65*$Q$14,0)</f>
        <v>-1377940</v>
      </c>
      <c r="R65" s="12">
        <v>3670000</v>
      </c>
      <c r="S65" s="12"/>
      <c r="U65" s="12">
        <f>SUM(O65:S65)</f>
        <v>140086023</v>
      </c>
      <c r="V65" s="12"/>
      <c r="W65" s="12">
        <f>+U65</f>
        <v>140086023</v>
      </c>
      <c r="X65" s="12"/>
      <c r="Y65" s="12">
        <f>SUM(V65:X65)</f>
        <v>140086023</v>
      </c>
      <c r="Z65" s="12"/>
    </row>
    <row r="66" spans="1:26" ht="14.25">
      <c r="A66" s="12" t="s">
        <v>46</v>
      </c>
      <c r="B66" s="12"/>
      <c r="C66" s="15">
        <v>23999000</v>
      </c>
      <c r="D66" s="12">
        <v>217000</v>
      </c>
      <c r="E66" s="12">
        <v>0</v>
      </c>
      <c r="F66" s="12">
        <v>-67000</v>
      </c>
      <c r="G66" s="12">
        <f>+C66+D66+E66+F66</f>
        <v>24149000</v>
      </c>
      <c r="H66" s="4"/>
      <c r="I66" s="12">
        <v>24149000</v>
      </c>
      <c r="J66" s="12"/>
      <c r="K66" s="12"/>
      <c r="L66" s="32">
        <f>SUM(J66:K66)</f>
        <v>0</v>
      </c>
      <c r="M66" s="32">
        <f>+I66+L66</f>
        <v>24149000</v>
      </c>
      <c r="N66" s="12">
        <f>ROUND(M66*$N$14,0)</f>
        <v>-114949</v>
      </c>
      <c r="O66" s="12">
        <f>+M66+N66</f>
        <v>24034051</v>
      </c>
      <c r="P66" s="12"/>
      <c r="Q66" s="12">
        <f>ROUND(O66*$Q$14,0)+1</f>
        <v>-240340</v>
      </c>
      <c r="R66" s="12"/>
      <c r="S66" s="12"/>
      <c r="U66" s="12">
        <f>SUM(O66:S66)</f>
        <v>23793711</v>
      </c>
      <c r="V66" s="12"/>
      <c r="W66" s="12">
        <f>+U66</f>
        <v>23793711</v>
      </c>
      <c r="X66" s="12"/>
      <c r="Y66" s="12">
        <f>SUM(V66:X66)</f>
        <v>23793711</v>
      </c>
      <c r="Z66" s="12"/>
    </row>
    <row r="67" spans="1:26" ht="14.25">
      <c r="A67" s="12" t="s">
        <v>47</v>
      </c>
      <c r="B67" s="12"/>
      <c r="C67" s="15">
        <v>14570000</v>
      </c>
      <c r="D67" s="12">
        <v>343000</v>
      </c>
      <c r="E67" s="12">
        <v>0</v>
      </c>
      <c r="F67" s="12">
        <v>-485000</v>
      </c>
      <c r="G67" s="12">
        <f>+C67+D67+E67+F67</f>
        <v>14428000</v>
      </c>
      <c r="H67" s="4"/>
      <c r="I67" s="12">
        <v>14883000</v>
      </c>
      <c r="J67" s="12"/>
      <c r="K67" s="12"/>
      <c r="L67" s="32">
        <f>SUM(J67:K67)</f>
        <v>0</v>
      </c>
      <c r="M67" s="32">
        <f>+I67+L67</f>
        <v>14883000</v>
      </c>
      <c r="N67" s="12">
        <f>ROUND(M67*$N$14,0)</f>
        <v>-70843</v>
      </c>
      <c r="O67" s="12">
        <f>+M67+N67</f>
        <v>14812157</v>
      </c>
      <c r="P67" s="12"/>
      <c r="Q67" s="12">
        <f>ROUND(O67*$Q$14,0)</f>
        <v>-148122</v>
      </c>
      <c r="R67" s="12"/>
      <c r="S67" s="12"/>
      <c r="U67" s="12">
        <f>SUM(O67:S67)</f>
        <v>14664035</v>
      </c>
      <c r="V67" s="12"/>
      <c r="W67" s="12">
        <f>+U67</f>
        <v>14664035</v>
      </c>
      <c r="X67" s="12"/>
      <c r="Y67" s="12">
        <f>SUM(V67:X67)</f>
        <v>14664035</v>
      </c>
      <c r="Z67" s="12"/>
    </row>
    <row r="68" spans="1:26" ht="14.25">
      <c r="A68" s="12"/>
      <c r="B68" s="12"/>
      <c r="C68" s="12"/>
      <c r="D68" s="12"/>
      <c r="E68" s="12"/>
      <c r="F68" s="12"/>
      <c r="G68" s="12"/>
      <c r="H68" s="4"/>
      <c r="I68" s="12"/>
      <c r="J68" s="43"/>
      <c r="K68" s="43"/>
      <c r="L68" s="43"/>
      <c r="M68" s="43"/>
      <c r="N68" s="12"/>
      <c r="O68" s="12"/>
      <c r="P68" s="12"/>
      <c r="Q68" s="43"/>
      <c r="R68" s="43"/>
      <c r="S68" s="43"/>
      <c r="T68" s="36"/>
      <c r="U68" s="43"/>
      <c r="V68" s="43"/>
      <c r="W68" s="43"/>
      <c r="X68" s="43"/>
      <c r="Y68" s="43"/>
      <c r="Z68" s="43"/>
    </row>
    <row r="69" spans="1:26" ht="14.25">
      <c r="A69" s="16" t="s">
        <v>18</v>
      </c>
      <c r="B69" s="12"/>
      <c r="C69" s="11">
        <f>SUM(C65:C67)</f>
        <v>171992000</v>
      </c>
      <c r="D69" s="11">
        <f>SUM(D65:D67)</f>
        <v>3125000</v>
      </c>
      <c r="E69" s="11">
        <f>SUM(E65:E67)</f>
        <v>828000</v>
      </c>
      <c r="F69" s="11">
        <f>SUM(F65:F67)</f>
        <v>-2727000</v>
      </c>
      <c r="G69" s="11">
        <f>SUM(G65:G67)</f>
        <v>172925000</v>
      </c>
      <c r="H69" s="3"/>
      <c r="I69" s="11">
        <f aca="true" t="shared" si="18" ref="I69:O69">SUM(I65:I67)</f>
        <v>177485000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177485000</v>
      </c>
      <c r="N69" s="11">
        <f t="shared" si="18"/>
        <v>-844829</v>
      </c>
      <c r="O69" s="11">
        <f t="shared" si="18"/>
        <v>176640171</v>
      </c>
      <c r="P69" s="11"/>
      <c r="Q69" s="43">
        <f>SUM(Q65:Q67)</f>
        <v>-1766402</v>
      </c>
      <c r="R69" s="43">
        <f>SUM(R65:R67)</f>
        <v>3670000</v>
      </c>
      <c r="S69" s="43">
        <f>SUM(S65:S67)</f>
        <v>0</v>
      </c>
      <c r="T69" s="36"/>
      <c r="U69" s="43">
        <f aca="true" t="shared" si="19" ref="U69:Z69">SUM(U65:U67)</f>
        <v>178543769</v>
      </c>
      <c r="V69" s="43">
        <f t="shared" si="19"/>
        <v>0</v>
      </c>
      <c r="W69" s="43">
        <f t="shared" si="19"/>
        <v>178543769</v>
      </c>
      <c r="X69" s="43">
        <f t="shared" si="19"/>
        <v>0</v>
      </c>
      <c r="Y69" s="43">
        <f t="shared" si="19"/>
        <v>178543769</v>
      </c>
      <c r="Z69" s="43">
        <f t="shared" si="19"/>
        <v>0</v>
      </c>
    </row>
    <row r="70" spans="1:26" ht="15" thickBot="1">
      <c r="A70" s="17"/>
      <c r="B70" s="17"/>
      <c r="C70" s="18"/>
      <c r="D70" s="17"/>
      <c r="E70" s="17"/>
      <c r="F70" s="17"/>
      <c r="G70" s="17"/>
      <c r="H70" s="7"/>
      <c r="I70" s="17"/>
      <c r="J70" s="42"/>
      <c r="K70" s="42"/>
      <c r="L70" s="42"/>
      <c r="M70" s="42"/>
      <c r="N70" s="51">
        <f>ROUND($N$14*I69,2)</f>
        <v>-844828.6</v>
      </c>
      <c r="O70" s="17"/>
      <c r="P70" s="17"/>
      <c r="Q70" s="42">
        <f>ROUND(O69*$Q$14,0)</f>
        <v>-1766402</v>
      </c>
      <c r="R70" s="42"/>
      <c r="S70" s="42"/>
      <c r="T70" s="35"/>
      <c r="U70" s="42"/>
      <c r="V70" s="42"/>
      <c r="W70" s="42"/>
      <c r="X70" s="42"/>
      <c r="Y70" s="42"/>
      <c r="Z70" s="42"/>
    </row>
    <row r="71" spans="1:26" ht="15" thickTop="1">
      <c r="A71" s="12"/>
      <c r="B71" s="12"/>
      <c r="C71" s="12"/>
      <c r="D71" s="12"/>
      <c r="E71" s="12"/>
      <c r="F71" s="12"/>
      <c r="G71" s="12"/>
      <c r="H71" s="6"/>
      <c r="I71" s="15"/>
      <c r="J71" s="46"/>
      <c r="K71" s="46"/>
      <c r="L71" s="46"/>
      <c r="M71" s="46"/>
      <c r="N71" s="15"/>
      <c r="O71" s="15"/>
      <c r="P71" s="15"/>
      <c r="Q71" s="46"/>
      <c r="R71" s="46"/>
      <c r="S71" s="46"/>
      <c r="T71" s="38"/>
      <c r="U71" s="46"/>
      <c r="V71" s="46"/>
      <c r="W71" s="46"/>
      <c r="X71" s="46"/>
      <c r="Y71" s="46"/>
      <c r="Z71" s="46"/>
    </row>
    <row r="72" spans="1:26" ht="14.25">
      <c r="A72" s="14" t="s">
        <v>48</v>
      </c>
      <c r="B72" s="12"/>
      <c r="C72" s="12"/>
      <c r="D72" s="12"/>
      <c r="E72" s="12"/>
      <c r="F72" s="12"/>
      <c r="G72" s="12"/>
      <c r="H72" s="4"/>
      <c r="I72" s="15"/>
      <c r="J72" s="24"/>
      <c r="K72" s="24"/>
      <c r="L72" s="24"/>
      <c r="M72" s="24"/>
      <c r="N72" s="15"/>
      <c r="O72" s="15"/>
      <c r="P72" s="15"/>
      <c r="Q72" s="24"/>
      <c r="R72" s="24"/>
      <c r="S72" s="24"/>
      <c r="T72" s="37"/>
      <c r="U72" s="24"/>
      <c r="V72" s="24"/>
      <c r="W72" s="24"/>
      <c r="X72" s="24"/>
      <c r="Y72" s="24"/>
      <c r="Z72" s="24"/>
    </row>
    <row r="73" spans="1:26" ht="14.25">
      <c r="A73" s="12" t="s">
        <v>49</v>
      </c>
      <c r="B73" s="12"/>
      <c r="C73" s="15">
        <v>22714000</v>
      </c>
      <c r="D73" s="12">
        <v>256000</v>
      </c>
      <c r="E73" s="12">
        <v>0</v>
      </c>
      <c r="F73" s="12">
        <v>2267000</v>
      </c>
      <c r="G73" s="12">
        <f>+C73+D73+E73+F73</f>
        <v>25237000</v>
      </c>
      <c r="H73" s="4"/>
      <c r="I73" s="12">
        <v>25237000</v>
      </c>
      <c r="J73" s="12"/>
      <c r="K73" s="12"/>
      <c r="L73" s="32">
        <f>SUM(J73:K73)</f>
        <v>0</v>
      </c>
      <c r="M73" s="32">
        <f>+I73+L73</f>
        <v>25237000</v>
      </c>
      <c r="N73" s="12">
        <f>ROUND(M73*$N$14,0)</f>
        <v>-120128</v>
      </c>
      <c r="O73" s="12">
        <f>+M73+N73</f>
        <v>25116872</v>
      </c>
      <c r="P73" s="12"/>
      <c r="Q73" s="12">
        <f>ROUND(O73*$Q$14,0)</f>
        <v>-251169</v>
      </c>
      <c r="R73" s="12"/>
      <c r="S73" s="12"/>
      <c r="U73" s="12">
        <f>SUM(O73:S73)</f>
        <v>24865703</v>
      </c>
      <c r="V73" s="12">
        <f>+U73</f>
        <v>24865703</v>
      </c>
      <c r="W73" s="2"/>
      <c r="X73" s="2"/>
      <c r="Y73" s="12">
        <f>SUM(V73:X73)</f>
        <v>24865703</v>
      </c>
      <c r="Z73" s="12"/>
    </row>
    <row r="74" spans="1:26" ht="14.25">
      <c r="A74" s="12" t="s">
        <v>50</v>
      </c>
      <c r="B74" s="12"/>
      <c r="C74" s="15">
        <v>16989000</v>
      </c>
      <c r="D74" s="12">
        <v>185000</v>
      </c>
      <c r="E74" s="12">
        <v>0</v>
      </c>
      <c r="F74" s="12">
        <v>-21000</v>
      </c>
      <c r="G74" s="12">
        <f>+C74+D74+E74+F74</f>
        <v>17153000</v>
      </c>
      <c r="H74" s="4"/>
      <c r="I74" s="12">
        <v>17153000</v>
      </c>
      <c r="J74" s="12"/>
      <c r="K74" s="12"/>
      <c r="L74" s="32">
        <f>SUM(J74:K74)</f>
        <v>0</v>
      </c>
      <c r="M74" s="32">
        <f>+I74+L74</f>
        <v>17153000</v>
      </c>
      <c r="N74" s="12">
        <f>ROUND(M74*$N$14,0)</f>
        <v>-81648</v>
      </c>
      <c r="O74" s="12">
        <f>+M74+N74</f>
        <v>17071352</v>
      </c>
      <c r="P74" s="12"/>
      <c r="Q74" s="12">
        <f>ROUND(O74*$Q$14,0)</f>
        <v>-170714</v>
      </c>
      <c r="R74" s="12"/>
      <c r="S74" s="12"/>
      <c r="U74" s="12">
        <f>SUM(O74:S74)</f>
        <v>16900638</v>
      </c>
      <c r="V74" s="12">
        <f>+U74</f>
        <v>16900638</v>
      </c>
      <c r="W74" s="2"/>
      <c r="X74" s="2"/>
      <c r="Y74" s="12">
        <f>SUM(V74:X74)</f>
        <v>16900638</v>
      </c>
      <c r="Z74" s="12"/>
    </row>
    <row r="75" spans="1:26" ht="14.25">
      <c r="A75" s="12" t="s">
        <v>51</v>
      </c>
      <c r="B75" s="12"/>
      <c r="C75" s="15">
        <v>4670000</v>
      </c>
      <c r="D75" s="12">
        <v>34000</v>
      </c>
      <c r="E75" s="12">
        <v>0</v>
      </c>
      <c r="F75" s="12">
        <v>673000</v>
      </c>
      <c r="G75" s="12">
        <f>+C75+D75+E75+F75</f>
        <v>5377000</v>
      </c>
      <c r="H75" s="4"/>
      <c r="I75" s="12">
        <v>4697000</v>
      </c>
      <c r="J75" s="12"/>
      <c r="K75" s="12"/>
      <c r="L75" s="32">
        <f>SUM(J75:K75)</f>
        <v>0</v>
      </c>
      <c r="M75" s="32">
        <f>+I75+L75</f>
        <v>4697000</v>
      </c>
      <c r="N75" s="12">
        <f>ROUND(M75*$N$14,0)</f>
        <v>-22358</v>
      </c>
      <c r="O75" s="12">
        <f>+M75+N75</f>
        <v>4674642</v>
      </c>
      <c r="P75" s="12"/>
      <c r="Q75" s="12">
        <f>ROUND(O75*$Q$14,0)</f>
        <v>-46746</v>
      </c>
      <c r="R75" s="12"/>
      <c r="S75" s="12"/>
      <c r="U75" s="12">
        <f>SUM(O75:S75)</f>
        <v>4627896</v>
      </c>
      <c r="V75" s="12">
        <f>+U75</f>
        <v>4627896</v>
      </c>
      <c r="W75" s="2"/>
      <c r="X75" s="2"/>
      <c r="Y75" s="12">
        <f>SUM(V75:X75)</f>
        <v>4627896</v>
      </c>
      <c r="Z75" s="12"/>
    </row>
    <row r="76" spans="1:26" ht="14.25">
      <c r="A76" s="12"/>
      <c r="B76" s="12"/>
      <c r="C76" s="12"/>
      <c r="D76" s="12"/>
      <c r="E76" s="12"/>
      <c r="F76" s="12"/>
      <c r="G76" s="12"/>
      <c r="H76" s="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U76" s="2"/>
      <c r="V76" s="2"/>
      <c r="W76" s="2"/>
      <c r="X76" s="2"/>
      <c r="Y76" s="2"/>
      <c r="Z76" s="12"/>
    </row>
    <row r="77" spans="1:26" ht="14.25">
      <c r="A77" s="16" t="s">
        <v>18</v>
      </c>
      <c r="B77" s="12"/>
      <c r="C77" s="11">
        <f>SUM(C73:C75)</f>
        <v>44373000</v>
      </c>
      <c r="D77" s="11">
        <f>SUM(D73:D75)</f>
        <v>475000</v>
      </c>
      <c r="E77" s="11">
        <f>SUM(E73:E75)</f>
        <v>0</v>
      </c>
      <c r="F77" s="11">
        <f>SUM(F73:F75)</f>
        <v>2919000</v>
      </c>
      <c r="G77" s="11">
        <f>SUM(G73:G75)</f>
        <v>47767000</v>
      </c>
      <c r="H77" s="3"/>
      <c r="I77" s="11">
        <f>SUM(I73:I75)</f>
        <v>47087000</v>
      </c>
      <c r="J77" s="11">
        <f>SUM(J73:J75)</f>
        <v>0</v>
      </c>
      <c r="K77" s="11">
        <f>SUM(K73:K75)</f>
        <v>0</v>
      </c>
      <c r="L77" s="11">
        <f>SUM(L73:L75)</f>
        <v>0</v>
      </c>
      <c r="M77" s="11">
        <f>SUM(M73:M75)</f>
        <v>47087000</v>
      </c>
      <c r="N77" s="11">
        <f aca="true" t="shared" si="20" ref="N77:Y77">SUM(N73:N75)</f>
        <v>-224134</v>
      </c>
      <c r="O77" s="11">
        <f t="shared" si="20"/>
        <v>46862866</v>
      </c>
      <c r="P77" s="11"/>
      <c r="Q77" s="11">
        <f>SUM(Q73:Q75)</f>
        <v>-468629</v>
      </c>
      <c r="R77" s="11">
        <f>SUM(R73:R75)</f>
        <v>0</v>
      </c>
      <c r="S77" s="11">
        <f>SUM(S73:S75)</f>
        <v>0</v>
      </c>
      <c r="U77" s="11">
        <f t="shared" si="20"/>
        <v>46394237</v>
      </c>
      <c r="V77" s="11">
        <f t="shared" si="20"/>
        <v>46394237</v>
      </c>
      <c r="W77" s="11">
        <f t="shared" si="20"/>
        <v>0</v>
      </c>
      <c r="X77" s="11">
        <f t="shared" si="20"/>
        <v>0</v>
      </c>
      <c r="Y77" s="11">
        <f t="shared" si="20"/>
        <v>46394237</v>
      </c>
      <c r="Z77" s="11">
        <f>SUM(Z73:Z75)</f>
        <v>0</v>
      </c>
    </row>
    <row r="78" spans="1:26" ht="15" thickBot="1">
      <c r="A78" s="17"/>
      <c r="B78" s="17"/>
      <c r="C78" s="17"/>
      <c r="D78" s="17"/>
      <c r="E78" s="17"/>
      <c r="F78" s="17"/>
      <c r="G78" s="17"/>
      <c r="H78" s="7"/>
      <c r="I78" s="17"/>
      <c r="J78" s="54"/>
      <c r="K78" s="54"/>
      <c r="L78" s="54"/>
      <c r="M78" s="54"/>
      <c r="N78" s="51">
        <f>ROUND($N$14*I77,2)</f>
        <v>-224134.12</v>
      </c>
      <c r="O78" s="17"/>
      <c r="P78" s="54"/>
      <c r="Q78" s="42">
        <f>ROUND(O77*$Q$14,0)</f>
        <v>-468629</v>
      </c>
      <c r="R78" s="54"/>
      <c r="S78" s="54"/>
      <c r="T78" s="40"/>
      <c r="U78" s="47"/>
      <c r="V78" s="47"/>
      <c r="W78" s="47"/>
      <c r="X78" s="47"/>
      <c r="Y78" s="47"/>
      <c r="Z78" s="54"/>
    </row>
    <row r="79" spans="1:26" ht="15" thickTop="1">
      <c r="A79" s="12"/>
      <c r="B79" s="12"/>
      <c r="C79" s="12"/>
      <c r="D79" s="12"/>
      <c r="E79" s="12"/>
      <c r="F79" s="12"/>
      <c r="G79" s="12"/>
      <c r="H79" s="6"/>
      <c r="I79" s="15"/>
      <c r="J79" s="12"/>
      <c r="K79" s="12"/>
      <c r="L79" s="12"/>
      <c r="M79" s="12"/>
      <c r="N79" s="15"/>
      <c r="O79" s="15"/>
      <c r="P79" s="15"/>
      <c r="Q79" s="12"/>
      <c r="R79" s="12"/>
      <c r="S79" s="12"/>
      <c r="U79" s="2"/>
      <c r="V79" s="2"/>
      <c r="W79" s="2"/>
      <c r="X79" s="2"/>
      <c r="Y79" s="2"/>
      <c r="Z79" s="12"/>
    </row>
    <row r="80" spans="1:26" ht="14.25">
      <c r="A80" s="14" t="s">
        <v>52</v>
      </c>
      <c r="B80" s="12"/>
      <c r="C80" s="12"/>
      <c r="D80" s="12"/>
      <c r="E80" s="12"/>
      <c r="F80" s="12"/>
      <c r="G80" s="12"/>
      <c r="H80" s="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U80" s="2"/>
      <c r="V80" s="2"/>
      <c r="W80" s="2"/>
      <c r="X80" s="2"/>
      <c r="Y80" s="2"/>
      <c r="Z80" s="12"/>
    </row>
    <row r="81" spans="1:26" ht="14.25">
      <c r="A81" s="12" t="s">
        <v>53</v>
      </c>
      <c r="B81" s="12"/>
      <c r="C81" s="15">
        <v>64636000</v>
      </c>
      <c r="D81" s="12">
        <v>582000</v>
      </c>
      <c r="E81" s="12">
        <v>0</v>
      </c>
      <c r="F81" s="12">
        <v>6171000</v>
      </c>
      <c r="G81" s="12">
        <f>+C81+D81+E81+F81</f>
        <v>71389000</v>
      </c>
      <c r="H81" s="4"/>
      <c r="I81" s="12">
        <v>69389000</v>
      </c>
      <c r="J81" s="12"/>
      <c r="K81" s="12"/>
      <c r="L81" s="32">
        <f>SUM(J81:K81)</f>
        <v>0</v>
      </c>
      <c r="M81" s="32">
        <f>+I81+L81</f>
        <v>69389000</v>
      </c>
      <c r="N81" s="12">
        <f>ROUND(M81*$N$14,0)</f>
        <v>-330292</v>
      </c>
      <c r="O81" s="12">
        <f>+M81+N81</f>
        <v>69058708</v>
      </c>
      <c r="P81" s="12"/>
      <c r="Q81" s="12">
        <f>ROUND(O81*$Q$14,0)</f>
        <v>-690587</v>
      </c>
      <c r="R81" s="12"/>
      <c r="S81" s="12"/>
      <c r="U81" s="12">
        <f>SUM(O81:S81)</f>
        <v>68368121</v>
      </c>
      <c r="V81" s="12">
        <f>+U81</f>
        <v>68368121</v>
      </c>
      <c r="W81" s="12"/>
      <c r="X81" s="12"/>
      <c r="Y81" s="12">
        <f>SUM(V81:X81)</f>
        <v>68368121</v>
      </c>
      <c r="Z81" s="12"/>
    </row>
    <row r="82" spans="1:26" ht="14.25">
      <c r="A82" s="12" t="s">
        <v>54</v>
      </c>
      <c r="B82" s="12"/>
      <c r="C82" s="15">
        <v>948000</v>
      </c>
      <c r="D82" s="12">
        <v>0</v>
      </c>
      <c r="E82" s="12">
        <v>0</v>
      </c>
      <c r="F82" s="12">
        <v>0</v>
      </c>
      <c r="G82" s="12">
        <f>+C82+D82+E82+F82</f>
        <v>948000</v>
      </c>
      <c r="H82" s="4"/>
      <c r="I82" s="12">
        <v>948000</v>
      </c>
      <c r="J82" s="12"/>
      <c r="K82" s="12"/>
      <c r="L82" s="32">
        <f>SUM(J82:K82)</f>
        <v>0</v>
      </c>
      <c r="M82" s="32">
        <f>+I82+L82</f>
        <v>948000</v>
      </c>
      <c r="N82" s="12">
        <f>ROUND(M82*$N$14,0)</f>
        <v>-4512</v>
      </c>
      <c r="O82" s="12">
        <f>+M82+N82</f>
        <v>943488</v>
      </c>
      <c r="P82" s="12"/>
      <c r="Q82" s="12">
        <f>ROUND(O82*$Q$14,0)</f>
        <v>-9435</v>
      </c>
      <c r="R82" s="12"/>
      <c r="S82" s="12"/>
      <c r="U82" s="12">
        <f>SUM(O82:S82)</f>
        <v>934053</v>
      </c>
      <c r="V82" s="12">
        <f>+U82</f>
        <v>934053</v>
      </c>
      <c r="W82" s="12"/>
      <c r="X82" s="12"/>
      <c r="Y82" s="12">
        <f>SUM(V82:X82)</f>
        <v>934053</v>
      </c>
      <c r="Z82" s="12"/>
    </row>
    <row r="83" spans="1:26" ht="14.25">
      <c r="A83" s="12"/>
      <c r="B83" s="12"/>
      <c r="C83" s="12"/>
      <c r="D83" s="12"/>
      <c r="E83" s="12"/>
      <c r="F83" s="12"/>
      <c r="G83" s="12"/>
      <c r="H83" s="4"/>
      <c r="I83" s="12"/>
      <c r="J83" s="43"/>
      <c r="K83" s="43"/>
      <c r="L83" s="43"/>
      <c r="M83" s="43"/>
      <c r="N83" s="12"/>
      <c r="O83" s="12"/>
      <c r="P83" s="12"/>
      <c r="Q83" s="43"/>
      <c r="R83" s="43"/>
      <c r="S83" s="43"/>
      <c r="T83" s="36"/>
      <c r="U83" s="43"/>
      <c r="V83" s="43"/>
      <c r="W83" s="43"/>
      <c r="X83" s="43"/>
      <c r="Y83" s="43"/>
      <c r="Z83" s="43"/>
    </row>
    <row r="84" spans="1:26" ht="14.25">
      <c r="A84" s="16" t="s">
        <v>18</v>
      </c>
      <c r="B84" s="12"/>
      <c r="C84" s="11">
        <f>SUM(C81:C82)</f>
        <v>65584000</v>
      </c>
      <c r="D84" s="11">
        <f>SUM(D81:D82)</f>
        <v>582000</v>
      </c>
      <c r="E84" s="11">
        <f>SUM(E81:E82)</f>
        <v>0</v>
      </c>
      <c r="F84" s="11">
        <f>SUM(F81:F82)</f>
        <v>6171000</v>
      </c>
      <c r="G84" s="11">
        <f>SUM(G81:G82)</f>
        <v>72337000</v>
      </c>
      <c r="H84" s="3"/>
      <c r="I84" s="11">
        <f>SUM(I81:I82)</f>
        <v>70337000</v>
      </c>
      <c r="J84" s="43">
        <f>+J81+J82</f>
        <v>0</v>
      </c>
      <c r="K84" s="43">
        <f>+K81+K82</f>
        <v>0</v>
      </c>
      <c r="L84" s="43">
        <f>+L81+L82</f>
        <v>0</v>
      </c>
      <c r="M84" s="43">
        <f>+M81+M82</f>
        <v>70337000</v>
      </c>
      <c r="N84" s="11">
        <f>SUM(N81:N82)</f>
        <v>-334804</v>
      </c>
      <c r="O84" s="11">
        <f>SUM(O81:O82)</f>
        <v>70002196</v>
      </c>
      <c r="P84" s="11"/>
      <c r="Q84" s="43">
        <f>+Q81+Q82</f>
        <v>-700022</v>
      </c>
      <c r="R84" s="43">
        <f>+R81+R82</f>
        <v>0</v>
      </c>
      <c r="S84" s="43">
        <f>+S81+S82</f>
        <v>0</v>
      </c>
      <c r="T84" s="36"/>
      <c r="U84" s="43">
        <f aca="true" t="shared" si="21" ref="U84:Z84">+U81+U82</f>
        <v>69302174</v>
      </c>
      <c r="V84" s="43">
        <f t="shared" si="21"/>
        <v>69302174</v>
      </c>
      <c r="W84" s="43">
        <f t="shared" si="21"/>
        <v>0</v>
      </c>
      <c r="X84" s="43">
        <f t="shared" si="21"/>
        <v>0</v>
      </c>
      <c r="Y84" s="43">
        <f t="shared" si="21"/>
        <v>69302174</v>
      </c>
      <c r="Z84" s="43">
        <f t="shared" si="21"/>
        <v>0</v>
      </c>
    </row>
    <row r="85" spans="1:26" ht="15" thickBot="1">
      <c r="A85" s="17"/>
      <c r="B85" s="17"/>
      <c r="C85" s="18"/>
      <c r="D85" s="17"/>
      <c r="E85" s="17"/>
      <c r="F85" s="17"/>
      <c r="G85" s="17"/>
      <c r="H85" s="7"/>
      <c r="I85" s="17"/>
      <c r="J85" s="42"/>
      <c r="K85" s="42"/>
      <c r="L85" s="42"/>
      <c r="M85" s="42"/>
      <c r="N85" s="51">
        <f>ROUND($N$14*I84,2)</f>
        <v>-334804.12</v>
      </c>
      <c r="O85" s="17"/>
      <c r="P85" s="17"/>
      <c r="Q85" s="42">
        <f>ROUND(O84*$Q$14,0)</f>
        <v>-700022</v>
      </c>
      <c r="R85" s="42"/>
      <c r="S85" s="42"/>
      <c r="T85" s="35"/>
      <c r="U85" s="42"/>
      <c r="V85" s="42"/>
      <c r="W85" s="42"/>
      <c r="X85" s="42"/>
      <c r="Y85" s="42"/>
      <c r="Z85" s="42"/>
    </row>
    <row r="86" spans="1:26" ht="15" thickTop="1">
      <c r="A86" s="12"/>
      <c r="B86" s="12"/>
      <c r="C86" s="12"/>
      <c r="D86" s="12"/>
      <c r="E86" s="12"/>
      <c r="F86" s="12"/>
      <c r="G86" s="12"/>
      <c r="H86" s="4"/>
      <c r="I86" s="12"/>
      <c r="J86" s="43"/>
      <c r="K86" s="43"/>
      <c r="L86" s="43"/>
      <c r="M86" s="43"/>
      <c r="N86" s="12"/>
      <c r="O86" s="12"/>
      <c r="P86" s="12"/>
      <c r="Q86" s="43"/>
      <c r="R86" s="43"/>
      <c r="S86" s="43"/>
      <c r="T86" s="36"/>
      <c r="U86" s="43"/>
      <c r="V86" s="43"/>
      <c r="W86" s="43"/>
      <c r="X86" s="43"/>
      <c r="Y86" s="43"/>
      <c r="Z86" s="43"/>
    </row>
    <row r="87" spans="1:26" ht="14.25">
      <c r="A87" s="14" t="s">
        <v>55</v>
      </c>
      <c r="B87" s="12"/>
      <c r="C87" s="12"/>
      <c r="D87" s="12"/>
      <c r="E87" s="12"/>
      <c r="F87" s="12"/>
      <c r="G87" s="12"/>
      <c r="H87" s="4"/>
      <c r="I87" s="12"/>
      <c r="J87" s="24"/>
      <c r="K87" s="24"/>
      <c r="L87" s="24"/>
      <c r="M87" s="24"/>
      <c r="N87" s="12"/>
      <c r="O87" s="12"/>
      <c r="P87" s="12"/>
      <c r="Q87" s="24"/>
      <c r="R87" s="24"/>
      <c r="S87" s="24"/>
      <c r="T87" s="37"/>
      <c r="U87" s="24"/>
      <c r="V87" s="24"/>
      <c r="W87" s="24"/>
      <c r="X87" s="24"/>
      <c r="Y87" s="24"/>
      <c r="Z87" s="24"/>
    </row>
    <row r="88" spans="1:26" ht="14.25">
      <c r="A88" s="12" t="s">
        <v>56</v>
      </c>
      <c r="B88" s="12"/>
      <c r="C88" s="15">
        <v>71367000</v>
      </c>
      <c r="D88" s="12">
        <v>1509000</v>
      </c>
      <c r="E88" s="12">
        <v>0</v>
      </c>
      <c r="F88" s="12">
        <v>-1471000</v>
      </c>
      <c r="G88" s="12">
        <f>+C88+D88+E88+F88</f>
        <v>71405000</v>
      </c>
      <c r="H88" s="4"/>
      <c r="I88" s="12">
        <v>72877000</v>
      </c>
      <c r="J88" s="12"/>
      <c r="K88" s="12"/>
      <c r="L88" s="32">
        <f>SUM(J88:K88)</f>
        <v>0</v>
      </c>
      <c r="M88" s="32">
        <f>+I88+L88</f>
        <v>72877000</v>
      </c>
      <c r="N88" s="12">
        <f>ROUND(M88*$N$14,0)</f>
        <v>-346895</v>
      </c>
      <c r="O88" s="12">
        <f>+M88+N88</f>
        <v>72530105</v>
      </c>
      <c r="P88" s="12"/>
      <c r="Q88" s="12">
        <f>ROUND(O88*$Q$14,0)</f>
        <v>-725301</v>
      </c>
      <c r="R88" s="12"/>
      <c r="S88" s="12"/>
      <c r="U88" s="12">
        <f>SUM(O88:S88)</f>
        <v>71804804</v>
      </c>
      <c r="V88" s="12">
        <f>+U88</f>
        <v>71804804</v>
      </c>
      <c r="W88" s="12"/>
      <c r="X88" s="12"/>
      <c r="Y88" s="12">
        <f>SUM(V88:X88)</f>
        <v>71804804</v>
      </c>
      <c r="Z88" s="12"/>
    </row>
    <row r="89" spans="1:26" ht="14.25">
      <c r="A89" s="12" t="s">
        <v>57</v>
      </c>
      <c r="B89" s="12"/>
      <c r="C89" s="15">
        <v>19820000</v>
      </c>
      <c r="D89" s="12">
        <v>77000</v>
      </c>
      <c r="E89" s="12">
        <v>0</v>
      </c>
      <c r="F89" s="12">
        <v>0</v>
      </c>
      <c r="G89" s="12">
        <f>+C89+D89+E89+F89</f>
        <v>19897000</v>
      </c>
      <c r="H89" s="4"/>
      <c r="I89" s="12">
        <v>19897000</v>
      </c>
      <c r="J89" s="12"/>
      <c r="K89" s="12"/>
      <c r="L89" s="32">
        <f>SUM(J89:K89)</f>
        <v>0</v>
      </c>
      <c r="M89" s="32">
        <f>+I89+L89</f>
        <v>19897000</v>
      </c>
      <c r="N89" s="12">
        <f>ROUND(M89*$N$14,0)</f>
        <v>-94710</v>
      </c>
      <c r="O89" s="12">
        <f>+M89+N89</f>
        <v>19802290</v>
      </c>
      <c r="P89" s="12"/>
      <c r="Q89" s="12">
        <f>ROUND(O89*$Q$14,0)</f>
        <v>-198023</v>
      </c>
      <c r="R89" s="12"/>
      <c r="S89" s="12"/>
      <c r="U89" s="12">
        <f>SUM(O89:S89)</f>
        <v>19604267</v>
      </c>
      <c r="V89" s="12"/>
      <c r="W89" s="12">
        <f>+U89</f>
        <v>19604267</v>
      </c>
      <c r="X89" s="12"/>
      <c r="Y89" s="12">
        <f>SUM(V89:X89)</f>
        <v>19604267</v>
      </c>
      <c r="Z89" s="12"/>
    </row>
    <row r="90" spans="1:26" ht="14.25">
      <c r="A90" s="12" t="s">
        <v>58</v>
      </c>
      <c r="B90" s="12"/>
      <c r="C90" s="15">
        <v>3424000</v>
      </c>
      <c r="D90" s="12">
        <v>0</v>
      </c>
      <c r="E90" s="12">
        <v>0</v>
      </c>
      <c r="F90" s="12">
        <v>0</v>
      </c>
      <c r="G90" s="12">
        <f>+C90+D90+E90+F90</f>
        <v>3424000</v>
      </c>
      <c r="H90" s="4"/>
      <c r="I90" s="12">
        <v>3423000</v>
      </c>
      <c r="J90" s="12"/>
      <c r="K90" s="12"/>
      <c r="L90" s="32">
        <f>SUM(J90:K90)</f>
        <v>0</v>
      </c>
      <c r="M90" s="32">
        <f>+I90+L90</f>
        <v>3423000</v>
      </c>
      <c r="N90" s="12">
        <f>ROUND(M90*$N$14,0)</f>
        <v>-16293</v>
      </c>
      <c r="O90" s="12">
        <f>+M90+N90</f>
        <v>3406707</v>
      </c>
      <c r="P90" s="12"/>
      <c r="Q90" s="12">
        <f>ROUND(O90*$Q$14,0)</f>
        <v>-34067</v>
      </c>
      <c r="R90" s="12"/>
      <c r="S90" s="12"/>
      <c r="U90" s="12">
        <f>SUM(O90:S90)</f>
        <v>3372640</v>
      </c>
      <c r="V90" s="12"/>
      <c r="W90" s="12">
        <f>+U90-X90</f>
        <v>1796180</v>
      </c>
      <c r="X90" s="12">
        <f>1600000-7616-15924</f>
        <v>1576460</v>
      </c>
      <c r="Y90" s="12">
        <f>SUM(V90:X90)</f>
        <v>3372640</v>
      </c>
      <c r="Z90" s="12"/>
    </row>
    <row r="91" spans="1:26" ht="14.25">
      <c r="A91" s="12"/>
      <c r="B91" s="12"/>
      <c r="C91" s="12"/>
      <c r="D91" s="12"/>
      <c r="E91" s="12"/>
      <c r="F91" s="12"/>
      <c r="G91" s="12"/>
      <c r="H91" s="4"/>
      <c r="I91" s="12"/>
      <c r="J91" s="24"/>
      <c r="K91" s="24"/>
      <c r="L91" s="24"/>
      <c r="M91" s="24"/>
      <c r="N91" s="12"/>
      <c r="O91" s="12"/>
      <c r="P91" s="12"/>
      <c r="Q91" s="24"/>
      <c r="R91" s="24"/>
      <c r="S91" s="24"/>
      <c r="T91" s="37"/>
      <c r="U91" s="24"/>
      <c r="V91" s="24"/>
      <c r="W91" s="24"/>
      <c r="X91" s="24"/>
      <c r="Y91" s="24"/>
      <c r="Z91" s="24"/>
    </row>
    <row r="92" spans="1:26" ht="14.25">
      <c r="A92" s="16" t="s">
        <v>18</v>
      </c>
      <c r="B92" s="12"/>
      <c r="C92" s="11">
        <f>C88+C89+C90</f>
        <v>94611000</v>
      </c>
      <c r="D92" s="11">
        <f>D88+D89+D90</f>
        <v>1586000</v>
      </c>
      <c r="E92" s="11">
        <f>E88+E89+E90</f>
        <v>0</v>
      </c>
      <c r="F92" s="11">
        <f>F88+F89+F90</f>
        <v>-1471000</v>
      </c>
      <c r="G92" s="11">
        <f>G88+G89+G90</f>
        <v>94726000</v>
      </c>
      <c r="H92" s="3"/>
      <c r="I92" s="11">
        <f>I88+I89+I90</f>
        <v>96197000</v>
      </c>
      <c r="J92" s="43">
        <f>SUM(J88:J90)</f>
        <v>0</v>
      </c>
      <c r="K92" s="43">
        <f>SUM(K88:K90)</f>
        <v>0</v>
      </c>
      <c r="L92" s="43">
        <f>SUM(L88:L90)</f>
        <v>0</v>
      </c>
      <c r="M92" s="43">
        <f>SUM(M88:M90)</f>
        <v>96197000</v>
      </c>
      <c r="N92" s="11">
        <f>N88+N89+N90</f>
        <v>-457898</v>
      </c>
      <c r="O92" s="11">
        <f>O88+O89+O90</f>
        <v>95739102</v>
      </c>
      <c r="P92" s="11"/>
      <c r="Q92" s="43">
        <f>SUM(Q88:Q90)</f>
        <v>-957391</v>
      </c>
      <c r="R92" s="43">
        <f>SUM(R88:R90)</f>
        <v>0</v>
      </c>
      <c r="S92" s="43">
        <f>SUM(S88:S90)</f>
        <v>0</v>
      </c>
      <c r="T92" s="36"/>
      <c r="U92" s="43">
        <f aca="true" t="shared" si="22" ref="U92:Z92">SUM(U88:U90)</f>
        <v>94781711</v>
      </c>
      <c r="V92" s="43">
        <f t="shared" si="22"/>
        <v>71804804</v>
      </c>
      <c r="W92" s="43">
        <f t="shared" si="22"/>
        <v>21400447</v>
      </c>
      <c r="X92" s="43">
        <f t="shared" si="22"/>
        <v>1576460</v>
      </c>
      <c r="Y92" s="43">
        <f t="shared" si="22"/>
        <v>94781711</v>
      </c>
      <c r="Z92" s="43">
        <f t="shared" si="22"/>
        <v>0</v>
      </c>
    </row>
    <row r="93" spans="1:26" ht="15" thickBot="1">
      <c r="A93" s="20"/>
      <c r="B93" s="20"/>
      <c r="C93" s="13"/>
      <c r="D93" s="20"/>
      <c r="E93" s="20"/>
      <c r="F93" s="20"/>
      <c r="G93" s="20"/>
      <c r="H93" s="10"/>
      <c r="I93" s="20"/>
      <c r="J93" s="48"/>
      <c r="K93" s="48"/>
      <c r="L93" s="48"/>
      <c r="M93" s="48"/>
      <c r="N93" s="52">
        <f>ROUND($N$14*I92,2)</f>
        <v>-457897.72</v>
      </c>
      <c r="O93" s="20"/>
      <c r="P93" s="20"/>
      <c r="Q93" s="42">
        <f>ROUND(O92*$Q$14,0)</f>
        <v>-957391</v>
      </c>
      <c r="R93" s="48"/>
      <c r="S93" s="48"/>
      <c r="T93" s="39"/>
      <c r="U93" s="48"/>
      <c r="V93" s="48"/>
      <c r="W93" s="48"/>
      <c r="X93" s="48"/>
      <c r="Y93" s="48"/>
      <c r="Z93" s="48"/>
    </row>
    <row r="94" spans="1:26" ht="14.25">
      <c r="A94" s="12"/>
      <c r="B94" s="12"/>
      <c r="C94" s="12"/>
      <c r="D94" s="12"/>
      <c r="E94" s="12"/>
      <c r="F94" s="12"/>
      <c r="G94" s="12"/>
      <c r="H94" s="4"/>
      <c r="I94" s="12"/>
      <c r="J94" s="43"/>
      <c r="K94" s="43"/>
      <c r="L94" s="43"/>
      <c r="M94" s="43"/>
      <c r="N94" s="12"/>
      <c r="O94" s="12"/>
      <c r="P94" s="12"/>
      <c r="Q94" s="43"/>
      <c r="R94" s="43"/>
      <c r="S94" s="43"/>
      <c r="T94" s="36"/>
      <c r="U94" s="43"/>
      <c r="V94" s="43"/>
      <c r="W94" s="43"/>
      <c r="X94" s="43"/>
      <c r="Y94" s="43"/>
      <c r="Z94" s="43"/>
    </row>
    <row r="95" spans="1:26" ht="15">
      <c r="A95" s="30" t="s">
        <v>59</v>
      </c>
      <c r="B95" s="12"/>
      <c r="C95" s="14">
        <f>SUM(C22,C45,C61,C69,C77,C84,C92)</f>
        <v>946000000</v>
      </c>
      <c r="D95" s="14">
        <f>SUM(D22,D45,D61,D69,D77,D84,D92)</f>
        <v>17055000</v>
      </c>
      <c r="E95" s="14">
        <f>SUM(E22,E45,E61,E69,E77,E84,E92)</f>
        <v>0</v>
      </c>
      <c r="F95" s="14">
        <f>SUM(F22,F45,F61,F69,F77,F84,F92)</f>
        <v>-19004000</v>
      </c>
      <c r="G95" s="14">
        <f>SUM(G22,G45,G61,G69,G77,G84,G92)</f>
        <v>933515000</v>
      </c>
      <c r="H95" s="5"/>
      <c r="I95" s="14">
        <f aca="true" t="shared" si="23" ref="I95:O95">SUM(I22,I45,I61,I69,I77,I84,I92)</f>
        <v>976035000</v>
      </c>
      <c r="J95" s="24">
        <f t="shared" si="23"/>
        <v>2000000</v>
      </c>
      <c r="K95" s="24">
        <f t="shared" si="23"/>
        <v>-2000000</v>
      </c>
      <c r="L95" s="24">
        <f t="shared" si="23"/>
        <v>0</v>
      </c>
      <c r="M95" s="24">
        <f t="shared" si="23"/>
        <v>976035000</v>
      </c>
      <c r="N95" s="14">
        <f t="shared" si="23"/>
        <v>-4645927</v>
      </c>
      <c r="O95" s="14">
        <f t="shared" si="23"/>
        <v>971389073</v>
      </c>
      <c r="P95" s="14"/>
      <c r="Q95" s="24">
        <f>SUM(Q22,Q45,Q61,Q69,Q77,Q84,Q92)</f>
        <v>-9713891</v>
      </c>
      <c r="R95" s="24">
        <f>SUM(R22,R45,R61,R69,R77,R84,R92)</f>
        <v>3670000</v>
      </c>
      <c r="S95" s="24">
        <f>SUM(S22,S45,S61,S69,S77,S84,S92)</f>
        <v>5300000</v>
      </c>
      <c r="T95" s="37"/>
      <c r="U95" s="24">
        <f aca="true" t="shared" si="24" ref="U95:Z95">SUM(U22,U45,U61,U69,U77,U84,U92)</f>
        <v>970645182</v>
      </c>
      <c r="V95" s="24">
        <f t="shared" si="24"/>
        <v>755942205</v>
      </c>
      <c r="W95" s="24">
        <f t="shared" si="24"/>
        <v>199944216</v>
      </c>
      <c r="X95" s="24">
        <f t="shared" si="24"/>
        <v>14758761</v>
      </c>
      <c r="Y95" s="24">
        <f t="shared" si="24"/>
        <v>970645182</v>
      </c>
      <c r="Z95" s="24">
        <f t="shared" si="24"/>
        <v>0</v>
      </c>
    </row>
    <row r="96" spans="1:26" ht="12.75">
      <c r="A96" s="12"/>
      <c r="B96" s="12"/>
      <c r="C96" s="12"/>
      <c r="D96" s="12"/>
      <c r="E96" s="12"/>
      <c r="F96" s="12"/>
      <c r="G96" s="12"/>
      <c r="H96" s="12"/>
      <c r="I96" s="12"/>
      <c r="J96" s="41"/>
      <c r="K96" s="41"/>
      <c r="L96" s="41"/>
      <c r="M96" s="41"/>
      <c r="N96" s="53">
        <f>ROUND($N$14*I95,2)</f>
        <v>-4645926.6</v>
      </c>
      <c r="O96" s="12"/>
      <c r="P96" s="12"/>
      <c r="Q96" s="60">
        <f>ROUND(O95*$Q$14,2)</f>
        <v>-9713890.73</v>
      </c>
      <c r="R96" s="41"/>
      <c r="S96" s="41"/>
      <c r="T96" s="34"/>
      <c r="U96" s="41"/>
      <c r="V96" s="41"/>
      <c r="W96" s="41"/>
      <c r="X96" s="41"/>
      <c r="Y96" s="41"/>
      <c r="Z96" s="41"/>
    </row>
    <row r="97" spans="10:26" ht="12.75">
      <c r="J97" s="12"/>
      <c r="K97" s="12"/>
      <c r="L97" s="12"/>
      <c r="M97" s="12"/>
      <c r="N97" s="12"/>
      <c r="O97" s="12"/>
      <c r="P97" s="12"/>
      <c r="Q97" s="12"/>
      <c r="R97" s="12"/>
      <c r="S97" s="12"/>
      <c r="U97" s="2"/>
      <c r="V97" s="2"/>
      <c r="W97" s="2"/>
      <c r="X97" s="2"/>
      <c r="Y97" s="2"/>
      <c r="Z97" s="12"/>
    </row>
    <row r="98" spans="14:25" ht="12.75">
      <c r="N98" s="12"/>
      <c r="O98" s="12"/>
      <c r="P98" s="12"/>
      <c r="Q98" s="32"/>
      <c r="R98" s="32"/>
      <c r="S98" s="32"/>
      <c r="U98" s="2"/>
      <c r="V98" s="2"/>
      <c r="W98" s="2"/>
      <c r="X98" s="2"/>
      <c r="Y98" s="2"/>
    </row>
    <row r="99" spans="17:25" ht="12.75">
      <c r="Q99" s="32"/>
      <c r="R99" s="32"/>
      <c r="S99" s="32"/>
      <c r="U99" s="2"/>
      <c r="V99" s="2"/>
      <c r="W99" s="2"/>
      <c r="X99" s="2"/>
      <c r="Y99" s="2"/>
    </row>
    <row r="100" spans="17:25" ht="12.75">
      <c r="Q100" s="32"/>
      <c r="R100" s="32"/>
      <c r="S100" s="32"/>
      <c r="U100" s="2"/>
      <c r="V100" s="2"/>
      <c r="W100" s="2"/>
      <c r="X100" s="2"/>
      <c r="Y100" s="2"/>
    </row>
    <row r="101" spans="17:25" ht="12.75">
      <c r="Q101" s="32"/>
      <c r="R101" s="32"/>
      <c r="S101" s="32"/>
      <c r="U101" s="2"/>
      <c r="V101" s="2"/>
      <c r="W101" s="2"/>
      <c r="X101" s="2"/>
      <c r="Y101" s="2"/>
    </row>
    <row r="102" spans="17:25" ht="12.75">
      <c r="Q102" s="32"/>
      <c r="R102" s="32"/>
      <c r="S102" s="32"/>
      <c r="U102" s="2"/>
      <c r="V102" s="2"/>
      <c r="W102" s="2"/>
      <c r="X102" s="2"/>
      <c r="Y102" s="2"/>
    </row>
    <row r="103" spans="17:25" ht="12.75">
      <c r="Q103" s="32"/>
      <c r="R103" s="32"/>
      <c r="S103" s="32"/>
      <c r="U103" s="2"/>
      <c r="V103" s="2"/>
      <c r="W103" s="2"/>
      <c r="X103" s="2"/>
      <c r="Y103" s="2"/>
    </row>
    <row r="104" spans="17:25" ht="12.75">
      <c r="Q104" s="32"/>
      <c r="R104" s="32"/>
      <c r="S104" s="32"/>
      <c r="U104" s="2"/>
      <c r="V104" s="2"/>
      <c r="W104" s="2"/>
      <c r="X104" s="2"/>
      <c r="Y104" s="2"/>
    </row>
    <row r="105" spans="17:19" ht="12.75">
      <c r="Q105" s="32"/>
      <c r="R105" s="32"/>
      <c r="S105" s="32"/>
    </row>
    <row r="106" spans="17:19" ht="12.75">
      <c r="Q106" s="32"/>
      <c r="R106" s="32"/>
      <c r="S106" s="32"/>
    </row>
    <row r="107" spans="17:19" ht="12.75">
      <c r="Q107" s="32"/>
      <c r="R107" s="32"/>
      <c r="S107" s="32"/>
    </row>
    <row r="108" spans="17:19" ht="12.75">
      <c r="Q108" s="32"/>
      <c r="R108" s="32"/>
      <c r="S108" s="32"/>
    </row>
    <row r="109" spans="17:19" ht="12.75">
      <c r="Q109" s="32"/>
      <c r="R109" s="32"/>
      <c r="S109" s="32"/>
    </row>
    <row r="110" spans="17:19" ht="12.75">
      <c r="Q110" s="32"/>
      <c r="R110" s="32"/>
      <c r="S110" s="32"/>
    </row>
    <row r="111" spans="17:19" ht="12.75">
      <c r="Q111" s="32"/>
      <c r="R111" s="32"/>
      <c r="S111" s="32"/>
    </row>
    <row r="112" spans="17:19" ht="12.75">
      <c r="Q112" s="57"/>
      <c r="R112" s="57"/>
      <c r="S112" s="57"/>
    </row>
    <row r="113" spans="17:19" ht="12.75">
      <c r="Q113" s="57"/>
      <c r="R113" s="57"/>
      <c r="S113" s="57"/>
    </row>
    <row r="114" spans="17:19" ht="12.75">
      <c r="Q114" s="57"/>
      <c r="R114" s="57"/>
      <c r="S114" s="57"/>
    </row>
  </sheetData>
  <mergeCells count="6">
    <mergeCell ref="I11:O11"/>
    <mergeCell ref="A4:Y4"/>
    <mergeCell ref="A5:Y5"/>
    <mergeCell ref="A6:Y6"/>
    <mergeCell ref="A7:Y7"/>
    <mergeCell ref="Q11:S11"/>
  </mergeCells>
  <printOptions/>
  <pageMargins left="0.25" right="0.25" top="0.1" bottom="0.1" header="0.5" footer="0.5"/>
  <pageSetup horizontalDpi="600" verticalDpi="600" orientation="landscape" paperSize="5" scale="64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 Hill</dc:creator>
  <cp:keywords/>
  <dc:description/>
  <cp:lastModifiedBy>EJ McFaul</cp:lastModifiedBy>
  <cp:lastPrinted>2006-01-05T23:39:45Z</cp:lastPrinted>
  <dcterms:created xsi:type="dcterms:W3CDTF">2004-11-23T02:37:36Z</dcterms:created>
  <dcterms:modified xsi:type="dcterms:W3CDTF">2006-02-16T19:08:18Z</dcterms:modified>
  <cp:category/>
  <cp:version/>
  <cp:contentType/>
  <cp:contentStatus/>
</cp:coreProperties>
</file>