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06" windowWidth="6000" windowHeight="6630" firstSheet="1" activeTab="7"/>
  </bookViews>
  <sheets>
    <sheet name="Potato1" sheetId="1" r:id="rId1"/>
    <sheet name="Potato2" sheetId="2" r:id="rId2"/>
    <sheet name="Potato3" sheetId="3" r:id="rId3"/>
    <sheet name="Potato4" sheetId="4" r:id="rId4"/>
    <sheet name="Potato5" sheetId="5" r:id="rId5"/>
    <sheet name="Potato6" sheetId="6" r:id="rId6"/>
    <sheet name="Potato7" sheetId="7" r:id="rId7"/>
    <sheet name="Potato8"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D">'[10]tab132'!#REF!</definedName>
    <definedName name="__123Graph_BPRIC_APP" localSheetId="1" hidden="1">'[3]TAB01'!#REF!</definedName>
    <definedName name="__123Graph_BPRIC_APP" hidden="1">'[1]TAB01'!#REF!</definedName>
    <definedName name="__123Graph_CEXPORTS" localSheetId="1" hidden="1">'[4]TAB01'!#REF!</definedName>
    <definedName name="__123Graph_CEXPORTS" hidden="1">'[1]TAB01'!#REF!</definedName>
    <definedName name="__123Graph_D" localSheetId="2" hidden="1">'Potato3'!$A$1:$A$1</definedName>
    <definedName name="_3_99_PARENT_value_Sum">#REF!</definedName>
    <definedName name="_4_PARENT_value_Sum">#REF!</definedName>
    <definedName name="_5_99_prep_salad_interviewed_firms">#REF!</definedName>
    <definedName name="_5_99_TOTAL_VEG_BRANDS_value">#REF!</definedName>
    <definedName name="_5_99_TOTAL_VEG_BRANDS_value_Sum">'[6]freshveg prep sld value'!#REF!</definedName>
    <definedName name="_5_99_TOTAL_VEG_BRANDS_volume">#REF!</definedName>
    <definedName name="_9_PARENT_value_Sum">#REF!</definedName>
    <definedName name="_Fill" localSheetId="2" hidden="1">#REF!</definedName>
    <definedName name="_Fill" localSheetId="4" hidden="1">#REF!</definedName>
    <definedName name="_Fill" localSheetId="5" hidden="1">#REF!</definedName>
    <definedName name="_Fill" localSheetId="6" hidden="1">'Potato7'!$A$7:$A$14</definedName>
    <definedName name="_Fill" hidden="1">'[1]Tab26'!#REF!</definedName>
    <definedName name="_Key1" localSheetId="3" hidden="1">'Potato4'!#REF!</definedName>
    <definedName name="_Key1" hidden="1">#REF!</definedName>
    <definedName name="_Order1" localSheetId="3" hidden="1">0</definedName>
    <definedName name="_Order1" hidden="1">255</definedName>
    <definedName name="_Order2" hidden="1">0</definedName>
    <definedName name="_Parse_Out" localSheetId="3" hidden="1">'Potato4'!#REF!</definedName>
    <definedName name="_Parse_Out" hidden="1">'[2]Fresh3'!$A$34</definedName>
    <definedName name="_Regression_Int" localSheetId="1" hidden="1">1</definedName>
    <definedName name="_Regression_Out" hidden="1">'[3]TAB05'!#REF!</definedName>
    <definedName name="_Sort" localSheetId="3" hidden="1">'Potato4'!#REF!</definedName>
    <definedName name="_Sort" hidden="1">#REF!</definedName>
    <definedName name="Buyer_Type_Value_Added_Sales">#REF!</definedName>
    <definedName name="D_Arrigo_93_99_value">#REF!</definedName>
    <definedName name="data">#REF!</definedName>
    <definedName name="Database_MI">'[1]Tab17'!#REF!</definedName>
    <definedName name="Dole_93_94_value">#REF!</definedName>
    <definedName name="Dole_95_99_value">#REF!</definedName>
    <definedName name="Fresh_Express_93_94_value">#REF!</definedName>
    <definedName name="Fresh_Express_94">#REF!</definedName>
    <definedName name="Fresh_Express_95_99_value">#REF!</definedName>
    <definedName name="GVE_93_99_value">#REF!</definedName>
    <definedName name="Mann_93_99_value">#REF!</definedName>
    <definedName name="Misionero_93_99_value">#REF!</definedName>
    <definedName name="New_Star_93_99_value">#REF!</definedName>
    <definedName name="Nunes_93_99_value">#REF!</definedName>
    <definedName name="_xlnm.Print_Area" localSheetId="5">'Potato6'!$A$1:$P$82</definedName>
    <definedName name="Print_Area_MI" localSheetId="1">'Potato2'!$A$1:$N$68</definedName>
    <definedName name="Print_Area_MI" localSheetId="5">'Potato6'!$R$5:$W$60</definedName>
    <definedName name="Print_Area_MI">#REF!</definedName>
    <definedName name="Query2">'[7]fees table for fresh cut firms '!$A$1:$Q$39</definedName>
    <definedName name="Ready_Pac_93_94_value">#REF!</definedName>
    <definedName name="Ready_Pac_95_99_value">#REF!</definedName>
    <definedName name="River_Ranch_93_94_value">#REF!</definedName>
    <definedName name="River_Ranch_95_99_value">#REF!</definedName>
    <definedName name="sales_page_5">#REF!</definedName>
    <definedName name="Table_Buyer_Type_Value_Added_Sales">#REF!</definedName>
    <definedName name="Table_BuyerTyoe_lettuce">#REF!</definedName>
    <definedName name="Table_BuyerTyoe_Tom_sales_page_5">#REF!</definedName>
    <definedName name="Table_Fees_Page_9">'[7]modified fees table'!$A$1:$Q$79</definedName>
    <definedName name="Table_FeeTypes">#REF!</definedName>
    <definedName name="Table_Page_6_1994">'[8]sales arrangements 1994'!#REF!</definedName>
    <definedName name="Table_Page_6_1999">#REF!</definedName>
    <definedName name="Value_Added">#REF!</definedName>
  </definedNames>
  <calcPr fullCalcOnLoad="1"/>
</workbook>
</file>

<file path=xl/sharedStrings.xml><?xml version="1.0" encoding="utf-8"?>
<sst xmlns="http://schemas.openxmlformats.org/spreadsheetml/2006/main" count="354" uniqueCount="193">
  <si>
    <t>Harvested acres</t>
  </si>
  <si>
    <t>Yield per acre</t>
  </si>
  <si>
    <t>Production</t>
  </si>
  <si>
    <t>Season</t>
  </si>
  <si>
    <t>--1,000 acres--</t>
  </si>
  <si>
    <t>--Cwt--</t>
  </si>
  <si>
    <t xml:space="preserve"> -- Thousand cwt --</t>
  </si>
  <si>
    <t>Winter</t>
  </si>
  <si>
    <t>Spring</t>
  </si>
  <si>
    <t>Summer</t>
  </si>
  <si>
    <t>Fall</t>
  </si>
  <si>
    <t xml:space="preserve"> </t>
  </si>
  <si>
    <t xml:space="preserve">  Total</t>
  </si>
  <si>
    <t xml:space="preserve"> Source: National Agricultural Statistics Service, USDA.</t>
  </si>
  <si>
    <t>Year</t>
  </si>
  <si>
    <t>Jan.</t>
  </si>
  <si>
    <t>Feb.</t>
  </si>
  <si>
    <t>Mar.</t>
  </si>
  <si>
    <t>Apr.</t>
  </si>
  <si>
    <t>May</t>
  </si>
  <si>
    <t>June</t>
  </si>
  <si>
    <t>July</t>
  </si>
  <si>
    <t>Aug.</t>
  </si>
  <si>
    <t>Sep.</t>
  </si>
  <si>
    <t>Oct.</t>
  </si>
  <si>
    <t>Nov.</t>
  </si>
  <si>
    <t>Dec.</t>
  </si>
  <si>
    <t xml:space="preserve">  Annual</t>
  </si>
  <si>
    <t xml:space="preserve">                  --1,000 cwt--</t>
  </si>
  <si>
    <t>Table potatoes:</t>
  </si>
  <si>
    <t xml:space="preserve">1988  </t>
  </si>
  <si>
    <t xml:space="preserve">1989  </t>
  </si>
  <si>
    <t xml:space="preserve">1990  </t>
  </si>
  <si>
    <t xml:space="preserve">1991  </t>
  </si>
  <si>
    <t xml:space="preserve">1992  </t>
  </si>
  <si>
    <t xml:space="preserve">1993  </t>
  </si>
  <si>
    <t xml:space="preserve">1994  </t>
  </si>
  <si>
    <t xml:space="preserve">1995  </t>
  </si>
  <si>
    <t>1998</t>
  </si>
  <si>
    <t xml:space="preserve">1999  </t>
  </si>
  <si>
    <t xml:space="preserve">2000  </t>
  </si>
  <si>
    <t>2001p</t>
  </si>
  <si>
    <t>Chipping potatoes:</t>
  </si>
  <si>
    <t xml:space="preserve">1998  </t>
  </si>
  <si>
    <t>Seed potatoes:</t>
  </si>
  <si>
    <t xml:space="preserve">1998 </t>
  </si>
  <si>
    <t>All potatoes:</t>
  </si>
  <si>
    <t xml:space="preserve">1999 </t>
  </si>
  <si>
    <t xml:space="preserve">2001p  </t>
  </si>
  <si>
    <t xml:space="preserve"> p = Preliminary estimates based on weekly data.  1/ Reflects shipments from U.S. sources only.</t>
  </si>
  <si>
    <t xml:space="preserve"> Source: Agricultural Marketing Service, USDA.   </t>
  </si>
  <si>
    <t xml:space="preserve">    July</t>
  </si>
  <si>
    <t xml:space="preserve">    Oct.</t>
  </si>
  <si>
    <t xml:space="preserve">     State</t>
  </si>
  <si>
    <t xml:space="preserve">     --Million dollars--</t>
  </si>
  <si>
    <t>Idaho</t>
  </si>
  <si>
    <t>Washington</t>
  </si>
  <si>
    <t>California</t>
  </si>
  <si>
    <t>Wisconsin</t>
  </si>
  <si>
    <t>Oregon</t>
  </si>
  <si>
    <t>North Dakota</t>
  </si>
  <si>
    <t>Maine</t>
  </si>
  <si>
    <t>Minnesota</t>
  </si>
  <si>
    <t>Michigan</t>
  </si>
  <si>
    <t>Florida</t>
  </si>
  <si>
    <t>Colorado</t>
  </si>
  <si>
    <t>All others</t>
  </si>
  <si>
    <t xml:space="preserve"> Total</t>
  </si>
  <si>
    <t xml:space="preserve"> Source: Economic Research Service, USDA.</t>
  </si>
  <si>
    <t xml:space="preserve"> Apr.</t>
  </si>
  <si>
    <t xml:space="preserve"> Aug.</t>
  </si>
  <si>
    <t>Annual</t>
  </si>
  <si>
    <t>average</t>
  </si>
  <si>
    <t xml:space="preserve">         --1982-84=100--</t>
  </si>
  <si>
    <t>1986</t>
  </si>
  <si>
    <t>1987</t>
  </si>
  <si>
    <t>1988</t>
  </si>
  <si>
    <t>1989</t>
  </si>
  <si>
    <t>1990</t>
  </si>
  <si>
    <t>1991</t>
  </si>
  <si>
    <t>1992</t>
  </si>
  <si>
    <t>1993</t>
  </si>
  <si>
    <t>1994</t>
  </si>
  <si>
    <t>1995</t>
  </si>
  <si>
    <t xml:space="preserve"> Source: Bureau of Labor Statistics, U.S. Department of Labor.</t>
  </si>
  <si>
    <t>Processing uses</t>
  </si>
  <si>
    <t>Crop</t>
  </si>
  <si>
    <t>Table</t>
  </si>
  <si>
    <t>Chips and</t>
  </si>
  <si>
    <t>Dehy-</t>
  </si>
  <si>
    <t>Frozen</t>
  </si>
  <si>
    <t>Other</t>
  </si>
  <si>
    <t>Canned</t>
  </si>
  <si>
    <t>Starch, flour</t>
  </si>
  <si>
    <t>Non-sales</t>
  </si>
  <si>
    <t>year 1/</t>
  </si>
  <si>
    <t>stock</t>
  </si>
  <si>
    <t>Total</t>
  </si>
  <si>
    <t>shoestring</t>
  </si>
  <si>
    <t>drated</t>
  </si>
  <si>
    <t>french fries</t>
  </si>
  <si>
    <t>frozen</t>
  </si>
  <si>
    <t>products</t>
  </si>
  <si>
    <t>and other</t>
  </si>
  <si>
    <t>sales 2/</t>
  </si>
  <si>
    <t>uses 3/</t>
  </si>
  <si>
    <t xml:space="preserve">             -- 1,000 cwt --</t>
  </si>
  <si>
    <t>2000 f</t>
  </si>
  <si>
    <t xml:space="preserve"> 1/ Crop year begins September 1 and ends August 31.  The year stated begins crop year.    2/ Includes livestock feed and seed.   3/ Includes shrink and loss</t>
  </si>
  <si>
    <t xml:space="preserve">  and various on-farm uses such as feed and seed.  F = ERS forecast.</t>
  </si>
  <si>
    <t xml:space="preserve">   Season</t>
  </si>
  <si>
    <t xml:space="preserve">    Jan.</t>
  </si>
  <si>
    <t xml:space="preserve">    Feb.</t>
  </si>
  <si>
    <t xml:space="preserve">    Mar.</t>
  </si>
  <si>
    <t xml:space="preserve">     Apr.</t>
  </si>
  <si>
    <t xml:space="preserve">     May</t>
  </si>
  <si>
    <t xml:space="preserve">    June</t>
  </si>
  <si>
    <t xml:space="preserve">    Aug.</t>
  </si>
  <si>
    <t xml:space="preserve">    Sep.</t>
  </si>
  <si>
    <t xml:space="preserve">    Nov.</t>
  </si>
  <si>
    <t xml:space="preserve">    Dec.</t>
  </si>
  <si>
    <t xml:space="preserve">          -- Dollars per cwt --    </t>
  </si>
  <si>
    <t>Table stock:</t>
  </si>
  <si>
    <t xml:space="preserve"> 1984</t>
  </si>
  <si>
    <t xml:space="preserve">          --</t>
  </si>
  <si>
    <t xml:space="preserve"> 1985</t>
  </si>
  <si>
    <t xml:space="preserve"> 1986</t>
  </si>
  <si>
    <t xml:space="preserve"> 1987</t>
  </si>
  <si>
    <t xml:space="preserve"> 1988</t>
  </si>
  <si>
    <t xml:space="preserve"> 1989</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</si>
  <si>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</si>
  <si>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</si>
  <si>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</si>
  <si>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</si>
  <si>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</si>
  <si>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</si>
  <si>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</si>
  <si>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</si>
  <si>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</si>
  <si>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</si>
  <si>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 p</t>
  </si>
  <si>
    <t xml:space="preserve"> 2001 p</t>
  </si>
  <si>
    <t>Processing:</t>
  </si>
  <si>
    <t>All uses: 2/</t>
  </si>
  <si>
    <t xml:space="preserve"> 1979</t>
  </si>
  <si>
    <t xml:space="preserve"> 1980</t>
  </si>
  <si>
    <t xml:space="preserve"> 1981</t>
  </si>
  <si>
    <t xml:space="preserve"> 1982</t>
  </si>
  <si>
    <t xml:space="preserve"> 1983</t>
  </si>
  <si>
    <t xml:space="preserve"> p = Preliminary.   -- = Not available.  1/  Data for fresh and processing not broken out prior to 1984.   2/ Average price received by growers for all potatoes.</t>
  </si>
  <si>
    <t xml:space="preserve">      Annual</t>
  </si>
  <si>
    <t xml:space="preserve">         -- Dollars per pound --</t>
  </si>
  <si>
    <t xml:space="preserve">Fresh: 1/  </t>
  </si>
  <si>
    <t xml:space="preserve">        --</t>
  </si>
  <si>
    <t xml:space="preserve">Frozen: 2/  </t>
  </si>
  <si>
    <t xml:space="preserve">Chips: </t>
  </si>
  <si>
    <t xml:space="preserve">-- = Not available.  1/ All fresh-market potatoes.   2/ Frozen french fried potatoes.  </t>
  </si>
  <si>
    <t>Source:  Bureau of Labor Statistics, U.S. Department of Labor.</t>
  </si>
  <si>
    <t>Table 2--Domestic shipments of U.S. potatoes, 1988-2001  1/</t>
  </si>
  <si>
    <t xml:space="preserve"> Prices for the 2000 season will be updated by NASS in the September 2001 Agricultural Prices.  </t>
  </si>
  <si>
    <t>Table 3--Potatoes, all seasons:  Crop-year utilization, 1977-2000</t>
  </si>
  <si>
    <t>Table 5--Potatoes, all:  U.S. monthly and season-average grower price, 1979-2001 1/</t>
  </si>
  <si>
    <t xml:space="preserve">Table 6--Potatoes: U.S. monthly retail price, by product, 1980-2001   </t>
  </si>
  <si>
    <t>Table 7--Fresh potatoes:  Monthly and annual average retail price index, 1986-2000</t>
  </si>
  <si>
    <t>Imports</t>
  </si>
  <si>
    <t>Commodity</t>
  </si>
  <si>
    <t>Seed potatoes</t>
  </si>
  <si>
    <t>Frozen french fries</t>
  </si>
  <si>
    <t>Other frozen potatoes</t>
  </si>
  <si>
    <t>Potato chips</t>
  </si>
  <si>
    <t>Flakes and granules</t>
  </si>
  <si>
    <t>Dried potatoes</t>
  </si>
  <si>
    <t>Other preserved potatoes (mostly canned)</t>
  </si>
  <si>
    <t>Potato starch</t>
  </si>
  <si>
    <t>Exports</t>
  </si>
  <si>
    <t>Jan-Dec</t>
  </si>
  <si>
    <t>Jan-Jun</t>
  </si>
  <si>
    <t>1,000 pounds</t>
  </si>
  <si>
    <t>1,000 dollars</t>
  </si>
  <si>
    <t>Table 8--Potatoes: Imports and exports by type, volume and value, 2000-2001 1/</t>
  </si>
  <si>
    <t>Potato flour and meal</t>
  </si>
  <si>
    <t>Fresh potatoes (excluding seed)</t>
  </si>
  <si>
    <t xml:space="preserve">                  2000</t>
  </si>
  <si>
    <t xml:space="preserve">                  2001</t>
  </si>
  <si>
    <t>Change 2000-01  2/</t>
  </si>
  <si>
    <t>Volume</t>
  </si>
  <si>
    <t>Value</t>
  </si>
  <si>
    <t>Percent</t>
  </si>
  <si>
    <t>1/ Volume is in product weight.   2/  Percent change for Jan-Jun period from 2000-01.</t>
  </si>
  <si>
    <t xml:space="preserve"> Source: Bureau of Census, U.S. Department of Commerce, and Economic Research Service, USDA.</t>
  </si>
  <si>
    <t xml:space="preserve">Table 1--Potatoes:  Seasonal acreage, yield, and production, 1999, 2000, and indicated 2001  </t>
  </si>
  <si>
    <t>Table 4--Potato cash receipts: Leading States, 1993-2000</t>
  </si>
  <si>
    <t xml:space="preserve"> -- = not available.</t>
  </si>
</sst>
</file>

<file path=xl/styles.xml><?xml version="1.0" encoding="utf-8"?>
<styleSheet xmlns="http://schemas.openxmlformats.org/spreadsheetml/2006/main">
  <numFmts count="1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_)"/>
    <numFmt numFmtId="173" formatCode="0_)"/>
    <numFmt numFmtId="174" formatCode="0.00_)"/>
    <numFmt numFmtId="175" formatCode="#,##0.0_);\(#,##0.0\)"/>
    <numFmt numFmtId="176" formatCode="General_)"/>
    <numFmt numFmtId="177" formatCode="0.000_)"/>
    <numFmt numFmtId="178" formatCode="#,##0.0"/>
    <numFmt numFmtId="179" formatCode="0.0"/>
    <numFmt numFmtId="180" formatCode="0___)"/>
    <numFmt numFmtId="181" formatCode="#,##0_________)"/>
    <numFmt numFmtId="182" formatCode="#,##0_______)"/>
    <numFmt numFmtId="183" formatCode="#,##0___)"/>
    <numFmt numFmtId="184" formatCode="#,##0_)"/>
    <numFmt numFmtId="185" formatCode="#,##0_____)"/>
    <numFmt numFmtId="186" formatCode="#,##0.0___)"/>
    <numFmt numFmtId="187" formatCode="0.000"/>
    <numFmt numFmtId="188" formatCode="#,##0_____________)"/>
    <numFmt numFmtId="189" formatCode="#,##0___________)"/>
    <numFmt numFmtId="190" formatCode="0.0_______)"/>
    <numFmt numFmtId="191" formatCode="0.0_____________)"/>
    <numFmt numFmtId="192" formatCode="#,##0.0_________)"/>
    <numFmt numFmtId="193" formatCode="#,##0.0_______)"/>
    <numFmt numFmtId="194" formatCode="#,##0.0_____________)"/>
    <numFmt numFmtId="195" formatCode="#,##0.0___________)"/>
    <numFmt numFmtId="196" formatCode="0.0___)"/>
    <numFmt numFmtId="197" formatCode="#,##0.0___________________)"/>
    <numFmt numFmtId="198" formatCode="#,##0.0_____)"/>
    <numFmt numFmtId="199" formatCode="0.0_____)"/>
    <numFmt numFmtId="200" formatCode="0.0___________________)"/>
    <numFmt numFmtId="201" formatCode="0.0_______________________)"/>
    <numFmt numFmtId="202" formatCode="#,##0.0_______________________)"/>
    <numFmt numFmtId="203" formatCode="0.00___)"/>
    <numFmt numFmtId="204" formatCode="0.000___)"/>
    <numFmt numFmtId="205" formatCode="#,##0_____________________)"/>
    <numFmt numFmtId="206" formatCode="0.00___________________)"/>
    <numFmt numFmtId="207" formatCode="#,##0_______________)"/>
    <numFmt numFmtId="208" formatCode="0.000_____)"/>
    <numFmt numFmtId="209" formatCode="#,##0.000_);\(#,##0.000\)"/>
    <numFmt numFmtId="210" formatCode="0_);\(0\)"/>
    <numFmt numFmtId="211" formatCode="#,##0.0000_);\(#,##0.0000\)"/>
    <numFmt numFmtId="212" formatCode="#,##0.00_______)"/>
    <numFmt numFmtId="213" formatCode="###.00_______)"/>
    <numFmt numFmtId="214" formatCode="###.0_______)"/>
    <numFmt numFmtId="215" formatCode="###.0___);\(#,###.0\)"/>
    <numFmt numFmtId="216" formatCode="###.0_)"/>
    <numFmt numFmtId="217" formatCode="###.0_____)"/>
    <numFmt numFmtId="218" formatCode="#,##0.000"/>
    <numFmt numFmtId="219" formatCode="0.00__\)"/>
    <numFmt numFmtId="220" formatCode="#,##0.0_______________)"/>
    <numFmt numFmtId="221" formatCode="0.00_____)"/>
    <numFmt numFmtId="222" formatCode="#,##0_____);\(#,##0\)"/>
    <numFmt numFmtId="223" formatCode="#,##0___);\(#,##0\)"/>
    <numFmt numFmtId="224" formatCode="#,##0.0___);\(#,##0.0\)"/>
    <numFmt numFmtId="225" formatCode="_(* #,##0_);_(* \(#,##0\);_(* &quot;-&quot;??_);_(@_)"/>
    <numFmt numFmtId="226" formatCode="0_____)"/>
    <numFmt numFmtId="227" formatCode="0.0_________)"/>
    <numFmt numFmtId="228" formatCode="0_________)"/>
    <numFmt numFmtId="229" formatCode="0.000_________)"/>
    <numFmt numFmtId="230" formatCode=".000_________)"/>
    <numFmt numFmtId="231" formatCode="#,##0.00_____)"/>
    <numFmt numFmtId="232" formatCode="#,##0.0_________________)"/>
    <numFmt numFmtId="233" formatCode=".00_)"/>
    <numFmt numFmtId="234" formatCode="&quot;$&quot;#,##0"/>
    <numFmt numFmtId="235" formatCode="0.0%"/>
    <numFmt numFmtId="236" formatCode="&quot;$&quot;#,##0.000_);\(&quot;$&quot;#,##0.000\)"/>
    <numFmt numFmtId="237" formatCode="&quot;$&quot;#,##0.0_);\(&quot;$&quot;#,##0.0\)"/>
    <numFmt numFmtId="238" formatCode="0.000000"/>
    <numFmt numFmtId="239" formatCode="0.00000"/>
    <numFmt numFmtId="240" formatCode="0.0000"/>
    <numFmt numFmtId="241" formatCode="0.0000000000"/>
    <numFmt numFmtId="242" formatCode="0.000000000"/>
    <numFmt numFmtId="243" formatCode="0.00000000"/>
    <numFmt numFmtId="244" formatCode="0.0000000"/>
    <numFmt numFmtId="245" formatCode="mmmm\ d\,\ yyyy"/>
    <numFmt numFmtId="246" formatCode="dd\-mmm_)"/>
    <numFmt numFmtId="247" formatCode="0.00000_)"/>
    <numFmt numFmtId="248" formatCode="_(&quot;$&quot;* #,##0.0_);_(&quot;$&quot;* \(#,##0.0\);_(&quot;$&quot;* &quot;-&quot;??_);_(@_)"/>
    <numFmt numFmtId="249" formatCode="_(&quot;$&quot;* #,##0_);_(&quot;$&quot;* \(#,##0\);_(&quot;$&quot;* &quot;-&quot;??_);_(@_)"/>
    <numFmt numFmtId="250" formatCode="#,##0.00___)"/>
    <numFmt numFmtId="251" formatCode="###.0_________)"/>
    <numFmt numFmtId="252" formatCode="#,##0___________________)"/>
    <numFmt numFmtId="253" formatCode="#,##0_________________)"/>
    <numFmt numFmtId="254" formatCode="______0"/>
    <numFmt numFmtId="255" formatCode="_(* #,##0.000_);_(* \(#,##0.000\);_(* &quot;-&quot;??_);_(@_)"/>
    <numFmt numFmtId="256" formatCode="_(* #,##0.0_);_(* \(#,##0.0\);_(* &quot;-&quot;??_);_(@_)"/>
    <numFmt numFmtId="257" formatCode="#,##0________\)"/>
    <numFmt numFmtId="258" formatCode="0.0___________)"/>
    <numFmt numFmtId="259" formatCode="0.0____\)"/>
    <numFmt numFmtId="260" formatCode="0.0__\)"/>
    <numFmt numFmtId="261" formatCode="0.0__"/>
    <numFmt numFmtId="262" formatCode="#,##0______\);\(#,##0\)"/>
    <numFmt numFmtId="263" formatCode="#,##0.00_)"/>
    <numFmt numFmtId="264" formatCode="#,##0_______________________)"/>
    <numFmt numFmtId="265" formatCode="#,##0.00___________________)"/>
    <numFmt numFmtId="266" formatCode="0.00__________\)"/>
    <numFmt numFmtId="267" formatCode="0.00___________)"/>
  </numFmts>
  <fonts count="32">
    <font>
      <sz val="10"/>
      <name val="Arial"/>
      <family val="0"/>
    </font>
    <font>
      <u val="single"/>
      <sz val="10"/>
      <color indexed="12"/>
      <name val="Arial"/>
      <family val="0"/>
    </font>
    <font>
      <sz val="9"/>
      <name val="Courier New"/>
      <family val="0"/>
    </font>
    <font>
      <sz val="9"/>
      <name val="Arial MT"/>
      <family val="0"/>
    </font>
    <font>
      <sz val="9"/>
      <name val="Arial"/>
      <family val="0"/>
    </font>
    <font>
      <sz val="12"/>
      <name val="Arial MT"/>
      <family val="0"/>
    </font>
    <font>
      <sz val="10"/>
      <name val="Arial MT"/>
      <family val="0"/>
    </font>
    <font>
      <sz val="10"/>
      <color indexed="8"/>
      <name val="MS Sans Serif"/>
      <family val="0"/>
    </font>
    <font>
      <sz val="12"/>
      <name val="Helv"/>
      <family val="0"/>
    </font>
    <font>
      <sz val="10"/>
      <name val="Courier"/>
      <family val="0"/>
    </font>
    <font>
      <sz val="8"/>
      <name val="Helvetica"/>
      <family val="2"/>
    </font>
    <font>
      <sz val="9"/>
      <name val="Helvetica"/>
      <family val="2"/>
    </font>
    <font>
      <sz val="7"/>
      <name val="Helvetica"/>
      <family val="2"/>
    </font>
    <font>
      <sz val="8"/>
      <name val="Helv"/>
      <family val="2"/>
    </font>
    <font>
      <u val="single"/>
      <sz val="10"/>
      <color indexed="36"/>
      <name val="Arial"/>
      <family val="0"/>
    </font>
    <font>
      <u val="single"/>
      <sz val="10"/>
      <color indexed="14"/>
      <name val="MS Sans Serif"/>
      <family val="0"/>
    </font>
    <font>
      <u val="single"/>
      <sz val="10"/>
      <color indexed="12"/>
      <name val="MS Sans Serif"/>
      <family val="0"/>
    </font>
    <font>
      <sz val="12"/>
      <name val="Arial"/>
      <family val="0"/>
    </font>
    <font>
      <sz val="10"/>
      <name val="MS Sans Serif"/>
      <family val="0"/>
    </font>
    <font>
      <sz val="9"/>
      <name val="Courier"/>
      <family val="0"/>
    </font>
    <font>
      <sz val="10"/>
      <name val="Helv"/>
      <family val="0"/>
    </font>
    <font>
      <sz val="9"/>
      <name val="Helv"/>
      <family val="0"/>
    </font>
    <font>
      <sz val="8"/>
      <name val="Arial"/>
      <family val="0"/>
    </font>
    <font>
      <sz val="8"/>
      <name val="Times New Roman"/>
      <family val="0"/>
    </font>
    <font>
      <u val="single"/>
      <sz val="9"/>
      <color indexed="36"/>
      <name val="Arial"/>
      <family val="0"/>
    </font>
    <font>
      <u val="single"/>
      <sz val="9"/>
      <color indexed="12"/>
      <name val="Arial"/>
      <family val="0"/>
    </font>
    <font>
      <sz val="10"/>
      <name val="Courier New"/>
      <family val="0"/>
    </font>
    <font>
      <sz val="9"/>
      <color indexed="12"/>
      <name val="Arial"/>
      <family val="0"/>
    </font>
    <font>
      <i/>
      <sz val="8"/>
      <name val="Helvetica"/>
      <family val="0"/>
    </font>
    <font>
      <b/>
      <i/>
      <sz val="8"/>
      <name val="Helvetica"/>
      <family val="0"/>
    </font>
    <font>
      <b/>
      <sz val="8"/>
      <name val="Helvetica"/>
      <family val="0"/>
    </font>
    <font>
      <sz val="8"/>
      <name val="Arial MT"/>
      <family val="0"/>
    </font>
  </fonts>
  <fills count="2">
    <fill>
      <patternFill/>
    </fill>
    <fill>
      <patternFill patternType="gray125"/>
    </fill>
  </fills>
  <borders count="6">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3" fillId="0" borderId="0">
      <alignment/>
      <protection/>
    </xf>
    <xf numFmtId="0" fontId="3" fillId="0" borderId="0">
      <alignment/>
      <protection/>
    </xf>
    <xf numFmtId="0" fontId="17" fillId="0" borderId="0">
      <alignment/>
      <protection/>
    </xf>
    <xf numFmtId="0" fontId="17" fillId="0" borderId="0">
      <alignment/>
      <protection/>
    </xf>
    <xf numFmtId="0" fontId="3" fillId="0" borderId="0">
      <alignment/>
      <protection/>
    </xf>
    <xf numFmtId="0" fontId="0" fillId="0" borderId="0">
      <alignment/>
      <protection/>
    </xf>
    <xf numFmtId="0" fontId="17" fillId="0" borderId="0">
      <alignment/>
      <protection/>
    </xf>
    <xf numFmtId="0" fontId="3" fillId="0" borderId="0">
      <alignment/>
      <protection/>
    </xf>
    <xf numFmtId="0" fontId="17" fillId="0" borderId="0">
      <alignment/>
      <protection/>
    </xf>
    <xf numFmtId="0" fontId="17" fillId="0" borderId="0">
      <alignment/>
      <protection/>
    </xf>
    <xf numFmtId="0" fontId="17" fillId="0" borderId="0">
      <alignment/>
      <protection/>
    </xf>
    <xf numFmtId="0" fontId="4" fillId="0" borderId="0">
      <alignment/>
      <protection/>
    </xf>
    <xf numFmtId="0" fontId="3" fillId="0" borderId="0">
      <alignment/>
      <protection/>
    </xf>
    <xf numFmtId="174" fontId="3" fillId="0" borderId="0">
      <alignment/>
      <protection/>
    </xf>
    <xf numFmtId="37" fontId="3" fillId="0" borderId="0">
      <alignment/>
      <protection/>
    </xf>
    <xf numFmtId="0" fontId="5" fillId="0" borderId="0">
      <alignment/>
      <protection/>
    </xf>
    <xf numFmtId="0" fontId="6" fillId="0" borderId="0">
      <alignment/>
      <protection/>
    </xf>
    <xf numFmtId="173" fontId="3" fillId="0" borderId="0">
      <alignment/>
      <protection/>
    </xf>
    <xf numFmtId="37" fontId="3" fillId="0" borderId="0">
      <alignment/>
      <protection/>
    </xf>
    <xf numFmtId="37" fontId="6"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2" fillId="0" borderId="0">
      <alignment/>
      <protection/>
    </xf>
    <xf numFmtId="0" fontId="0" fillId="0" borderId="0">
      <alignment/>
      <protection/>
    </xf>
    <xf numFmtId="0" fontId="7" fillId="0" borderId="0">
      <alignment/>
      <protection/>
    </xf>
    <xf numFmtId="0" fontId="7" fillId="0" borderId="0" applyBorder="0">
      <alignment/>
      <protection/>
    </xf>
    <xf numFmtId="0" fontId="7" fillId="0" borderId="0">
      <alignment/>
      <protection/>
    </xf>
    <xf numFmtId="176" fontId="19" fillId="0" borderId="0">
      <alignment/>
      <protection/>
    </xf>
    <xf numFmtId="176" fontId="20" fillId="0" borderId="0">
      <alignment/>
      <protection/>
    </xf>
    <xf numFmtId="176" fontId="21" fillId="0" borderId="0">
      <alignment/>
      <protection/>
    </xf>
    <xf numFmtId="176" fontId="21" fillId="0" borderId="0">
      <alignment/>
      <protection/>
    </xf>
    <xf numFmtId="176" fontId="4" fillId="0" borderId="0">
      <alignment/>
      <protection/>
    </xf>
    <xf numFmtId="176" fontId="4" fillId="0" borderId="0">
      <alignment/>
      <protection/>
    </xf>
    <xf numFmtId="0" fontId="3" fillId="0" borderId="0">
      <alignment/>
      <protection/>
    </xf>
    <xf numFmtId="176" fontId="4" fillId="0" borderId="0">
      <alignment/>
      <protection/>
    </xf>
    <xf numFmtId="0" fontId="3" fillId="0" borderId="0">
      <alignment/>
      <protection/>
    </xf>
    <xf numFmtId="0" fontId="3" fillId="0" borderId="0">
      <alignment/>
      <protection/>
    </xf>
    <xf numFmtId="176" fontId="4" fillId="0" borderId="0">
      <alignment/>
      <protection/>
    </xf>
    <xf numFmtId="0" fontId="3" fillId="0" borderId="0">
      <alignment/>
      <protection/>
    </xf>
    <xf numFmtId="174" fontId="3" fillId="0" borderId="0">
      <alignment/>
      <protection/>
    </xf>
    <xf numFmtId="0" fontId="0" fillId="0" borderId="0">
      <alignment/>
      <protection/>
    </xf>
    <xf numFmtId="176" fontId="0" fillId="0" borderId="0">
      <alignment/>
      <protection/>
    </xf>
    <xf numFmtId="176" fontId="4" fillId="0" borderId="0">
      <alignment/>
      <protection/>
    </xf>
    <xf numFmtId="0" fontId="7" fillId="0" borderId="0">
      <alignment/>
      <protection/>
    </xf>
    <xf numFmtId="176" fontId="21" fillId="0" borderId="0">
      <alignment/>
      <protection/>
    </xf>
    <xf numFmtId="176" fontId="21" fillId="0" borderId="0">
      <alignment/>
      <protection/>
    </xf>
    <xf numFmtId="0" fontId="7" fillId="0" borderId="0">
      <alignment/>
      <protection/>
    </xf>
    <xf numFmtId="176" fontId="4" fillId="0" borderId="0">
      <alignment/>
      <protection/>
    </xf>
    <xf numFmtId="176" fontId="4" fillId="0" borderId="0">
      <alignment/>
      <protection/>
    </xf>
    <xf numFmtId="176" fontId="4" fillId="0" borderId="0">
      <alignment/>
      <protection/>
    </xf>
    <xf numFmtId="176" fontId="4" fillId="0" borderId="0">
      <alignment/>
      <protection/>
    </xf>
    <xf numFmtId="176" fontId="8" fillId="0" borderId="0">
      <alignment/>
      <protection/>
    </xf>
    <xf numFmtId="0" fontId="7" fillId="0" borderId="0">
      <alignment/>
      <protection/>
    </xf>
    <xf numFmtId="176" fontId="4" fillId="0" borderId="0">
      <alignment/>
      <protection/>
    </xf>
    <xf numFmtId="176" fontId="4" fillId="0" borderId="0">
      <alignment/>
      <protection/>
    </xf>
    <xf numFmtId="176" fontId="21" fillId="0" borderId="0">
      <alignment/>
      <protection/>
    </xf>
    <xf numFmtId="0" fontId="7" fillId="0" borderId="0">
      <alignment/>
      <protection/>
    </xf>
    <xf numFmtId="176" fontId="21" fillId="0" borderId="0">
      <alignment/>
      <protection/>
    </xf>
    <xf numFmtId="176" fontId="21" fillId="0" borderId="0">
      <alignment/>
      <protection/>
    </xf>
    <xf numFmtId="176" fontId="0" fillId="0" borderId="0">
      <alignment/>
      <protection/>
    </xf>
    <xf numFmtId="176" fontId="4" fillId="0" borderId="0">
      <alignment/>
      <protection/>
    </xf>
    <xf numFmtId="176" fontId="4" fillId="0" borderId="0">
      <alignment/>
      <protection/>
    </xf>
    <xf numFmtId="176" fontId="4" fillId="0" borderId="0">
      <alignment/>
      <protection/>
    </xf>
    <xf numFmtId="176" fontId="8" fillId="0" borderId="0">
      <alignment/>
      <protection/>
    </xf>
    <xf numFmtId="176" fontId="4" fillId="0" borderId="0">
      <alignment/>
      <protection/>
    </xf>
    <xf numFmtId="176" fontId="20" fillId="0" borderId="0">
      <alignment/>
      <protection/>
    </xf>
    <xf numFmtId="176" fontId="4" fillId="0" borderId="0">
      <alignment/>
      <protection/>
    </xf>
    <xf numFmtId="176" fontId="21" fillId="0" borderId="0">
      <alignment/>
      <protection/>
    </xf>
    <xf numFmtId="176" fontId="20" fillId="0" borderId="0">
      <alignment/>
      <protection/>
    </xf>
    <xf numFmtId="176" fontId="4" fillId="0" borderId="0">
      <alignment/>
      <protection/>
    </xf>
    <xf numFmtId="0" fontId="7" fillId="0" borderId="0">
      <alignment/>
      <protection/>
    </xf>
    <xf numFmtId="176" fontId="4" fillId="0" borderId="0">
      <alignment/>
      <protection/>
    </xf>
    <xf numFmtId="176" fontId="4" fillId="0" borderId="0">
      <alignment/>
      <protection/>
    </xf>
    <xf numFmtId="176" fontId="4" fillId="0" borderId="0">
      <alignment/>
      <protection/>
    </xf>
    <xf numFmtId="176" fontId="21" fillId="0" borderId="0">
      <alignment/>
      <protection/>
    </xf>
    <xf numFmtId="0" fontId="7" fillId="0" borderId="0">
      <alignment/>
      <protection/>
    </xf>
    <xf numFmtId="176" fontId="4" fillId="0" borderId="0">
      <alignment/>
      <protection/>
    </xf>
    <xf numFmtId="176" fontId="4" fillId="0" borderId="0">
      <alignment/>
      <protection/>
    </xf>
    <xf numFmtId="176" fontId="4" fillId="0" borderId="0">
      <alignment/>
      <protection/>
    </xf>
    <xf numFmtId="37" fontId="21" fillId="0" borderId="0">
      <alignment/>
      <protection/>
    </xf>
    <xf numFmtId="176" fontId="21" fillId="0" borderId="0">
      <alignment/>
      <protection/>
    </xf>
    <xf numFmtId="176" fontId="20" fillId="0" borderId="0">
      <alignment/>
      <protection/>
    </xf>
    <xf numFmtId="176" fontId="20" fillId="0" borderId="0">
      <alignment/>
      <protection/>
    </xf>
    <xf numFmtId="176" fontId="4" fillId="0" borderId="0">
      <alignment/>
      <protection/>
    </xf>
    <xf numFmtId="176" fontId="8" fillId="0" borderId="0">
      <alignment/>
      <protection/>
    </xf>
    <xf numFmtId="176" fontId="8" fillId="0" borderId="0">
      <alignment/>
      <protection/>
    </xf>
    <xf numFmtId="176" fontId="8" fillId="0" borderId="0">
      <alignment/>
      <protection/>
    </xf>
    <xf numFmtId="176" fontId="20" fillId="0" borderId="0">
      <alignment/>
      <protection/>
    </xf>
    <xf numFmtId="176" fontId="9" fillId="0" borderId="0">
      <alignment/>
      <protection/>
    </xf>
    <xf numFmtId="0" fontId="0" fillId="0" borderId="0">
      <alignment/>
      <protection/>
    </xf>
    <xf numFmtId="0" fontId="4" fillId="0" borderId="0">
      <alignment/>
      <protection/>
    </xf>
    <xf numFmtId="9" fontId="0" fillId="0" borderId="0" applyFont="0" applyFill="0" applyBorder="0" applyAlignment="0" applyProtection="0"/>
  </cellStyleXfs>
  <cellXfs count="185">
    <xf numFmtId="0" fontId="0" fillId="0" borderId="0" xfId="0" applyAlignment="1">
      <alignment/>
    </xf>
    <xf numFmtId="0" fontId="10" fillId="0" borderId="1" xfId="36" applyFont="1" applyBorder="1" applyAlignment="1" quotePrefix="1">
      <alignment horizontal="left"/>
      <protection/>
    </xf>
    <xf numFmtId="0" fontId="10" fillId="0" borderId="1" xfId="36" applyFont="1" applyBorder="1">
      <alignment/>
      <protection/>
    </xf>
    <xf numFmtId="0" fontId="10" fillId="0" borderId="2" xfId="36" applyFont="1" applyBorder="1">
      <alignment/>
      <protection/>
    </xf>
    <xf numFmtId="0" fontId="4" fillId="0" borderId="0" xfId="36">
      <alignment/>
      <protection/>
    </xf>
    <xf numFmtId="0" fontId="10" fillId="0" borderId="0" xfId="36" applyFont="1">
      <alignment/>
      <protection/>
    </xf>
    <xf numFmtId="0" fontId="10" fillId="0" borderId="1" xfId="36" applyFont="1" applyBorder="1" applyAlignment="1">
      <alignment horizontal="centerContinuous"/>
      <protection/>
    </xf>
    <xf numFmtId="0" fontId="11" fillId="0" borderId="2" xfId="36" applyFont="1" applyBorder="1" applyAlignment="1">
      <alignment horizontal="centerContinuous"/>
      <protection/>
    </xf>
    <xf numFmtId="0" fontId="10" fillId="0" borderId="1" xfId="36" applyFont="1" applyBorder="1" applyAlignment="1">
      <alignment horizontal="left"/>
      <protection/>
    </xf>
    <xf numFmtId="0" fontId="10" fillId="0" borderId="1" xfId="36" applyFont="1" applyBorder="1" applyAlignment="1">
      <alignment horizontal="center"/>
      <protection/>
    </xf>
    <xf numFmtId="0" fontId="10" fillId="0" borderId="0" xfId="36" applyFont="1" applyAlignment="1" quotePrefix="1">
      <alignment horizontal="centerContinuous"/>
      <protection/>
    </xf>
    <xf numFmtId="0" fontId="11" fillId="0" borderId="0" xfId="36" applyFont="1" applyAlignment="1">
      <alignment horizontal="centerContinuous"/>
      <protection/>
    </xf>
    <xf numFmtId="0" fontId="10" fillId="0" borderId="0" xfId="36" applyFont="1" applyAlignment="1">
      <alignment horizontal="centerContinuous"/>
      <protection/>
    </xf>
    <xf numFmtId="0" fontId="10" fillId="0" borderId="0" xfId="36" applyFont="1" applyAlignment="1">
      <alignment horizontal="left"/>
      <protection/>
    </xf>
    <xf numFmtId="198" fontId="10" fillId="0" borderId="0" xfId="36" applyNumberFormat="1" applyFont="1" applyProtection="1">
      <alignment/>
      <protection/>
    </xf>
    <xf numFmtId="172" fontId="10" fillId="0" borderId="0" xfId="36" applyNumberFormat="1" applyFont="1" applyProtection="1">
      <alignment/>
      <protection/>
    </xf>
    <xf numFmtId="185" fontId="10" fillId="0" borderId="0" xfId="36" applyNumberFormat="1" applyFont="1" applyProtection="1">
      <alignment/>
      <protection/>
    </xf>
    <xf numFmtId="183" fontId="10" fillId="0" borderId="0" xfId="36" applyNumberFormat="1" applyFont="1" applyProtection="1">
      <alignment/>
      <protection/>
    </xf>
    <xf numFmtId="198" fontId="10" fillId="0" borderId="1" xfId="36" applyNumberFormat="1" applyFont="1" applyBorder="1" applyProtection="1">
      <alignment/>
      <protection/>
    </xf>
    <xf numFmtId="172" fontId="10" fillId="0" borderId="1" xfId="36" applyNumberFormat="1" applyFont="1" applyBorder="1" applyProtection="1">
      <alignment/>
      <protection/>
    </xf>
    <xf numFmtId="185" fontId="10" fillId="0" borderId="1" xfId="36" applyNumberFormat="1" applyFont="1" applyBorder="1" applyProtection="1">
      <alignment/>
      <protection/>
    </xf>
    <xf numFmtId="183" fontId="10" fillId="0" borderId="1" xfId="36" applyNumberFormat="1" applyFont="1" applyBorder="1" applyProtection="1">
      <alignment/>
      <protection/>
    </xf>
    <xf numFmtId="0" fontId="12" fillId="0" borderId="0" xfId="36" applyFont="1" applyAlignment="1">
      <alignment horizontal="left"/>
      <protection/>
    </xf>
    <xf numFmtId="177" fontId="10" fillId="0" borderId="0" xfId="36" applyNumberFormat="1" applyFont="1" applyProtection="1">
      <alignment/>
      <protection/>
    </xf>
    <xf numFmtId="0" fontId="13" fillId="0" borderId="0" xfId="36" applyFont="1">
      <alignment/>
      <protection/>
    </xf>
    <xf numFmtId="0" fontId="4" fillId="0" borderId="0" xfId="36" applyFont="1">
      <alignment/>
      <protection/>
    </xf>
    <xf numFmtId="176" fontId="10" fillId="0" borderId="2" xfId="99" applyFont="1" applyBorder="1" applyAlignment="1" applyProtection="1" quotePrefix="1">
      <alignment horizontal="left"/>
      <protection locked="0"/>
    </xf>
    <xf numFmtId="37" fontId="10" fillId="0" borderId="2" xfId="99" applyNumberFormat="1" applyFont="1" applyBorder="1" applyProtection="1">
      <alignment/>
      <protection/>
    </xf>
    <xf numFmtId="176" fontId="10" fillId="0" borderId="2" xfId="99" applyFont="1" applyBorder="1">
      <alignment/>
      <protection/>
    </xf>
    <xf numFmtId="176" fontId="22" fillId="0" borderId="0" xfId="99" applyFont="1">
      <alignment/>
      <protection/>
    </xf>
    <xf numFmtId="176" fontId="10" fillId="0" borderId="2" xfId="99" applyFont="1" applyBorder="1" applyAlignment="1" applyProtection="1">
      <alignment horizontal="left"/>
      <protection locked="0"/>
    </xf>
    <xf numFmtId="37" fontId="10" fillId="0" borderId="2" xfId="99" applyNumberFormat="1" applyFont="1" applyBorder="1" applyAlignment="1" applyProtection="1">
      <alignment horizontal="center"/>
      <protection locked="0"/>
    </xf>
    <xf numFmtId="176" fontId="10" fillId="0" borderId="0" xfId="99" applyFont="1" applyBorder="1">
      <alignment/>
      <protection/>
    </xf>
    <xf numFmtId="37" fontId="10" fillId="0" borderId="0" xfId="99" applyNumberFormat="1" applyFont="1" applyBorder="1" applyProtection="1">
      <alignment/>
      <protection/>
    </xf>
    <xf numFmtId="37" fontId="10" fillId="0" borderId="0" xfId="99" applyNumberFormat="1" applyFont="1" applyBorder="1" applyAlignment="1" applyProtection="1">
      <alignment horizontal="left"/>
      <protection/>
    </xf>
    <xf numFmtId="176" fontId="10" fillId="0" borderId="0" xfId="99" applyFont="1" applyBorder="1" applyAlignment="1" applyProtection="1">
      <alignment horizontal="left"/>
      <protection locked="0"/>
    </xf>
    <xf numFmtId="176" fontId="10" fillId="0" borderId="0" xfId="99" applyFont="1" applyBorder="1" applyAlignment="1" applyProtection="1">
      <alignment horizontal="left"/>
      <protection/>
    </xf>
    <xf numFmtId="184" fontId="10" fillId="0" borderId="0" xfId="99" applyNumberFormat="1" applyFont="1" applyBorder="1" applyProtection="1">
      <alignment/>
      <protection/>
    </xf>
    <xf numFmtId="184" fontId="10" fillId="0" borderId="0" xfId="99" applyNumberFormat="1" applyFont="1" applyBorder="1" applyAlignment="1" applyProtection="1">
      <alignment horizontal="right"/>
      <protection/>
    </xf>
    <xf numFmtId="176" fontId="10" fillId="0" borderId="0" xfId="99" applyFont="1" applyBorder="1" applyAlignment="1" applyProtection="1" quotePrefix="1">
      <alignment horizontal="left"/>
      <protection/>
    </xf>
    <xf numFmtId="37" fontId="10" fillId="0" borderId="0" xfId="99" applyNumberFormat="1" applyFont="1" applyBorder="1" applyAlignment="1" applyProtection="1">
      <alignment horizontal="right"/>
      <protection/>
    </xf>
    <xf numFmtId="176" fontId="10" fillId="0" borderId="2" xfId="99" applyFont="1" applyBorder="1" applyAlignment="1" applyProtection="1" quotePrefix="1">
      <alignment horizontal="left"/>
      <protection/>
    </xf>
    <xf numFmtId="184" fontId="10" fillId="0" borderId="2" xfId="99" applyNumberFormat="1" applyFont="1" applyBorder="1" applyAlignment="1" applyProtection="1">
      <alignment horizontal="right"/>
      <protection/>
    </xf>
    <xf numFmtId="176" fontId="12" fillId="0" borderId="0" xfId="99" applyFont="1" applyBorder="1" applyAlignment="1" applyProtection="1">
      <alignment horizontal="left"/>
      <protection/>
    </xf>
    <xf numFmtId="176" fontId="12" fillId="0" borderId="0" xfId="99" applyFont="1" applyBorder="1" applyAlignment="1" applyProtection="1">
      <alignment horizontal="left"/>
      <protection locked="0"/>
    </xf>
    <xf numFmtId="176" fontId="23" fillId="0" borderId="0" xfId="99" applyFont="1" applyBorder="1">
      <alignment/>
      <protection/>
    </xf>
    <xf numFmtId="37" fontId="23" fillId="0" borderId="0" xfId="99" applyNumberFormat="1" applyFont="1" applyBorder="1" applyAlignment="1" applyProtection="1">
      <alignment horizontal="right"/>
      <protection/>
    </xf>
    <xf numFmtId="176" fontId="22" fillId="0" borderId="0" xfId="99" applyFont="1" applyBorder="1">
      <alignment/>
      <protection/>
    </xf>
    <xf numFmtId="176" fontId="22" fillId="0" borderId="0" xfId="99" applyFont="1" applyBorder="1" applyAlignment="1">
      <alignment horizontal="right"/>
      <protection/>
    </xf>
    <xf numFmtId="176" fontId="4" fillId="0" borderId="0" xfId="99">
      <alignment/>
      <protection/>
    </xf>
    <xf numFmtId="0" fontId="10" fillId="0" borderId="1" xfId="25" applyFont="1" applyBorder="1" applyAlignment="1" quotePrefix="1">
      <alignment horizontal="left"/>
      <protection/>
    </xf>
    <xf numFmtId="175" fontId="10" fillId="0" borderId="1" xfId="25" applyNumberFormat="1" applyFont="1" applyBorder="1" applyProtection="1">
      <alignment/>
      <protection/>
    </xf>
    <xf numFmtId="0" fontId="10" fillId="0" borderId="1" xfId="25" applyFont="1" applyBorder="1">
      <alignment/>
      <protection/>
    </xf>
    <xf numFmtId="0" fontId="10" fillId="0" borderId="0" xfId="25" applyFont="1">
      <alignment/>
      <protection/>
    </xf>
    <xf numFmtId="0" fontId="3" fillId="0" borderId="0" xfId="25">
      <alignment/>
      <protection/>
    </xf>
    <xf numFmtId="0" fontId="10" fillId="0" borderId="1" xfId="25" applyFont="1" applyBorder="1" applyAlignment="1">
      <alignment horizontal="left"/>
      <protection/>
    </xf>
    <xf numFmtId="180" fontId="10" fillId="0" borderId="1" xfId="25" applyNumberFormat="1" applyFont="1" applyBorder="1" applyAlignment="1" applyProtection="1">
      <alignment horizontal="center"/>
      <protection/>
    </xf>
    <xf numFmtId="180" fontId="10" fillId="0" borderId="3" xfId="25" applyNumberFormat="1" applyFont="1" applyBorder="1" applyAlignment="1" applyProtection="1">
      <alignment horizontal="center"/>
      <protection/>
    </xf>
    <xf numFmtId="180" fontId="10" fillId="0" borderId="3" xfId="25" applyNumberFormat="1" applyFont="1" applyBorder="1" applyAlignment="1" applyProtection="1" quotePrefix="1">
      <alignment horizontal="center"/>
      <protection/>
    </xf>
    <xf numFmtId="0" fontId="10" fillId="0" borderId="0" xfId="25" applyFont="1" applyAlignment="1">
      <alignment horizontal="centerContinuous"/>
      <protection/>
    </xf>
    <xf numFmtId="0" fontId="11" fillId="0" borderId="0" xfId="55" applyFont="1" applyAlignment="1">
      <alignment horizontal="centerContinuous"/>
      <protection/>
    </xf>
    <xf numFmtId="175" fontId="10" fillId="0" borderId="0" xfId="25" applyNumberFormat="1" applyFont="1" applyProtection="1">
      <alignment/>
      <protection/>
    </xf>
    <xf numFmtId="0" fontId="10" fillId="0" borderId="0" xfId="25" applyFont="1" applyAlignment="1">
      <alignment horizontal="left"/>
      <protection/>
    </xf>
    <xf numFmtId="193" fontId="10" fillId="0" borderId="0" xfId="25" applyNumberFormat="1" applyFont="1" applyBorder="1" applyProtection="1">
      <alignment/>
      <protection/>
    </xf>
    <xf numFmtId="175" fontId="3" fillId="0" borderId="0" xfId="25" applyNumberFormat="1" applyProtection="1">
      <alignment/>
      <protection/>
    </xf>
    <xf numFmtId="193" fontId="10" fillId="0" borderId="0" xfId="25" applyNumberFormat="1" applyFont="1" applyBorder="1">
      <alignment/>
      <protection/>
    </xf>
    <xf numFmtId="0" fontId="10" fillId="0" borderId="2" xfId="25" applyFont="1" applyBorder="1" applyAlignment="1">
      <alignment horizontal="left"/>
      <protection/>
    </xf>
    <xf numFmtId="193" fontId="10" fillId="0" borderId="2" xfId="25" applyNumberFormat="1" applyFont="1" applyBorder="1" applyProtection="1">
      <alignment/>
      <protection/>
    </xf>
    <xf numFmtId="0" fontId="12" fillId="0" borderId="0" xfId="25" applyFont="1" applyBorder="1" applyAlignment="1">
      <alignment horizontal="left"/>
      <protection/>
    </xf>
    <xf numFmtId="175" fontId="10" fillId="0" borderId="0" xfId="25" applyNumberFormat="1" applyFont="1" applyBorder="1" applyProtection="1">
      <alignment/>
      <protection/>
    </xf>
    <xf numFmtId="37" fontId="10" fillId="0" borderId="0" xfId="25" applyNumberFormat="1" applyFont="1" applyBorder="1" applyProtection="1">
      <alignment/>
      <protection/>
    </xf>
    <xf numFmtId="0" fontId="10" fillId="0" borderId="0" xfId="25" applyFont="1" applyBorder="1">
      <alignment/>
      <protection/>
    </xf>
    <xf numFmtId="0" fontId="10" fillId="0" borderId="2" xfId="25" applyFont="1" applyBorder="1" applyAlignment="1" quotePrefix="1">
      <alignment horizontal="left"/>
      <protection/>
    </xf>
    <xf numFmtId="0" fontId="10" fillId="0" borderId="2" xfId="25" applyFont="1" applyBorder="1">
      <alignment/>
      <protection/>
    </xf>
    <xf numFmtId="173" fontId="10" fillId="0" borderId="2" xfId="25" applyNumberFormat="1" applyFont="1" applyBorder="1" applyProtection="1">
      <alignment/>
      <protection/>
    </xf>
    <xf numFmtId="0" fontId="10" fillId="0" borderId="0" xfId="25" applyFont="1" applyAlignment="1">
      <alignment horizontal="center"/>
      <protection/>
    </xf>
    <xf numFmtId="0" fontId="10" fillId="0" borderId="1" xfId="25" applyFont="1" applyBorder="1" applyAlignment="1">
      <alignment horizontal="center"/>
      <protection/>
    </xf>
    <xf numFmtId="196" fontId="10" fillId="0" borderId="0" xfId="25" applyNumberFormat="1" applyFont="1" applyProtection="1">
      <alignment/>
      <protection/>
    </xf>
    <xf numFmtId="199" fontId="10" fillId="0" borderId="0" xfId="25" applyNumberFormat="1" applyFont="1" applyProtection="1">
      <alignment/>
      <protection/>
    </xf>
    <xf numFmtId="0" fontId="2" fillId="0" borderId="0" xfId="55">
      <alignment/>
      <protection/>
    </xf>
    <xf numFmtId="172" fontId="3" fillId="0" borderId="0" xfId="25" applyNumberFormat="1" applyProtection="1">
      <alignment/>
      <protection/>
    </xf>
    <xf numFmtId="196" fontId="10" fillId="0" borderId="1" xfId="25" applyNumberFormat="1" applyFont="1" applyBorder="1" applyProtection="1">
      <alignment/>
      <protection/>
    </xf>
    <xf numFmtId="196" fontId="10" fillId="0" borderId="1" xfId="25" applyNumberFormat="1" applyFont="1" applyBorder="1" applyAlignment="1" applyProtection="1">
      <alignment horizontal="left"/>
      <protection/>
    </xf>
    <xf numFmtId="0" fontId="12" fillId="0" borderId="4" xfId="25" applyFont="1" applyBorder="1" applyAlignment="1">
      <alignment horizontal="left"/>
      <protection/>
    </xf>
    <xf numFmtId="0" fontId="10" fillId="0" borderId="4" xfId="25" applyFont="1" applyBorder="1">
      <alignment/>
      <protection/>
    </xf>
    <xf numFmtId="0" fontId="13" fillId="0" borderId="0" xfId="25" applyFont="1" applyBorder="1">
      <alignment/>
      <protection/>
    </xf>
    <xf numFmtId="0" fontId="10" fillId="0" borderId="1" xfId="123" applyFont="1" applyBorder="1" applyAlignment="1" quotePrefix="1">
      <alignment horizontal="left"/>
      <protection/>
    </xf>
    <xf numFmtId="0" fontId="10" fillId="0" borderId="1" xfId="123" applyFont="1" applyBorder="1">
      <alignment/>
      <protection/>
    </xf>
    <xf numFmtId="0" fontId="4" fillId="0" borderId="1" xfId="123" applyBorder="1">
      <alignment/>
      <protection/>
    </xf>
    <xf numFmtId="0" fontId="4" fillId="0" borderId="0" xfId="123">
      <alignment/>
      <protection/>
    </xf>
    <xf numFmtId="0" fontId="10" fillId="0" borderId="0" xfId="123" applyFont="1" applyAlignment="1">
      <alignment horizontal="left"/>
      <protection/>
    </xf>
    <xf numFmtId="0" fontId="10" fillId="0" borderId="4" xfId="123" applyFont="1" applyBorder="1" applyAlignment="1">
      <alignment horizontal="center"/>
      <protection/>
    </xf>
    <xf numFmtId="0" fontId="10" fillId="0" borderId="0" xfId="123" applyFont="1" applyBorder="1" applyAlignment="1">
      <alignment horizontal="center"/>
      <protection/>
    </xf>
    <xf numFmtId="0" fontId="10" fillId="0" borderId="3" xfId="123" applyFont="1" applyBorder="1" applyAlignment="1">
      <alignment horizontal="left"/>
      <protection/>
    </xf>
    <xf numFmtId="0" fontId="10" fillId="0" borderId="3" xfId="123" applyFont="1" applyBorder="1">
      <alignment/>
      <protection/>
    </xf>
    <xf numFmtId="0" fontId="4" fillId="0" borderId="0" xfId="123" applyAlignment="1">
      <alignment horizontal="left"/>
      <protection/>
    </xf>
    <xf numFmtId="0" fontId="10" fillId="0" borderId="0" xfId="123" applyFont="1" applyAlignment="1" quotePrefix="1">
      <alignment horizontal="left"/>
      <protection/>
    </xf>
    <xf numFmtId="0" fontId="10" fillId="0" borderId="0" xfId="123" applyFont="1" applyAlignment="1" quotePrefix="1">
      <alignment horizontal="center"/>
      <protection/>
    </xf>
    <xf numFmtId="0" fontId="10" fillId="0" borderId="0" xfId="123" applyFont="1" applyBorder="1" applyAlignment="1" quotePrefix="1">
      <alignment horizontal="center"/>
      <protection/>
    </xf>
    <xf numFmtId="0" fontId="10" fillId="0" borderId="1" xfId="123" applyFont="1" applyBorder="1" applyAlignment="1">
      <alignment horizontal="left"/>
      <protection/>
    </xf>
    <xf numFmtId="0" fontId="10" fillId="0" borderId="1" xfId="123" applyFont="1" applyBorder="1" applyAlignment="1" quotePrefix="1">
      <alignment horizontal="center"/>
      <protection/>
    </xf>
    <xf numFmtId="0" fontId="4" fillId="0" borderId="1" xfId="123" applyBorder="1" applyAlignment="1">
      <alignment horizontal="left"/>
      <protection/>
    </xf>
    <xf numFmtId="0" fontId="10" fillId="0" borderId="0" xfId="123" applyFont="1">
      <alignment/>
      <protection/>
    </xf>
    <xf numFmtId="0" fontId="10" fillId="0" borderId="0" xfId="123" applyFont="1" applyAlignment="1" applyProtection="1">
      <alignment horizontal="left"/>
      <protection locked="0"/>
    </xf>
    <xf numFmtId="37" fontId="10" fillId="0" borderId="0" xfId="123" applyNumberFormat="1" applyFont="1" applyProtection="1">
      <alignment/>
      <protection/>
    </xf>
    <xf numFmtId="37" fontId="4" fillId="0" borderId="0" xfId="123" applyNumberFormat="1">
      <alignment/>
      <protection/>
    </xf>
    <xf numFmtId="0" fontId="12" fillId="0" borderId="4" xfId="123" applyFont="1" applyBorder="1" applyAlignment="1" quotePrefix="1">
      <alignment horizontal="left"/>
      <protection/>
    </xf>
    <xf numFmtId="0" fontId="12" fillId="0" borderId="4" xfId="123" applyFont="1" applyBorder="1" applyAlignment="1">
      <alignment horizontal="left"/>
      <protection/>
    </xf>
    <xf numFmtId="9" fontId="10" fillId="0" borderId="4" xfId="123" applyNumberFormat="1" applyFont="1" applyBorder="1" applyProtection="1">
      <alignment/>
      <protection/>
    </xf>
    <xf numFmtId="37" fontId="10" fillId="0" borderId="5" xfId="123" applyNumberFormat="1" applyFont="1" applyBorder="1" applyProtection="1">
      <alignment/>
      <protection/>
    </xf>
    <xf numFmtId="0" fontId="10" fillId="0" borderId="4" xfId="123" applyFont="1" applyBorder="1">
      <alignment/>
      <protection/>
    </xf>
    <xf numFmtId="0" fontId="4" fillId="0" borderId="4" xfId="123" applyBorder="1">
      <alignment/>
      <protection/>
    </xf>
    <xf numFmtId="0" fontId="12" fillId="0" borderId="0" xfId="123" applyFont="1" applyBorder="1" applyAlignment="1" quotePrefix="1">
      <alignment horizontal="left"/>
      <protection/>
    </xf>
    <xf numFmtId="0" fontId="12" fillId="0" borderId="0" xfId="123" applyFont="1" applyBorder="1" applyAlignment="1">
      <alignment horizontal="left"/>
      <protection/>
    </xf>
    <xf numFmtId="9" fontId="10" fillId="0" borderId="0" xfId="123" applyNumberFormat="1" applyFont="1" applyBorder="1" applyProtection="1">
      <alignment/>
      <protection/>
    </xf>
    <xf numFmtId="37" fontId="10" fillId="0" borderId="0" xfId="123" applyNumberFormat="1" applyFont="1" applyBorder="1" applyProtection="1">
      <alignment/>
      <protection/>
    </xf>
    <xf numFmtId="0" fontId="10" fillId="0" borderId="0" xfId="123" applyFont="1" applyBorder="1">
      <alignment/>
      <protection/>
    </xf>
    <xf numFmtId="0" fontId="4" fillId="0" borderId="0" xfId="123" applyBorder="1">
      <alignment/>
      <protection/>
    </xf>
    <xf numFmtId="0" fontId="12" fillId="0" borderId="0" xfId="123" applyFont="1" applyAlignment="1" applyProtection="1">
      <alignment horizontal="left"/>
      <protection locked="0"/>
    </xf>
    <xf numFmtId="37" fontId="10" fillId="0" borderId="0" xfId="123" applyNumberFormat="1" applyFont="1">
      <alignment/>
      <protection/>
    </xf>
    <xf numFmtId="0" fontId="26" fillId="0" borderId="0" xfId="123" applyFont="1" applyAlignment="1">
      <alignment wrapText="1"/>
      <protection/>
    </xf>
    <xf numFmtId="0" fontId="27" fillId="0" borderId="0" xfId="123" applyFont="1" applyProtection="1">
      <alignment/>
      <protection locked="0"/>
    </xf>
    <xf numFmtId="37" fontId="4" fillId="0" borderId="0" xfId="123" applyNumberFormat="1" applyProtection="1">
      <alignment/>
      <protection/>
    </xf>
    <xf numFmtId="0" fontId="10" fillId="0" borderId="0" xfId="123" applyFont="1" applyAlignment="1">
      <alignment horizontal="right"/>
      <protection/>
    </xf>
    <xf numFmtId="0" fontId="10" fillId="0" borderId="1" xfId="123" applyFont="1" applyBorder="1" applyAlignment="1">
      <alignment horizontal="right"/>
      <protection/>
    </xf>
    <xf numFmtId="0" fontId="10" fillId="0" borderId="0" xfId="123" applyFont="1" applyAlignment="1" applyProtection="1">
      <alignment horizontal="left"/>
      <protection locked="0"/>
    </xf>
    <xf numFmtId="0" fontId="10" fillId="0" borderId="0" xfId="123" applyFont="1" applyAlignment="1" applyProtection="1" quotePrefix="1">
      <alignment horizontal="left"/>
      <protection locked="0"/>
    </xf>
    <xf numFmtId="174" fontId="10" fillId="0" borderId="0" xfId="123" applyNumberFormat="1" applyFont="1" applyProtection="1">
      <alignment/>
      <protection/>
    </xf>
    <xf numFmtId="174" fontId="4" fillId="0" borderId="0" xfId="123" applyNumberFormat="1">
      <alignment/>
      <protection/>
    </xf>
    <xf numFmtId="174" fontId="10" fillId="0" borderId="0" xfId="123" applyNumberFormat="1" applyFont="1" applyAlignment="1" applyProtection="1">
      <alignment horizontal="right"/>
      <protection/>
    </xf>
    <xf numFmtId="0" fontId="10" fillId="0" borderId="0" xfId="123" applyFont="1" applyAlignment="1" applyProtection="1" quotePrefix="1">
      <alignment horizontal="left"/>
      <protection locked="0"/>
    </xf>
    <xf numFmtId="174" fontId="10" fillId="0" borderId="4" xfId="123" applyNumberFormat="1" applyFont="1" applyBorder="1" applyProtection="1">
      <alignment/>
      <protection/>
    </xf>
    <xf numFmtId="174" fontId="4" fillId="0" borderId="0" xfId="123" applyNumberFormat="1" applyProtection="1">
      <alignment/>
      <protection/>
    </xf>
    <xf numFmtId="0" fontId="10" fillId="0" borderId="1" xfId="123" applyFont="1" applyBorder="1" applyAlignment="1">
      <alignment horizontal="center"/>
      <protection/>
    </xf>
    <xf numFmtId="0" fontId="4" fillId="0" borderId="2" xfId="123" applyBorder="1">
      <alignment/>
      <protection/>
    </xf>
    <xf numFmtId="0" fontId="28" fillId="0" borderId="0" xfId="123" applyFont="1" applyProtection="1">
      <alignment/>
      <protection locked="0"/>
    </xf>
    <xf numFmtId="177" fontId="10" fillId="0" borderId="0" xfId="123" applyNumberFormat="1" applyFont="1" applyProtection="1">
      <alignment/>
      <protection/>
    </xf>
    <xf numFmtId="177" fontId="4" fillId="0" borderId="0" xfId="123" applyNumberFormat="1" applyProtection="1">
      <alignment/>
      <protection/>
    </xf>
    <xf numFmtId="177" fontId="10" fillId="0" borderId="0" xfId="123" applyNumberFormat="1" applyFont="1" applyAlignment="1" applyProtection="1" quotePrefix="1">
      <alignment horizontal="left"/>
      <protection/>
    </xf>
    <xf numFmtId="177" fontId="4" fillId="0" borderId="0" xfId="123" applyNumberFormat="1" applyAlignment="1" applyProtection="1">
      <alignment horizontal="left"/>
      <protection/>
    </xf>
    <xf numFmtId="177" fontId="10" fillId="0" borderId="0" xfId="123" applyNumberFormat="1" applyFont="1" applyAlignment="1" applyProtection="1">
      <alignment horizontal="right"/>
      <protection/>
    </xf>
    <xf numFmtId="0" fontId="29" fillId="0" borderId="0" xfId="123" applyFont="1" applyAlignment="1">
      <alignment horizontal="left"/>
      <protection/>
    </xf>
    <xf numFmtId="0" fontId="28" fillId="0" borderId="0" xfId="123" applyFont="1">
      <alignment/>
      <protection/>
    </xf>
    <xf numFmtId="0" fontId="30" fillId="0" borderId="0" xfId="123" applyFont="1">
      <alignment/>
      <protection/>
    </xf>
    <xf numFmtId="177" fontId="10" fillId="0" borderId="0" xfId="123" applyNumberFormat="1" applyFont="1" applyAlignment="1" applyProtection="1">
      <alignment horizontal="left"/>
      <protection/>
    </xf>
    <xf numFmtId="0" fontId="4" fillId="0" borderId="0" xfId="123" applyFont="1">
      <alignment/>
      <protection/>
    </xf>
    <xf numFmtId="177" fontId="4" fillId="0" borderId="0" xfId="123" applyNumberFormat="1" applyFont="1" applyProtection="1">
      <alignment/>
      <protection/>
    </xf>
    <xf numFmtId="235" fontId="4" fillId="0" borderId="0" xfId="123" applyNumberFormat="1" applyFont="1" applyProtection="1">
      <alignment/>
      <protection/>
    </xf>
    <xf numFmtId="235" fontId="4" fillId="0" borderId="0" xfId="123" applyNumberFormat="1" applyProtection="1">
      <alignment/>
      <protection/>
    </xf>
    <xf numFmtId="177" fontId="10" fillId="0" borderId="4" xfId="123" applyNumberFormat="1" applyFont="1" applyBorder="1" applyProtection="1">
      <alignment/>
      <protection/>
    </xf>
    <xf numFmtId="0" fontId="12" fillId="0" borderId="0" xfId="123" applyFont="1" applyAlignment="1">
      <alignment horizontal="left"/>
      <protection/>
    </xf>
    <xf numFmtId="174" fontId="10" fillId="0" borderId="0" xfId="123" applyNumberFormat="1" applyFont="1" applyBorder="1" applyProtection="1">
      <alignment/>
      <protection/>
    </xf>
    <xf numFmtId="0" fontId="31" fillId="0" borderId="0" xfId="25" applyFont="1">
      <alignment/>
      <protection/>
    </xf>
    <xf numFmtId="175" fontId="31" fillId="0" borderId="0" xfId="25" applyNumberFormat="1" applyFont="1" applyProtection="1">
      <alignment/>
      <protection/>
    </xf>
    <xf numFmtId="0" fontId="12" fillId="0" borderId="0" xfId="25" applyFont="1" applyBorder="1" applyAlignment="1" quotePrefix="1">
      <alignment horizontal="left"/>
      <protection/>
    </xf>
    <xf numFmtId="0" fontId="10" fillId="0" borderId="0" xfId="25" applyFont="1" applyAlignment="1" quotePrefix="1">
      <alignment horizontal="left"/>
      <protection/>
    </xf>
    <xf numFmtId="180" fontId="10" fillId="0" borderId="4" xfId="25" applyNumberFormat="1" applyFont="1" applyBorder="1" applyAlignment="1" applyProtection="1">
      <alignment horizontal="center"/>
      <protection/>
    </xf>
    <xf numFmtId="180" fontId="10" fillId="0" borderId="4" xfId="25" applyNumberFormat="1" applyFont="1" applyBorder="1" applyAlignment="1" applyProtection="1" quotePrefix="1">
      <alignment horizontal="center"/>
      <protection/>
    </xf>
    <xf numFmtId="0" fontId="10" fillId="0" borderId="4" xfId="25" applyFont="1" applyBorder="1" applyAlignment="1" quotePrefix="1">
      <alignment horizontal="center"/>
      <protection/>
    </xf>
    <xf numFmtId="0" fontId="10" fillId="0" borderId="0" xfId="25" applyFont="1" applyAlignment="1">
      <alignment horizontal="left" indent="1"/>
      <protection/>
    </xf>
    <xf numFmtId="0" fontId="10" fillId="0" borderId="0" xfId="25" applyFont="1" applyAlignment="1">
      <alignment horizontal="left" indent="2"/>
      <protection/>
    </xf>
    <xf numFmtId="0" fontId="10" fillId="0" borderId="0" xfId="25" applyFont="1" applyAlignment="1" quotePrefix="1">
      <alignment horizontal="left" indent="1"/>
      <protection/>
    </xf>
    <xf numFmtId="180" fontId="10" fillId="0" borderId="4" xfId="25" applyNumberFormat="1" applyFont="1" applyBorder="1" applyAlignment="1" applyProtection="1" quotePrefix="1">
      <alignment horizontal="left"/>
      <protection/>
    </xf>
    <xf numFmtId="175" fontId="10" fillId="0" borderId="2" xfId="25" applyNumberFormat="1" applyFont="1" applyBorder="1" applyProtection="1">
      <alignment/>
      <protection/>
    </xf>
    <xf numFmtId="225" fontId="10" fillId="0" borderId="0" xfId="15" applyNumberFormat="1" applyFont="1" applyBorder="1" applyAlignment="1" applyProtection="1">
      <alignment/>
      <protection/>
    </xf>
    <xf numFmtId="225" fontId="10" fillId="0" borderId="2" xfId="15" applyNumberFormat="1" applyFont="1" applyBorder="1" applyAlignment="1" applyProtection="1">
      <alignment/>
      <protection/>
    </xf>
    <xf numFmtId="0" fontId="10" fillId="0" borderId="2" xfId="25" applyFont="1" applyBorder="1" applyAlignment="1">
      <alignment horizontal="left" indent="2"/>
      <protection/>
    </xf>
    <xf numFmtId="0" fontId="10" fillId="0" borderId="2" xfId="25" applyFont="1" applyBorder="1" applyAlignment="1" quotePrefix="1">
      <alignment horizontal="center"/>
      <protection/>
    </xf>
    <xf numFmtId="0" fontId="10" fillId="0" borderId="0" xfId="25" applyFont="1" applyAlignment="1" quotePrefix="1">
      <alignment horizontal="center"/>
      <protection/>
    </xf>
    <xf numFmtId="175" fontId="10" fillId="0" borderId="2" xfId="25" applyNumberFormat="1" applyFont="1" applyBorder="1" applyAlignment="1" applyProtection="1">
      <alignment horizontal="center"/>
      <protection/>
    </xf>
    <xf numFmtId="225" fontId="10" fillId="0" borderId="0" xfId="15" applyNumberFormat="1" applyFont="1" applyBorder="1" applyAlignment="1">
      <alignment/>
    </xf>
    <xf numFmtId="0" fontId="31" fillId="0" borderId="0" xfId="25" applyFont="1" applyAlignment="1">
      <alignment horizontal="center"/>
      <protection/>
    </xf>
    <xf numFmtId="0" fontId="31" fillId="0" borderId="2" xfId="25" applyFont="1" applyBorder="1">
      <alignment/>
      <protection/>
    </xf>
    <xf numFmtId="0" fontId="31" fillId="0" borderId="2" xfId="25" applyFont="1" applyBorder="1" applyAlignment="1">
      <alignment horizontal="center"/>
      <protection/>
    </xf>
    <xf numFmtId="198" fontId="10" fillId="0" borderId="0" xfId="36" applyNumberFormat="1" applyFont="1" applyBorder="1" applyProtection="1">
      <alignment/>
      <protection/>
    </xf>
    <xf numFmtId="172" fontId="10" fillId="0" borderId="0" xfId="36" applyNumberFormat="1" applyFont="1" applyBorder="1" applyProtection="1">
      <alignment/>
      <protection/>
    </xf>
    <xf numFmtId="185" fontId="10" fillId="0" borderId="0" xfId="36" applyNumberFormat="1" applyFont="1" applyBorder="1" applyProtection="1">
      <alignment/>
      <protection/>
    </xf>
    <xf numFmtId="183" fontId="10" fillId="0" borderId="0" xfId="36" applyNumberFormat="1" applyFont="1" applyBorder="1" applyProtection="1">
      <alignment/>
      <protection/>
    </xf>
    <xf numFmtId="0" fontId="12" fillId="0" borderId="0" xfId="36" applyFont="1" applyBorder="1" applyAlignment="1" quotePrefix="1">
      <alignment horizontal="left"/>
      <protection/>
    </xf>
    <xf numFmtId="185" fontId="10" fillId="0" borderId="0" xfId="36" applyNumberFormat="1" applyFont="1" applyAlignment="1" applyProtection="1" quotePrefix="1">
      <alignment horizontal="left"/>
      <protection/>
    </xf>
    <xf numFmtId="185" fontId="10" fillId="0" borderId="2" xfId="36" applyNumberFormat="1" applyFont="1" applyBorder="1" applyAlignment="1" applyProtection="1" quotePrefix="1">
      <alignment horizontal="left"/>
      <protection/>
    </xf>
    <xf numFmtId="0" fontId="10" fillId="0" borderId="2" xfId="25" applyFont="1" applyBorder="1" applyAlignment="1">
      <alignment horizontal="center"/>
      <protection/>
    </xf>
    <xf numFmtId="179" fontId="10" fillId="0" borderId="0" xfId="15" applyNumberFormat="1" applyFont="1" applyAlignment="1">
      <alignment/>
    </xf>
    <xf numFmtId="179" fontId="10" fillId="0" borderId="0" xfId="25" applyNumberFormat="1" applyFont="1">
      <alignment/>
      <protection/>
    </xf>
    <xf numFmtId="179" fontId="10" fillId="0" borderId="2" xfId="25" applyNumberFormat="1" applyFont="1" applyBorder="1">
      <alignment/>
      <protection/>
    </xf>
  </cellXfs>
  <cellStyles count="111">
    <cellStyle name="Normal" xfId="0"/>
    <cellStyle name="Comma" xfId="15"/>
    <cellStyle name="Comma [0]" xfId="16"/>
    <cellStyle name="Currency" xfId="17"/>
    <cellStyle name="Currency [0]" xfId="18"/>
    <cellStyle name="Followed Hyperlink" xfId="19"/>
    <cellStyle name="Followed Hyperlink_LettuceArticleTabs" xfId="20"/>
    <cellStyle name="Followed Hyperlink_Yrbk2001_3" xfId="21"/>
    <cellStyle name="Hyperlink" xfId="22"/>
    <cellStyle name="Hyperlink_LettuceArticleTabs" xfId="23"/>
    <cellStyle name="Hyperlink_Yrbk2001_3" xfId="24"/>
    <cellStyle name="Normal_A" xfId="25"/>
    <cellStyle name="Normal_A (2)" xfId="26"/>
    <cellStyle name="Normal_A (2)_1" xfId="27"/>
    <cellStyle name="Normal_A (3)" xfId="28"/>
    <cellStyle name="Normal_A (4)" xfId="29"/>
    <cellStyle name="Normal_A (4)_1" xfId="30"/>
    <cellStyle name="Normal_A (4)_2" xfId="31"/>
    <cellStyle name="Normal_A (5)" xfId="32"/>
    <cellStyle name="Normal_A (5)_1" xfId="33"/>
    <cellStyle name="Normal_A (6)" xfId="34"/>
    <cellStyle name="Normal_A (7)" xfId="35"/>
    <cellStyle name="Normal_A_1" xfId="36"/>
    <cellStyle name="Normal_A_1_Yrbk2001_3" xfId="37"/>
    <cellStyle name="Normal_A_2" xfId="38"/>
    <cellStyle name="Normal_A_2_Yrbk2001_3" xfId="39"/>
    <cellStyle name="Normal_A_3" xfId="40"/>
    <cellStyle name="Normal_A_4" xfId="41"/>
    <cellStyle name="Normal_A_5" xfId="42"/>
    <cellStyle name="Normal_A_6" xfId="43"/>
    <cellStyle name="Normal_A_7" xfId="44"/>
    <cellStyle name="Normal_A_APR2001TAB" xfId="45"/>
    <cellStyle name="Normal_A_Yrbk2001_3" xfId="46"/>
    <cellStyle name="Normal_Book1" xfId="47"/>
    <cellStyle name="Normal_firm size" xfId="48"/>
    <cellStyle name="Normal_FreshSU" xfId="49"/>
    <cellStyle name="Normal_IRI nat salad BRAND data" xfId="50"/>
    <cellStyle name="Normal_IRI prep salad BRAND data" xfId="51"/>
    <cellStyle name="Normal_IRI prep salad upc" xfId="52"/>
    <cellStyle name="Normal_lettuce FirmProfiles" xfId="53"/>
    <cellStyle name="Normal_lettuce status" xfId="54"/>
    <cellStyle name="Normal_NOV2000TAB" xfId="55"/>
    <cellStyle name="Normal_NovTabChicago" xfId="56"/>
    <cellStyle name="Normal_Potato4" xfId="57"/>
    <cellStyle name="Normal_Sheet1" xfId="58"/>
    <cellStyle name="Normal_Sheet1_APR2001TAB" xfId="59"/>
    <cellStyle name="Normal_TAB01" xfId="60"/>
    <cellStyle name="Normal_TAB02" xfId="61"/>
    <cellStyle name="Normal_TAB03" xfId="62"/>
    <cellStyle name="Normal_TAB04" xfId="63"/>
    <cellStyle name="Normal_TAB05" xfId="64"/>
    <cellStyle name="Normal_TAB06" xfId="65"/>
    <cellStyle name="Normal_tab062" xfId="66"/>
    <cellStyle name="Normal_TAB07" xfId="67"/>
    <cellStyle name="Normal_tab074" xfId="68"/>
    <cellStyle name="Normal_tab079" xfId="69"/>
    <cellStyle name="Normal_TAB08" xfId="70"/>
    <cellStyle name="Normal_tab086" xfId="71"/>
    <cellStyle name="Normal_tab09" xfId="72"/>
    <cellStyle name="Normal_tab09 (2)" xfId="73"/>
    <cellStyle name="Normal_TAB09_APR2001TAB" xfId="74"/>
    <cellStyle name="Normal_TAB10" xfId="75"/>
    <cellStyle name="Normal_Tab11" xfId="76"/>
    <cellStyle name="Normal_TAB11_APR2001TAB" xfId="77"/>
    <cellStyle name="Normal_TAB12" xfId="78"/>
    <cellStyle name="Normal_tab121" xfId="79"/>
    <cellStyle name="Normal_TAB13" xfId="80"/>
    <cellStyle name="Normal_TAB14" xfId="81"/>
    <cellStyle name="Normal_TAB15" xfId="82"/>
    <cellStyle name="Normal_TAB16" xfId="83"/>
    <cellStyle name="Normal_TAB17" xfId="84"/>
    <cellStyle name="Normal_TAB17_1" xfId="85"/>
    <cellStyle name="Normal_TAB19" xfId="86"/>
    <cellStyle name="Normal_TAB20" xfId="87"/>
    <cellStyle name="Normal_TAB21" xfId="88"/>
    <cellStyle name="Normal_Tab22" xfId="89"/>
    <cellStyle name="Normal_TAB22_APR2001TAB" xfId="90"/>
    <cellStyle name="Normal_TAB23" xfId="91"/>
    <cellStyle name="Normal_TAB25" xfId="92"/>
    <cellStyle name="Normal_TAB26" xfId="93"/>
    <cellStyle name="Normal_TAB27" xfId="94"/>
    <cellStyle name="Normal_TAB28" xfId="95"/>
    <cellStyle name="Normal_TAB29" xfId="96"/>
    <cellStyle name="Normal_TAB30" xfId="97"/>
    <cellStyle name="Normal_TAB31" xfId="98"/>
    <cellStyle name="Normal_TAB32" xfId="99"/>
    <cellStyle name="Normal_TAB33" xfId="100"/>
    <cellStyle name="Normal_TAB34" xfId="101"/>
    <cellStyle name="Normal_TAB35" xfId="102"/>
    <cellStyle name="Normal_TAB35_1" xfId="103"/>
    <cellStyle name="Normal_TAB36" xfId="104"/>
    <cellStyle name="Normal_TAB37" xfId="105"/>
    <cellStyle name="Normal_TAB38" xfId="106"/>
    <cellStyle name="Normal_TAB39" xfId="107"/>
    <cellStyle name="Normal_Tab40" xfId="108"/>
    <cellStyle name="Normal_TAB40_APR2001TAB" xfId="109"/>
    <cellStyle name="Normal_TAB41" xfId="110"/>
    <cellStyle name="Normal_TAB42" xfId="111"/>
    <cellStyle name="Normal_TAB43" xfId="112"/>
    <cellStyle name="Normal_TAB44" xfId="113"/>
    <cellStyle name="Normal_TAB45" xfId="114"/>
    <cellStyle name="Normal_TAB46" xfId="115"/>
    <cellStyle name="Normal_TAB47" xfId="116"/>
    <cellStyle name="Normal_TAB48" xfId="117"/>
    <cellStyle name="Normal_TAB49" xfId="118"/>
    <cellStyle name="Normal_TAB50" xfId="119"/>
    <cellStyle name="Normal_TAB51" xfId="120"/>
    <cellStyle name="Normal_TABMEX" xfId="121"/>
    <cellStyle name="Normal_TomArticleTabs" xfId="122"/>
    <cellStyle name="Normal_Yrbk2001_3" xfId="123"/>
    <cellStyle name="Percent" xfId="1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SC\VEGEYS\S&amp;OTABS\NOVEMBER\2000Tables\NOV2000TA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fdrive\S&amp;OTABS\YEARBOOK\2001tables\Yrbk2001_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Fres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SC\VEGEYS\S&amp;OTABS\APRIL\2001tables\APR2001TA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fdrive\S&amp;OTABS\NOVEMBER\2000tables\Nov2000ta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IRI%20fresh%20cut%20salad%20fi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TEMP\lettuce%20web%20tables&amp;chart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TEMP\Lettuce%20Fe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TEMP\lettuce%20FirmProfi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fdrive\S&amp;OTABS\APRIL\2001Tables\IRI%20fresh%20cut%20salad%20fi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01"/>
      <sheetName val="TAB02"/>
      <sheetName val="tab03"/>
      <sheetName val="TAB04"/>
      <sheetName val="TAB05"/>
      <sheetName val="TAB06"/>
      <sheetName val="TAB07"/>
      <sheetName val="tab09"/>
      <sheetName val="tab10"/>
      <sheetName val="Tab11"/>
      <sheetName val="Tab12"/>
      <sheetName val="Tab13"/>
      <sheetName val="Tab14"/>
      <sheetName val="Tab15"/>
      <sheetName val="Tab16"/>
      <sheetName val="Tab17"/>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6"/>
      <sheetName val="Tab37"/>
      <sheetName val="Tab38"/>
      <sheetName val="Tab39"/>
      <sheetName val="Tab40"/>
      <sheetName val="TAB41"/>
      <sheetName val="Tab42"/>
      <sheetName val="Tab43"/>
      <sheetName val="Tab44"/>
      <sheetName val="Tab45"/>
      <sheetName val="Tab46"/>
      <sheetName val="Tab47"/>
      <sheetName val="Tab48"/>
      <sheetName val="Tab49"/>
      <sheetName val="Tab50"/>
      <sheetName val="Tab51"/>
      <sheetName val="Tab52"/>
      <sheetName val="Tab53"/>
      <sheetName val="Tab54"/>
      <sheetName val="TabA-1"/>
      <sheetName val="TabA-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073"/>
      <sheetName val="tab074"/>
      <sheetName val="tab075"/>
      <sheetName val="tab076"/>
      <sheetName val="tab077"/>
      <sheetName val="tab078"/>
      <sheetName val="tab079"/>
      <sheetName val="tab080"/>
      <sheetName val="tab081"/>
      <sheetName val="tab082"/>
      <sheetName val="tab083"/>
      <sheetName val="tab084"/>
      <sheetName val="tab085"/>
      <sheetName val="tab086"/>
      <sheetName val="tab087"/>
      <sheetName val="tab088"/>
      <sheetName val="tab089"/>
      <sheetName val="tab090"/>
      <sheetName val="tab091"/>
      <sheetName val="tab092"/>
      <sheetName val="tab093"/>
      <sheetName val="tab094"/>
      <sheetName val="tab095"/>
      <sheetName val="tab096"/>
      <sheetName val="tab097"/>
      <sheetName val="tab098"/>
      <sheetName val="tab099"/>
      <sheetName val="tab100"/>
      <sheetName val="tab101"/>
      <sheetName val="tab102"/>
      <sheetName val="tab103"/>
      <sheetName val="tab104"/>
      <sheetName val="tab105"/>
      <sheetName val="tab106"/>
      <sheetName val="tab107"/>
      <sheetName val="tab108"/>
      <sheetName val="tab109"/>
      <sheetName val="tab110"/>
      <sheetName val="tab111"/>
      <sheetName val="tab112"/>
      <sheetName val="tab113"/>
      <sheetName val="tab114"/>
      <sheetName val="tab115"/>
      <sheetName val="tab116"/>
      <sheetName val="tab117"/>
      <sheetName val="tab118"/>
      <sheetName val="tab119"/>
      <sheetName val="tab120"/>
      <sheetName val="tab121"/>
      <sheetName val="tab122"/>
      <sheetName val="tab123"/>
      <sheetName val="tab124"/>
      <sheetName val="tab125"/>
      <sheetName val="tab126"/>
      <sheetName val="tab127"/>
      <sheetName val="tab128"/>
      <sheetName val="tab129"/>
      <sheetName val="tab130"/>
      <sheetName val="tab131"/>
      <sheetName val="tab132"/>
      <sheetName val="tab133"/>
      <sheetName val="tab134"/>
      <sheetName val="tab135"/>
      <sheetName val="tab136"/>
      <sheetName val="tab137"/>
      <sheetName val="tab138"/>
      <sheetName val="tab139"/>
      <sheetName val="tab140"/>
      <sheetName val="tab141"/>
      <sheetName val="tab141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esh1"/>
      <sheetName val="Fresh2"/>
      <sheetName val="Fresh3"/>
      <sheetName val="Fresh4"/>
      <sheetName val="Fresh5"/>
      <sheetName val="Fresh6"/>
      <sheetName val="Fresh7"/>
      <sheetName val="Fresh8"/>
      <sheetName val="Fresh9"/>
    </sheetNames>
    <sheetDataSet>
      <sheetData sheetId="2">
        <row r="34">
          <cell r="A34" t="str">
            <v> 1/ Includes imports, exports, and domestic transfers.   Data are preliminary.   2/ Change from first quarter 2000.    3/ Excludes processed lettuce.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01"/>
      <sheetName val="TAB02"/>
      <sheetName val="TAB03"/>
      <sheetName val="TAB04"/>
      <sheetName val="TAB05"/>
      <sheetName val="TAB06"/>
      <sheetName val="TAB07"/>
      <sheetName val="TAB08"/>
      <sheetName val="TAB10"/>
      <sheetName val="TAB12"/>
      <sheetName val="TAB13"/>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5"/>
      <sheetName val="TAB46"/>
      <sheetName val="TAB47"/>
      <sheetName val="TAB48"/>
      <sheetName val="TAB49"/>
      <sheetName val="TAB50"/>
      <sheetName val="TAB51"/>
      <sheetName val="TabA-1"/>
      <sheetName val="TabA-2"/>
      <sheetName val="TabB-1"/>
      <sheetName val="TabB-2"/>
      <sheetName val="TabB-3"/>
      <sheetName val="TabB-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01"/>
      <sheetName val="TAB02"/>
      <sheetName val="tab03"/>
      <sheetName val="TAB04"/>
      <sheetName val="TAB05"/>
      <sheetName val="TAB06"/>
      <sheetName val="TAB07"/>
      <sheetName val="TAB08"/>
      <sheetName val="tab10"/>
      <sheetName val="Tab11"/>
      <sheetName val="Tab12"/>
      <sheetName val="Tab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5"/>
      <sheetName val="Tab46"/>
      <sheetName val="Tab47"/>
      <sheetName val="Tab48"/>
      <sheetName val="Tab49"/>
      <sheetName val="Tab50"/>
      <sheetName val="Tab51"/>
      <sheetName val="Tab52"/>
      <sheetName val="Tab53"/>
      <sheetName val="Tab54"/>
      <sheetName val="TabA-1"/>
      <sheetName val="TabA-2"/>
      <sheetName val="tab0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4&amp;99 firm sales"/>
      <sheetName val="94 firm sales"/>
      <sheetName val="99 firm sales"/>
      <sheetName val="Sheet1"/>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 lettuce s&amp;u"/>
      <sheetName val="rom&amp;leaf lett s&amp;u"/>
      <sheetName val="let s&amp;u tables"/>
      <sheetName val="Per Capita Consumption"/>
      <sheetName val="per cap chart2"/>
      <sheetName val="S&amp;O salad $ ch data"/>
      <sheetName val="fresh cut $ sales ch"/>
      <sheetName val="S&amp;O salad vol ch data"/>
      <sheetName val="fresh cut vol sales ch"/>
      <sheetName val="freshveg prep sld value"/>
      <sheetName val="prep sld $ sales ch"/>
      <sheetName val="prep sld $ mktshare ch"/>
      <sheetName val="lettuce Buyer Types"/>
      <sheetName val="lett 99 min-max ch"/>
      <sheetName val="lett 94&amp;99 median ch"/>
      <sheetName val="VA BuyerTypes"/>
      <sheetName val="VA min-max ch"/>
      <sheetName val="s&amp;o sales arrgmts table"/>
      <sheetName val="fee #s"/>
      <sheetName val="s&amp;o fees table"/>
      <sheetName val="service #s"/>
      <sheetName val="s&amp;o services table"/>
      <sheetName val="NASS 92-97"/>
      <sheetName val="NASS CA&amp;AZ %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e summary"/>
      <sheetName val="fees table "/>
      <sheetName val="fees table for fresh cut firms "/>
      <sheetName val="modified fees table"/>
      <sheetName val="original fees table"/>
      <sheetName val="Firm ID"/>
      <sheetName val="FeeTypes"/>
    </sheetNames>
    <sheetDataSet>
      <sheetData sheetId="2">
        <row r="1">
          <cell r="A1" t="str">
            <v>ID</v>
          </cell>
          <cell r="B1" t="str">
            <v>FirmID</v>
          </cell>
          <cell r="C1" t="str">
            <v>FirmName</v>
          </cell>
          <cell r="D1" t="str">
            <v>FeeID</v>
          </cell>
          <cell r="E1" t="str">
            <v>FeeType</v>
          </cell>
          <cell r="F1" t="str">
            <v>FeeComment</v>
          </cell>
          <cell r="G1" t="str">
            <v>Requested</v>
          </cell>
          <cell r="H1" t="str">
            <v>New</v>
          </cell>
          <cell r="I1" t="str">
            <v>Initiated</v>
          </cell>
          <cell r="J1" t="str">
            <v>Comply</v>
          </cell>
          <cell r="K1" t="str">
            <v>Arrangements</v>
          </cell>
          <cell r="L1" t="str">
            <v>Cost</v>
          </cell>
          <cell r="M1" t="str">
            <v>FeeUnit</v>
          </cell>
          <cell r="N1" t="str">
            <v>%sold</v>
          </cell>
          <cell r="O1" t="str">
            <v>Commitment</v>
          </cell>
          <cell r="P1" t="str">
            <v>TypeCommitment</v>
          </cell>
          <cell r="Q1" t="str">
            <v>Impact</v>
          </cell>
        </row>
        <row r="2">
          <cell r="A2">
            <v>45</v>
          </cell>
          <cell r="B2">
            <v>18</v>
          </cell>
          <cell r="C2" t="str">
            <v>Ready Pac Produce, Inc.</v>
          </cell>
          <cell r="D2">
            <v>1</v>
          </cell>
          <cell r="E2" t="str">
            <v>1. Pay fixed up-front s/l/w fee, new product</v>
          </cell>
          <cell r="F2" t="str">
            <v>C = Dole; impact = H/N?</v>
          </cell>
          <cell r="I2" t="str">
            <v>C</v>
          </cell>
        </row>
        <row r="3">
          <cell r="A3">
            <v>46</v>
          </cell>
          <cell r="B3">
            <v>18</v>
          </cell>
          <cell r="C3" t="str">
            <v>Ready Pac Produce, Inc.</v>
          </cell>
          <cell r="D3">
            <v>2</v>
          </cell>
          <cell r="E3" t="str">
            <v>2. Pay fixed up-front s/l/w fee, existing product</v>
          </cell>
          <cell r="F3" t="str">
            <v>C = Dole</v>
          </cell>
          <cell r="I3" t="str">
            <v>C</v>
          </cell>
          <cell r="Q3" t="str">
            <v>H</v>
          </cell>
        </row>
        <row r="4">
          <cell r="A4">
            <v>47</v>
          </cell>
          <cell r="B4">
            <v>18</v>
          </cell>
          <cell r="C4" t="str">
            <v>Ready Pac Produce, Inc.</v>
          </cell>
          <cell r="D4">
            <v>3</v>
          </cell>
          <cell r="E4" t="str">
            <v>3. Give volume incentives</v>
          </cell>
          <cell r="F4" t="str">
            <v>Zinke wasn't sure if Ready Pac has any volume-based incentives</v>
          </cell>
        </row>
        <row r="5">
          <cell r="A5">
            <v>48</v>
          </cell>
          <cell r="B5">
            <v>18</v>
          </cell>
          <cell r="C5" t="str">
            <v>Ready Pac Produce, Inc.</v>
          </cell>
          <cell r="D5">
            <v>4</v>
          </cell>
          <cell r="E5" t="str">
            <v>4. Pay promotional allowances or co-op ads</v>
          </cell>
          <cell r="G5" t="str">
            <v>Yes</v>
          </cell>
          <cell r="I5" t="str">
            <v>S</v>
          </cell>
        </row>
        <row r="6">
          <cell r="A6">
            <v>49</v>
          </cell>
          <cell r="B6">
            <v>18</v>
          </cell>
          <cell r="C6" t="str">
            <v>Ready Pac Produce, Inc.</v>
          </cell>
          <cell r="D6">
            <v>6</v>
          </cell>
          <cell r="E6" t="str">
            <v>6. Pay free-product discounts</v>
          </cell>
          <cell r="F6" t="str">
            <v>Unclear whether R or S initiated the discounts</v>
          </cell>
          <cell r="G6" t="str">
            <v>Yes</v>
          </cell>
          <cell r="P6" t="str">
            <v>"good faith" commitment on volume</v>
          </cell>
          <cell r="Q6" t="str">
            <v>N</v>
          </cell>
        </row>
        <row r="7">
          <cell r="A7">
            <v>50</v>
          </cell>
          <cell r="B7">
            <v>18</v>
          </cell>
          <cell r="C7" t="str">
            <v>Ready Pac Produce, Inc.</v>
          </cell>
          <cell r="D7">
            <v>7</v>
          </cell>
          <cell r="E7" t="str">
            <v>7. Buy-back unsold products or failure fees</v>
          </cell>
          <cell r="G7" t="str">
            <v>Yes</v>
          </cell>
        </row>
        <row r="8">
          <cell r="A8">
            <v>51</v>
          </cell>
          <cell r="B8">
            <v>18</v>
          </cell>
          <cell r="C8" t="str">
            <v>Ready Pac Produce, Inc.</v>
          </cell>
          <cell r="D8">
            <v>8</v>
          </cell>
          <cell r="E8" t="str">
            <v>8. Contribute to retail capital improvements</v>
          </cell>
          <cell r="G8" t="str">
            <v>No</v>
          </cell>
        </row>
        <row r="9">
          <cell r="A9">
            <v>52</v>
          </cell>
          <cell r="B9">
            <v>18</v>
          </cell>
          <cell r="C9" t="str">
            <v>Ready Pac Produce, Inc.</v>
          </cell>
          <cell r="D9">
            <v>9</v>
          </cell>
          <cell r="E9" t="str">
            <v>9. Pay e-commerce fees</v>
          </cell>
          <cell r="G9" t="str">
            <v>No</v>
          </cell>
        </row>
        <row r="10">
          <cell r="A10">
            <v>71</v>
          </cell>
          <cell r="B10">
            <v>21</v>
          </cell>
          <cell r="C10" t="str">
            <v>Pacific Int'l Mktg</v>
          </cell>
          <cell r="D10">
            <v>1</v>
          </cell>
          <cell r="E10" t="str">
            <v>1. Pay fixed up-front s/l/w fee, new product</v>
          </cell>
          <cell r="G10" t="str">
            <v>Yes</v>
          </cell>
          <cell r="H10" t="str">
            <v>Yes</v>
          </cell>
          <cell r="I10" t="str">
            <v>R</v>
          </cell>
          <cell r="J10" t="str">
            <v>Yes</v>
          </cell>
          <cell r="L10">
            <v>40000</v>
          </cell>
          <cell r="M10" t="str">
            <v>1T</v>
          </cell>
          <cell r="N10">
            <v>0.05</v>
          </cell>
          <cell r="O10" t="str">
            <v>No</v>
          </cell>
          <cell r="Q10" t="str">
            <v>H</v>
          </cell>
        </row>
        <row r="11">
          <cell r="A11">
            <v>72</v>
          </cell>
          <cell r="B11">
            <v>21</v>
          </cell>
          <cell r="C11" t="str">
            <v>Pacific Int'l Mktg</v>
          </cell>
          <cell r="D11">
            <v>2</v>
          </cell>
          <cell r="E11" t="str">
            <v>2. Pay fixed up-front s/l/w fee, existing product</v>
          </cell>
          <cell r="G11" t="str">
            <v>Yes</v>
          </cell>
          <cell r="H11" t="str">
            <v>Yes</v>
          </cell>
          <cell r="I11" t="str">
            <v>R</v>
          </cell>
          <cell r="J11" t="str">
            <v>No</v>
          </cell>
          <cell r="K11" t="str">
            <v>A</v>
          </cell>
          <cell r="L11">
            <v>20000</v>
          </cell>
          <cell r="M11" t="str">
            <v>/C</v>
          </cell>
          <cell r="N11">
            <v>0.1</v>
          </cell>
          <cell r="O11" t="str">
            <v>Yes</v>
          </cell>
          <cell r="Q11" t="str">
            <v>H</v>
          </cell>
        </row>
        <row r="12">
          <cell r="A12">
            <v>73</v>
          </cell>
          <cell r="B12">
            <v>21</v>
          </cell>
          <cell r="C12" t="str">
            <v>Pacific Int'l Mktg</v>
          </cell>
          <cell r="D12">
            <v>3</v>
          </cell>
          <cell r="E12" t="str">
            <v>3. Give volume incentives</v>
          </cell>
          <cell r="G12" t="str">
            <v>Yes</v>
          </cell>
          <cell r="H12" t="str">
            <v>No</v>
          </cell>
          <cell r="I12" t="str">
            <v>R</v>
          </cell>
          <cell r="J12" t="str">
            <v>Yes</v>
          </cell>
          <cell r="K12" t="str">
            <v>A</v>
          </cell>
          <cell r="L12">
            <v>50000</v>
          </cell>
          <cell r="M12" t="str">
            <v>/C</v>
          </cell>
          <cell r="N12">
            <v>0.1</v>
          </cell>
          <cell r="O12" t="str">
            <v>Yes</v>
          </cell>
          <cell r="Q12" t="str">
            <v>H</v>
          </cell>
        </row>
        <row r="13">
          <cell r="A13">
            <v>74</v>
          </cell>
          <cell r="B13">
            <v>21</v>
          </cell>
          <cell r="C13" t="str">
            <v>Pacific Int'l Mktg</v>
          </cell>
          <cell r="D13">
            <v>4</v>
          </cell>
          <cell r="E13" t="str">
            <v>4. Pay promotional allowances or co-op ads</v>
          </cell>
          <cell r="G13" t="str">
            <v>Yes</v>
          </cell>
          <cell r="H13" t="str">
            <v>No</v>
          </cell>
          <cell r="I13" t="str">
            <v>R</v>
          </cell>
          <cell r="J13" t="str">
            <v>Yes</v>
          </cell>
          <cell r="L13">
            <v>50000</v>
          </cell>
          <cell r="M13" t="str">
            <v>/S</v>
          </cell>
          <cell r="N13">
            <v>0.05</v>
          </cell>
          <cell r="O13" t="str">
            <v>No</v>
          </cell>
          <cell r="Q13" t="str">
            <v>H</v>
          </cell>
        </row>
        <row r="14">
          <cell r="A14">
            <v>75</v>
          </cell>
          <cell r="B14">
            <v>21</v>
          </cell>
          <cell r="C14" t="str">
            <v>Pacific Int'l Mktg</v>
          </cell>
          <cell r="D14">
            <v>5</v>
          </cell>
          <cell r="E14" t="str">
            <v>5. Pay other rebates</v>
          </cell>
          <cell r="G14" t="str">
            <v>Yes</v>
          </cell>
          <cell r="H14" t="str">
            <v>No</v>
          </cell>
          <cell r="I14" t="str">
            <v>R</v>
          </cell>
          <cell r="J14" t="str">
            <v>Yes</v>
          </cell>
          <cell r="L14">
            <v>100000</v>
          </cell>
          <cell r="M14" t="str">
            <v>/C</v>
          </cell>
          <cell r="N14">
            <v>0.1</v>
          </cell>
          <cell r="O14" t="str">
            <v>No</v>
          </cell>
          <cell r="Q14" t="str">
            <v>H</v>
          </cell>
        </row>
        <row r="15">
          <cell r="A15">
            <v>76</v>
          </cell>
          <cell r="B15">
            <v>21</v>
          </cell>
          <cell r="C15" t="str">
            <v>Pacific Int'l Mktg</v>
          </cell>
          <cell r="D15">
            <v>6</v>
          </cell>
          <cell r="E15" t="str">
            <v>6. Pay free-product discounts</v>
          </cell>
          <cell r="G15" t="str">
            <v>Yes</v>
          </cell>
          <cell r="H15" t="str">
            <v>No</v>
          </cell>
          <cell r="I15" t="str">
            <v>R</v>
          </cell>
          <cell r="J15" t="str">
            <v>Yes</v>
          </cell>
          <cell r="L15">
            <v>20000</v>
          </cell>
          <cell r="M15" t="str">
            <v>/S</v>
          </cell>
          <cell r="N15">
            <v>0.03</v>
          </cell>
          <cell r="O15" t="str">
            <v>No</v>
          </cell>
          <cell r="Q15" t="str">
            <v>H</v>
          </cell>
        </row>
        <row r="16">
          <cell r="A16">
            <v>77</v>
          </cell>
          <cell r="B16">
            <v>21</v>
          </cell>
          <cell r="C16" t="str">
            <v>Pacific Int'l Mktg</v>
          </cell>
          <cell r="D16">
            <v>7</v>
          </cell>
          <cell r="E16" t="str">
            <v>7. Buy-back unsold products or failure fees</v>
          </cell>
          <cell r="G16" t="str">
            <v>No</v>
          </cell>
        </row>
        <row r="17">
          <cell r="A17">
            <v>78</v>
          </cell>
          <cell r="B17">
            <v>21</v>
          </cell>
          <cell r="C17" t="str">
            <v>Pacific Int'l Mktg</v>
          </cell>
          <cell r="D17">
            <v>8</v>
          </cell>
          <cell r="E17" t="str">
            <v>8. Contribute to retail capital improvements</v>
          </cell>
          <cell r="G17" t="str">
            <v>No</v>
          </cell>
        </row>
        <row r="18">
          <cell r="A18">
            <v>79</v>
          </cell>
          <cell r="B18">
            <v>21</v>
          </cell>
          <cell r="C18" t="str">
            <v>Pacific Int'l Mktg</v>
          </cell>
          <cell r="D18">
            <v>9</v>
          </cell>
          <cell r="E18" t="str">
            <v>9. Pay e-commerce fees</v>
          </cell>
          <cell r="G18" t="str">
            <v>No</v>
          </cell>
        </row>
        <row r="19">
          <cell r="A19">
            <v>80</v>
          </cell>
          <cell r="B19">
            <v>22</v>
          </cell>
          <cell r="C19" t="str">
            <v>T &amp; A</v>
          </cell>
          <cell r="D19">
            <v>1</v>
          </cell>
          <cell r="E19" t="str">
            <v>1. Pay fixed up-front s/l/w fee, new product</v>
          </cell>
          <cell r="F19" t="str">
            <v>Fixed up-front here includes all types of fees, including rebates, add allowances, etc.  Everything is negotiated jointly.  This can cover both new and existing products.  The total amount of fees
come up to roughly 8% of the value of the product.</v>
          </cell>
          <cell r="G19" t="str">
            <v>Yes</v>
          </cell>
          <cell r="H19" t="str">
            <v>Yes</v>
          </cell>
          <cell r="I19" t="str">
            <v>C</v>
          </cell>
          <cell r="K19" t="str">
            <v>A</v>
          </cell>
          <cell r="L19">
            <v>6000000</v>
          </cell>
          <cell r="Q19" t="str">
            <v>H</v>
          </cell>
        </row>
        <row r="20">
          <cell r="A20">
            <v>81</v>
          </cell>
          <cell r="B20">
            <v>22</v>
          </cell>
          <cell r="C20" t="str">
            <v>T &amp; A</v>
          </cell>
          <cell r="D20">
            <v>2</v>
          </cell>
          <cell r="E20" t="str">
            <v>2. Pay fixed up-front s/l/w fee, existing product</v>
          </cell>
          <cell r="G20" t="str">
            <v>Yes</v>
          </cell>
          <cell r="I20" t="str">
            <v>C</v>
          </cell>
          <cell r="Q20" t="str">
            <v>H</v>
          </cell>
        </row>
        <row r="21">
          <cell r="A21">
            <v>82</v>
          </cell>
          <cell r="B21">
            <v>22</v>
          </cell>
          <cell r="C21" t="str">
            <v>T &amp; A</v>
          </cell>
          <cell r="D21">
            <v>3</v>
          </cell>
          <cell r="E21" t="str">
            <v>3. Give volume incentives</v>
          </cell>
          <cell r="G21" t="str">
            <v>Yes</v>
          </cell>
          <cell r="I21" t="str">
            <v>C</v>
          </cell>
          <cell r="Q21" t="str">
            <v>B</v>
          </cell>
        </row>
        <row r="22">
          <cell r="A22">
            <v>83</v>
          </cell>
          <cell r="B22">
            <v>22</v>
          </cell>
          <cell r="C22" t="str">
            <v>T &amp; A</v>
          </cell>
          <cell r="D22">
            <v>5</v>
          </cell>
          <cell r="E22" t="str">
            <v>5. Pay other rebates</v>
          </cell>
          <cell r="G22" t="str">
            <v>Yes</v>
          </cell>
          <cell r="Q22" t="str">
            <v>H</v>
          </cell>
        </row>
        <row r="23">
          <cell r="A23">
            <v>84</v>
          </cell>
          <cell r="B23">
            <v>22</v>
          </cell>
          <cell r="C23" t="str">
            <v>T &amp; A</v>
          </cell>
          <cell r="D23">
            <v>6</v>
          </cell>
          <cell r="E23" t="str">
            <v>6. Pay free-product discounts</v>
          </cell>
          <cell r="G23" t="str">
            <v>Yes</v>
          </cell>
          <cell r="Q23" t="str">
            <v>H</v>
          </cell>
        </row>
        <row r="24">
          <cell r="A24">
            <v>85</v>
          </cell>
          <cell r="B24">
            <v>22</v>
          </cell>
          <cell r="C24" t="str">
            <v>T &amp; A</v>
          </cell>
          <cell r="D24">
            <v>7</v>
          </cell>
          <cell r="E24" t="str">
            <v>7. Buy-back unsold products or failure fees</v>
          </cell>
          <cell r="G24" t="str">
            <v>Yes</v>
          </cell>
          <cell r="I24" t="str">
            <v>R</v>
          </cell>
          <cell r="J24" t="str">
            <v>No</v>
          </cell>
          <cell r="Q24" t="str">
            <v>N</v>
          </cell>
        </row>
        <row r="25">
          <cell r="A25">
            <v>86</v>
          </cell>
          <cell r="B25">
            <v>22</v>
          </cell>
          <cell r="C25" t="str">
            <v>T &amp; A</v>
          </cell>
          <cell r="D25">
            <v>8</v>
          </cell>
          <cell r="E25" t="str">
            <v>8. Contribute to retail capital improvements</v>
          </cell>
          <cell r="G25" t="str">
            <v>Yes</v>
          </cell>
          <cell r="I25" t="str">
            <v>R</v>
          </cell>
          <cell r="J25" t="str">
            <v>Yes</v>
          </cell>
          <cell r="Q25" t="str">
            <v>H</v>
          </cell>
        </row>
        <row r="26">
          <cell r="A26">
            <v>87</v>
          </cell>
          <cell r="B26">
            <v>22</v>
          </cell>
          <cell r="C26" t="str">
            <v>T &amp; A</v>
          </cell>
          <cell r="D26">
            <v>9</v>
          </cell>
          <cell r="E26" t="str">
            <v>9. Pay e-commerce fees</v>
          </cell>
          <cell r="G26" t="str">
            <v>No</v>
          </cell>
        </row>
        <row r="27">
          <cell r="A27">
            <v>94</v>
          </cell>
          <cell r="B27">
            <v>24</v>
          </cell>
          <cell r="C27" t="str">
            <v>NewStar Fresh Foods, LLC</v>
          </cell>
          <cell r="D27">
            <v>1</v>
          </cell>
          <cell r="E27" t="str">
            <v>1. Pay fixed up-front s/l/w fee, new product</v>
          </cell>
          <cell r="G27" t="str">
            <v>Yes</v>
          </cell>
          <cell r="H27" t="str">
            <v>Yes</v>
          </cell>
          <cell r="I27" t="str">
            <v>C</v>
          </cell>
          <cell r="J27" t="str">
            <v>No</v>
          </cell>
          <cell r="K27" t="str">
            <v>L</v>
          </cell>
          <cell r="N27">
            <v>0</v>
          </cell>
          <cell r="Q27" t="str">
            <v>H</v>
          </cell>
        </row>
        <row r="28">
          <cell r="A28">
            <v>95</v>
          </cell>
          <cell r="B28">
            <v>24</v>
          </cell>
          <cell r="C28" t="str">
            <v>NewStar Fresh Foods, LLC</v>
          </cell>
          <cell r="D28">
            <v>2</v>
          </cell>
          <cell r="E28" t="str">
            <v>2. Pay fixed up-front s/l/w fee, existing product</v>
          </cell>
          <cell r="G28" t="str">
            <v>Yes</v>
          </cell>
          <cell r="H28" t="str">
            <v>Yes</v>
          </cell>
          <cell r="I28" t="str">
            <v>C</v>
          </cell>
          <cell r="J28" t="str">
            <v>No</v>
          </cell>
          <cell r="K28" t="str">
            <v>L</v>
          </cell>
          <cell r="Q28" t="str">
            <v>H</v>
          </cell>
        </row>
        <row r="29">
          <cell r="A29">
            <v>96</v>
          </cell>
          <cell r="B29">
            <v>24</v>
          </cell>
          <cell r="C29" t="str">
            <v>NewStar Fresh Foods, LLC</v>
          </cell>
          <cell r="D29">
            <v>3</v>
          </cell>
          <cell r="E29" t="str">
            <v>3. Give volume incentives</v>
          </cell>
          <cell r="G29" t="str">
            <v>Yes</v>
          </cell>
          <cell r="I29" t="str">
            <v>R</v>
          </cell>
          <cell r="J29" t="str">
            <v>Yes</v>
          </cell>
          <cell r="K29" t="str">
            <v>A</v>
          </cell>
          <cell r="M29" t="str">
            <v>/C</v>
          </cell>
          <cell r="O29" t="str">
            <v>Yes</v>
          </cell>
          <cell r="P29" t="str">
            <v>volume</v>
          </cell>
          <cell r="Q29" t="str">
            <v>N</v>
          </cell>
        </row>
        <row r="30">
          <cell r="A30">
            <v>97</v>
          </cell>
          <cell r="B30">
            <v>24</v>
          </cell>
          <cell r="C30" t="str">
            <v>NewStar Fresh Foods, LLC</v>
          </cell>
          <cell r="D30">
            <v>4</v>
          </cell>
          <cell r="E30" t="str">
            <v>4. Pay promotional allowances or co-op ads</v>
          </cell>
          <cell r="G30" t="str">
            <v>Yes</v>
          </cell>
          <cell r="H30" t="str">
            <v>No</v>
          </cell>
          <cell r="I30" t="str">
            <v>R</v>
          </cell>
          <cell r="J30" t="str">
            <v>Yes</v>
          </cell>
          <cell r="M30" t="str">
            <v>/C</v>
          </cell>
          <cell r="O30" t="str">
            <v>Yes</v>
          </cell>
          <cell r="P30" t="str">
            <v>volume</v>
          </cell>
          <cell r="Q30" t="str">
            <v>B</v>
          </cell>
        </row>
        <row r="31">
          <cell r="A31">
            <v>98</v>
          </cell>
          <cell r="B31">
            <v>24</v>
          </cell>
          <cell r="C31" t="str">
            <v>NewStar Fresh Foods, LLC</v>
          </cell>
          <cell r="D31">
            <v>6</v>
          </cell>
          <cell r="E31" t="str">
            <v>6. Pay free-product discounts</v>
          </cell>
          <cell r="G31" t="str">
            <v>No</v>
          </cell>
        </row>
        <row r="32">
          <cell r="A32">
            <v>99</v>
          </cell>
          <cell r="B32">
            <v>24</v>
          </cell>
          <cell r="C32" t="str">
            <v>NewStar Fresh Foods, LLC</v>
          </cell>
          <cell r="D32">
            <v>7</v>
          </cell>
          <cell r="E32" t="str">
            <v>7. Buy-back unsold products or failure fees</v>
          </cell>
          <cell r="G32" t="str">
            <v>No</v>
          </cell>
        </row>
        <row r="33">
          <cell r="A33">
            <v>100</v>
          </cell>
          <cell r="B33">
            <v>24</v>
          </cell>
          <cell r="C33" t="str">
            <v>NewStar Fresh Foods, LLC</v>
          </cell>
          <cell r="D33">
            <v>8</v>
          </cell>
          <cell r="E33" t="str">
            <v>8. Contribute to retail capital improvements</v>
          </cell>
          <cell r="G33" t="str">
            <v>No</v>
          </cell>
        </row>
        <row r="34">
          <cell r="A34">
            <v>101</v>
          </cell>
          <cell r="B34">
            <v>25</v>
          </cell>
          <cell r="C34" t="str">
            <v>Fresh Express</v>
          </cell>
          <cell r="D34">
            <v>1</v>
          </cell>
          <cell r="E34" t="str">
            <v>1. Pay fixed up-front s/l/w fee, new product</v>
          </cell>
          <cell r="G34" t="str">
            <v>Yes</v>
          </cell>
          <cell r="I34" t="str">
            <v>C</v>
          </cell>
          <cell r="J34" t="str">
            <v>No</v>
          </cell>
          <cell r="K34" t="str">
            <v>A</v>
          </cell>
          <cell r="O34" t="str">
            <v>Yes</v>
          </cell>
          <cell r="Q34" t="str">
            <v>H</v>
          </cell>
        </row>
        <row r="35">
          <cell r="A35">
            <v>102</v>
          </cell>
          <cell r="B35">
            <v>25</v>
          </cell>
          <cell r="C35" t="str">
            <v>Fresh Express</v>
          </cell>
          <cell r="D35">
            <v>2</v>
          </cell>
          <cell r="E35" t="str">
            <v>2. Pay fixed up-front s/l/w fee, existing product</v>
          </cell>
          <cell r="F35" t="str">
            <v>Fees range from $20-40K for small accounts, to $500K for a retail chain division, up to $6M for an entire large chain such as Safeway.  Not clear if anyone actually paid $6M.</v>
          </cell>
          <cell r="G35" t="str">
            <v>Yes</v>
          </cell>
          <cell r="I35" t="str">
            <v>C</v>
          </cell>
          <cell r="J35" t="str">
            <v>Yes</v>
          </cell>
          <cell r="K35" t="str">
            <v>A</v>
          </cell>
          <cell r="O35" t="str">
            <v>Yes</v>
          </cell>
          <cell r="Q35" t="str">
            <v>H</v>
          </cell>
        </row>
        <row r="36">
          <cell r="A36">
            <v>103</v>
          </cell>
          <cell r="B36">
            <v>25</v>
          </cell>
          <cell r="C36" t="str">
            <v>Fresh Express</v>
          </cell>
          <cell r="D36">
            <v>3</v>
          </cell>
          <cell r="E36" t="str">
            <v>3. Give volume incentives</v>
          </cell>
          <cell r="G36" t="str">
            <v>Yes</v>
          </cell>
          <cell r="I36" t="str">
            <v>R</v>
          </cell>
          <cell r="J36" t="str">
            <v>Yes</v>
          </cell>
          <cell r="M36" t="str">
            <v>/C</v>
          </cell>
        </row>
        <row r="37">
          <cell r="A37">
            <v>104</v>
          </cell>
          <cell r="B37">
            <v>25</v>
          </cell>
          <cell r="C37" t="str">
            <v>Fresh Express</v>
          </cell>
          <cell r="D37">
            <v>4</v>
          </cell>
          <cell r="E37" t="str">
            <v>4. Pay promotional allowances or co-op ads</v>
          </cell>
          <cell r="G37" t="str">
            <v>Yes</v>
          </cell>
          <cell r="I37" t="str">
            <v>R</v>
          </cell>
          <cell r="J37" t="str">
            <v>Yes</v>
          </cell>
        </row>
        <row r="38">
          <cell r="A38">
            <v>105</v>
          </cell>
          <cell r="B38">
            <v>25</v>
          </cell>
          <cell r="C38" t="str">
            <v>Fresh Express</v>
          </cell>
          <cell r="D38">
            <v>5</v>
          </cell>
          <cell r="E38" t="str">
            <v>5. Pay other rebates</v>
          </cell>
          <cell r="F38" t="str">
            <v>Pay a per/case rebate if buyer grows the category at more than some agreed %.</v>
          </cell>
          <cell r="G38" t="str">
            <v>Yes</v>
          </cell>
          <cell r="I38" t="str">
            <v>R</v>
          </cell>
          <cell r="J38" t="str">
            <v>Yes</v>
          </cell>
        </row>
        <row r="39">
          <cell r="A39">
            <v>106</v>
          </cell>
          <cell r="B39">
            <v>25</v>
          </cell>
          <cell r="C39" t="str">
            <v>Fresh Express</v>
          </cell>
          <cell r="D39">
            <v>8</v>
          </cell>
          <cell r="E39" t="str">
            <v>8. Contribute to retail capital improvements</v>
          </cell>
          <cell r="G39" t="str">
            <v>Yes</v>
          </cell>
          <cell r="I39" t="str">
            <v>R</v>
          </cell>
          <cell r="J39" t="str">
            <v>Yes</v>
          </cell>
        </row>
      </sheetData>
      <sheetData sheetId="3">
        <row r="1">
          <cell r="A1" t="str">
            <v>ID</v>
          </cell>
          <cell r="B1" t="str">
            <v>FirmID</v>
          </cell>
          <cell r="C1" t="str">
            <v>FirmName</v>
          </cell>
          <cell r="D1" t="str">
            <v>FeeID</v>
          </cell>
          <cell r="E1" t="str">
            <v>FeeType</v>
          </cell>
          <cell r="F1" t="str">
            <v>FeeComment</v>
          </cell>
          <cell r="G1" t="str">
            <v>Requested</v>
          </cell>
          <cell r="H1" t="str">
            <v>New</v>
          </cell>
          <cell r="I1" t="str">
            <v>Initiated</v>
          </cell>
          <cell r="J1" t="str">
            <v>Comply</v>
          </cell>
          <cell r="K1" t="str">
            <v>Arrangements</v>
          </cell>
          <cell r="L1" t="str">
            <v>Cost</v>
          </cell>
          <cell r="M1" t="str">
            <v>FeeUnit</v>
          </cell>
          <cell r="N1" t="str">
            <v>%sold</v>
          </cell>
          <cell r="O1" t="str">
            <v>Commitment</v>
          </cell>
          <cell r="P1" t="str">
            <v>TypeCommitment</v>
          </cell>
          <cell r="Q1" t="str">
            <v>Impact</v>
          </cell>
        </row>
        <row r="2">
          <cell r="A2">
            <v>18</v>
          </cell>
          <cell r="B2">
            <v>5</v>
          </cell>
          <cell r="C2" t="str">
            <v>Boggiatto Produce, Inc.</v>
          </cell>
          <cell r="D2">
            <v>1</v>
          </cell>
          <cell r="E2" t="str">
            <v>1. Pay fixed up-front s/l/w fee, new product</v>
          </cell>
          <cell r="G2" t="str">
            <v>No</v>
          </cell>
        </row>
        <row r="3">
          <cell r="A3">
            <v>19</v>
          </cell>
          <cell r="B3">
            <v>5</v>
          </cell>
          <cell r="C3" t="str">
            <v>Boggiatto Produce, Inc.</v>
          </cell>
          <cell r="D3">
            <v>2</v>
          </cell>
          <cell r="E3" t="str">
            <v>2. Pay fixed up-front s/l/w fee, existing product</v>
          </cell>
          <cell r="G3" t="str">
            <v>No</v>
          </cell>
        </row>
        <row r="4">
          <cell r="A4">
            <v>20</v>
          </cell>
          <cell r="B4">
            <v>5</v>
          </cell>
          <cell r="C4" t="str">
            <v>Boggiatto Produce, Inc.</v>
          </cell>
          <cell r="D4">
            <v>3</v>
          </cell>
          <cell r="E4" t="str">
            <v>3. Give volume incentives</v>
          </cell>
          <cell r="F4" t="str">
            <v>Estimated by Cook based on an average of 15cents/carton. ($155,000/.15) = # of cartons paid fees on, divided by total shipments</v>
          </cell>
          <cell r="G4" t="str">
            <v>Yes</v>
          </cell>
          <cell r="H4" t="str">
            <v>No</v>
          </cell>
          <cell r="I4" t="str">
            <v>R</v>
          </cell>
          <cell r="J4" t="str">
            <v>Yes</v>
          </cell>
          <cell r="K4" t="str">
            <v>No</v>
          </cell>
          <cell r="L4">
            <v>155000</v>
          </cell>
          <cell r="M4" t="str">
            <v>/C</v>
          </cell>
          <cell r="N4">
            <v>0.45</v>
          </cell>
          <cell r="O4" t="str">
            <v>Yes</v>
          </cell>
          <cell r="P4" t="str">
            <v>volume</v>
          </cell>
          <cell r="Q4" t="str">
            <v>H</v>
          </cell>
        </row>
        <row r="5">
          <cell r="A5">
            <v>21</v>
          </cell>
          <cell r="B5">
            <v>5</v>
          </cell>
          <cell r="C5" t="str">
            <v>Boggiatto Produce, Inc.</v>
          </cell>
          <cell r="D5">
            <v>4</v>
          </cell>
          <cell r="E5" t="str">
            <v>4. Pay promotional allowances or co-op ads</v>
          </cell>
          <cell r="G5" t="str">
            <v>No</v>
          </cell>
        </row>
        <row r="6">
          <cell r="A6">
            <v>22</v>
          </cell>
          <cell r="B6">
            <v>5</v>
          </cell>
          <cell r="C6" t="str">
            <v>Boggiatto Produce, Inc.</v>
          </cell>
          <cell r="D6">
            <v>5</v>
          </cell>
          <cell r="E6" t="str">
            <v>5. Pay other rebates</v>
          </cell>
          <cell r="G6" t="str">
            <v>No</v>
          </cell>
        </row>
        <row r="7">
          <cell r="A7">
            <v>23</v>
          </cell>
          <cell r="B7">
            <v>5</v>
          </cell>
          <cell r="C7" t="str">
            <v>Boggiatto Produce, Inc.</v>
          </cell>
          <cell r="D7">
            <v>6</v>
          </cell>
          <cell r="E7" t="str">
            <v>6. Pay free-product discounts</v>
          </cell>
          <cell r="G7" t="str">
            <v>No</v>
          </cell>
        </row>
        <row r="8">
          <cell r="A8">
            <v>24</v>
          </cell>
          <cell r="B8">
            <v>5</v>
          </cell>
          <cell r="C8" t="str">
            <v>Boggiatto Produce, Inc.</v>
          </cell>
          <cell r="D8">
            <v>7</v>
          </cell>
          <cell r="E8" t="str">
            <v>7. Buy-back unsold products or failure fees</v>
          </cell>
          <cell r="G8" t="str">
            <v>No</v>
          </cell>
        </row>
        <row r="9">
          <cell r="A9">
            <v>25</v>
          </cell>
          <cell r="B9">
            <v>5</v>
          </cell>
          <cell r="C9" t="str">
            <v>Boggiatto Produce, Inc.</v>
          </cell>
          <cell r="D9">
            <v>8</v>
          </cell>
          <cell r="E9" t="str">
            <v>8. Contribute to retail capital improvements</v>
          </cell>
          <cell r="G9" t="str">
            <v>No</v>
          </cell>
        </row>
        <row r="10">
          <cell r="A10">
            <v>26</v>
          </cell>
          <cell r="B10">
            <v>5</v>
          </cell>
          <cell r="C10" t="str">
            <v>Boggiatto Produce, Inc.</v>
          </cell>
          <cell r="D10">
            <v>9</v>
          </cell>
          <cell r="E10" t="str">
            <v>9. Pay e-commerce fees</v>
          </cell>
          <cell r="G10" t="str">
            <v>No</v>
          </cell>
        </row>
        <row r="11">
          <cell r="A11">
            <v>27</v>
          </cell>
          <cell r="B11">
            <v>15</v>
          </cell>
          <cell r="C11" t="str">
            <v>Frank Capurro &amp; Son</v>
          </cell>
          <cell r="D11">
            <v>1</v>
          </cell>
          <cell r="E11" t="str">
            <v>1. Pay fixed up-front s/l/w fee, new product</v>
          </cell>
          <cell r="G11" t="str">
            <v>Yes</v>
          </cell>
          <cell r="I11" t="str">
            <v>R</v>
          </cell>
          <cell r="J11" t="str">
            <v>No</v>
          </cell>
          <cell r="K11" t="str">
            <v>L</v>
          </cell>
          <cell r="Q11" t="str">
            <v>H</v>
          </cell>
        </row>
        <row r="12">
          <cell r="A12">
            <v>28</v>
          </cell>
          <cell r="B12">
            <v>15</v>
          </cell>
          <cell r="C12" t="str">
            <v>Frank Capurro &amp; Son</v>
          </cell>
          <cell r="D12">
            <v>3</v>
          </cell>
          <cell r="E12" t="str">
            <v>3. Give volume incentives</v>
          </cell>
          <cell r="G12" t="str">
            <v>Yes</v>
          </cell>
          <cell r="H12" t="str">
            <v>No</v>
          </cell>
          <cell r="I12" t="str">
            <v>S</v>
          </cell>
          <cell r="L12">
            <v>0</v>
          </cell>
          <cell r="Q12" t="str">
            <v>N</v>
          </cell>
        </row>
        <row r="13">
          <cell r="A13">
            <v>29</v>
          </cell>
          <cell r="B13">
            <v>15</v>
          </cell>
          <cell r="C13" t="str">
            <v>Frank Capurro &amp; Son</v>
          </cell>
          <cell r="D13">
            <v>5</v>
          </cell>
          <cell r="E13" t="str">
            <v>5. Pay other rebates</v>
          </cell>
          <cell r="G13" t="str">
            <v>Yes</v>
          </cell>
          <cell r="I13" t="str">
            <v>R</v>
          </cell>
          <cell r="Q13" t="str">
            <v>H</v>
          </cell>
        </row>
        <row r="14">
          <cell r="A14">
            <v>30</v>
          </cell>
          <cell r="B14">
            <v>15</v>
          </cell>
          <cell r="C14" t="str">
            <v>Frank Capurro &amp; Son</v>
          </cell>
          <cell r="D14">
            <v>7</v>
          </cell>
          <cell r="E14" t="str">
            <v>7. Buy-back unsold products or failure fees</v>
          </cell>
          <cell r="F14" t="str">
            <v>buy-back requests only accepted from good customers</v>
          </cell>
          <cell r="G14" t="str">
            <v>Yes</v>
          </cell>
          <cell r="I14" t="str">
            <v>R</v>
          </cell>
        </row>
        <row r="15">
          <cell r="A15">
            <v>31</v>
          </cell>
          <cell r="B15">
            <v>15</v>
          </cell>
          <cell r="C15" t="str">
            <v>Frank Capurro &amp; Son</v>
          </cell>
          <cell r="D15">
            <v>8</v>
          </cell>
          <cell r="E15" t="str">
            <v>8. Contribute to retail capital improvements</v>
          </cell>
          <cell r="F15" t="str">
            <v>items = racks</v>
          </cell>
          <cell r="I15" t="str">
            <v>R</v>
          </cell>
          <cell r="J15" t="str">
            <v>No</v>
          </cell>
          <cell r="K15" t="str">
            <v>A</v>
          </cell>
          <cell r="Q15" t="str">
            <v>N</v>
          </cell>
        </row>
        <row r="16">
          <cell r="A16">
            <v>32</v>
          </cell>
          <cell r="B16">
            <v>16</v>
          </cell>
          <cell r="C16" t="str">
            <v>The Nunes Company, Inc.</v>
          </cell>
          <cell r="D16">
            <v>1</v>
          </cell>
          <cell r="E16" t="str">
            <v>1. Pay fixed up-front s/l/w fee, new product</v>
          </cell>
          <cell r="G16" t="str">
            <v>No</v>
          </cell>
        </row>
        <row r="17">
          <cell r="A17">
            <v>33</v>
          </cell>
          <cell r="B17">
            <v>16</v>
          </cell>
          <cell r="C17" t="str">
            <v>The Nunes Company, Inc.</v>
          </cell>
          <cell r="D17">
            <v>2</v>
          </cell>
          <cell r="E17" t="str">
            <v>2. Pay fixed up-front s/l/w fee, existing product</v>
          </cell>
          <cell r="G17" t="str">
            <v>No</v>
          </cell>
        </row>
        <row r="18">
          <cell r="A18">
            <v>34</v>
          </cell>
          <cell r="B18">
            <v>16</v>
          </cell>
          <cell r="C18" t="str">
            <v>The Nunes Company, Inc.</v>
          </cell>
          <cell r="D18">
            <v>5</v>
          </cell>
          <cell r="E18" t="str">
            <v>5. Pay other rebates</v>
          </cell>
          <cell r="F18" t="str">
            <v>% sales under fee = 1-2% of sales value for the 1/4-1/3 of the retailers that charge rebates; rebates typically range from 10-25 cents/carton; impact = N/H</v>
          </cell>
          <cell r="G18" t="str">
            <v>Yes</v>
          </cell>
          <cell r="I18" t="str">
            <v>R</v>
          </cell>
          <cell r="J18" t="str">
            <v>Yes</v>
          </cell>
          <cell r="M18" t="str">
            <v>/C</v>
          </cell>
          <cell r="O18" t="str">
            <v>Yes</v>
          </cell>
          <cell r="P18" t="str">
            <v>volume</v>
          </cell>
          <cell r="Q18" t="str">
            <v>N</v>
          </cell>
        </row>
        <row r="19">
          <cell r="A19">
            <v>35</v>
          </cell>
          <cell r="B19">
            <v>16</v>
          </cell>
          <cell r="C19" t="str">
            <v>The Nunes Company, Inc.</v>
          </cell>
          <cell r="D19">
            <v>6</v>
          </cell>
          <cell r="E19" t="str">
            <v>6. Pay free-product discounts</v>
          </cell>
          <cell r="G19" t="str">
            <v>Yes</v>
          </cell>
          <cell r="I19" t="str">
            <v>R</v>
          </cell>
          <cell r="J19" t="str">
            <v>Yes</v>
          </cell>
          <cell r="Q19" t="str">
            <v>N</v>
          </cell>
        </row>
        <row r="20">
          <cell r="A20">
            <v>36</v>
          </cell>
          <cell r="B20">
            <v>16</v>
          </cell>
          <cell r="C20" t="str">
            <v>The Nunes Company, Inc.</v>
          </cell>
          <cell r="D20">
            <v>7</v>
          </cell>
          <cell r="E20" t="str">
            <v>7. Buy-back unsold products or failure fees</v>
          </cell>
          <cell r="F20" t="str">
            <v>comply with request = depends on relationship with the retailer</v>
          </cell>
          <cell r="G20" t="str">
            <v>Yes</v>
          </cell>
          <cell r="I20" t="str">
            <v>R</v>
          </cell>
        </row>
        <row r="21">
          <cell r="A21">
            <v>37</v>
          </cell>
          <cell r="B21">
            <v>16</v>
          </cell>
          <cell r="C21" t="str">
            <v>The Nunes Company, Inc.</v>
          </cell>
          <cell r="D21">
            <v>8</v>
          </cell>
          <cell r="E21" t="str">
            <v>8. Contribute to retail capital improvements</v>
          </cell>
          <cell r="G21" t="str">
            <v>Yes</v>
          </cell>
          <cell r="I21" t="str">
            <v>R</v>
          </cell>
          <cell r="J21" t="str">
            <v>No</v>
          </cell>
        </row>
        <row r="22">
          <cell r="A22">
            <v>38</v>
          </cell>
          <cell r="B22">
            <v>17</v>
          </cell>
          <cell r="C22" t="str">
            <v>Ocean Mist Farms</v>
          </cell>
          <cell r="D22">
            <v>1</v>
          </cell>
          <cell r="E22" t="str">
            <v>1. Pay fixed up-front s/l/w fee, new product</v>
          </cell>
          <cell r="F22" t="str">
            <v>complied = once &amp; lost account = once, decided it wasn't worth it; cost = $200/store</v>
          </cell>
          <cell r="G22" t="str">
            <v>Yes</v>
          </cell>
          <cell r="H22" t="str">
            <v>Yes</v>
          </cell>
          <cell r="I22" t="str">
            <v>R</v>
          </cell>
          <cell r="O22" t="str">
            <v>Yes</v>
          </cell>
          <cell r="P22" t="str">
            <v>loose volume</v>
          </cell>
          <cell r="Q22" t="str">
            <v>H</v>
          </cell>
        </row>
        <row r="23">
          <cell r="A23">
            <v>39</v>
          </cell>
          <cell r="B23">
            <v>17</v>
          </cell>
          <cell r="C23" t="str">
            <v>Ocean Mist Farms</v>
          </cell>
          <cell r="D23">
            <v>5</v>
          </cell>
          <cell r="E23" t="str">
            <v>5. Pay other rebates</v>
          </cell>
          <cell r="F23" t="str">
            <v>cost = $0.15/carton at only 1 account (A&amp;P)  C&amp;S Wholesalers take 1% of total sales.</v>
          </cell>
          <cell r="G23" t="str">
            <v>Yes</v>
          </cell>
          <cell r="H23" t="str">
            <v>Yes</v>
          </cell>
          <cell r="I23" t="str">
            <v>R</v>
          </cell>
          <cell r="J23" t="str">
            <v>Yes</v>
          </cell>
          <cell r="K23" t="str">
            <v>A</v>
          </cell>
          <cell r="M23" t="str">
            <v>/C</v>
          </cell>
          <cell r="O23" t="str">
            <v>Yes</v>
          </cell>
          <cell r="P23" t="str">
            <v>loose volume</v>
          </cell>
          <cell r="Q23" t="str">
            <v>H</v>
          </cell>
        </row>
        <row r="24">
          <cell r="A24">
            <v>40</v>
          </cell>
          <cell r="B24">
            <v>17</v>
          </cell>
          <cell r="C24" t="str">
            <v>Ocean Mist Farms</v>
          </cell>
          <cell r="D24">
            <v>3</v>
          </cell>
          <cell r="E24" t="str">
            <v>3. Give volume incentives</v>
          </cell>
          <cell r="G24" t="str">
            <v>No</v>
          </cell>
        </row>
        <row r="25">
          <cell r="A25">
            <v>41</v>
          </cell>
          <cell r="B25">
            <v>17</v>
          </cell>
          <cell r="C25" t="str">
            <v>Ocean Mist Farms</v>
          </cell>
          <cell r="D25">
            <v>4</v>
          </cell>
          <cell r="E25" t="str">
            <v>4. Pay promotional allowances or co-op ads</v>
          </cell>
          <cell r="G25" t="str">
            <v>No</v>
          </cell>
        </row>
        <row r="26">
          <cell r="A26">
            <v>42</v>
          </cell>
          <cell r="B26">
            <v>17</v>
          </cell>
          <cell r="C26" t="str">
            <v>Ocean Mist Farms</v>
          </cell>
          <cell r="D26">
            <v>7</v>
          </cell>
          <cell r="E26" t="str">
            <v>7. Buy-back unsold products or failure fees</v>
          </cell>
          <cell r="F26" t="str">
            <v>% of accounts = &lt;20%, amt actually bought back varies</v>
          </cell>
          <cell r="G26" t="str">
            <v>Yes</v>
          </cell>
          <cell r="I26" t="str">
            <v>R</v>
          </cell>
          <cell r="J26" t="str">
            <v>Yes</v>
          </cell>
          <cell r="Q26" t="str">
            <v>H</v>
          </cell>
        </row>
        <row r="27">
          <cell r="A27">
            <v>43</v>
          </cell>
          <cell r="B27">
            <v>17</v>
          </cell>
          <cell r="C27" t="str">
            <v>Ocean Mist Farms</v>
          </cell>
          <cell r="D27">
            <v>8</v>
          </cell>
          <cell r="E27" t="str">
            <v>8. Contribute to retail capital improvements</v>
          </cell>
          <cell r="G27" t="str">
            <v>No</v>
          </cell>
        </row>
        <row r="28">
          <cell r="A28">
            <v>44</v>
          </cell>
          <cell r="B28">
            <v>17</v>
          </cell>
          <cell r="C28" t="str">
            <v>Ocean Mist Farms</v>
          </cell>
          <cell r="D28">
            <v>9</v>
          </cell>
          <cell r="E28" t="str">
            <v>9. Pay e-commerce fees</v>
          </cell>
          <cell r="G28" t="str">
            <v>No</v>
          </cell>
        </row>
        <row r="29">
          <cell r="A29">
            <v>45</v>
          </cell>
          <cell r="B29">
            <v>18</v>
          </cell>
          <cell r="C29" t="str">
            <v>Ready Pac Produce, Inc.</v>
          </cell>
          <cell r="D29">
            <v>1</v>
          </cell>
          <cell r="E29" t="str">
            <v>1. Pay fixed up-front s/l/w fee, new product</v>
          </cell>
          <cell r="F29" t="str">
            <v>C = Dole; impact = H/N?</v>
          </cell>
          <cell r="I29" t="str">
            <v>C</v>
          </cell>
        </row>
        <row r="30">
          <cell r="A30">
            <v>46</v>
          </cell>
          <cell r="B30">
            <v>18</v>
          </cell>
          <cell r="C30" t="str">
            <v>Ready Pac Produce, Inc.</v>
          </cell>
          <cell r="D30">
            <v>2</v>
          </cell>
          <cell r="E30" t="str">
            <v>2. Pay fixed up-front s/l/w fee, existing product</v>
          </cell>
          <cell r="F30" t="str">
            <v>C = Dole</v>
          </cell>
          <cell r="I30" t="str">
            <v>C</v>
          </cell>
          <cell r="Q30" t="str">
            <v>H</v>
          </cell>
        </row>
        <row r="31">
          <cell r="A31">
            <v>47</v>
          </cell>
          <cell r="B31">
            <v>18</v>
          </cell>
          <cell r="C31" t="str">
            <v>Ready Pac Produce, Inc.</v>
          </cell>
          <cell r="D31">
            <v>3</v>
          </cell>
          <cell r="E31" t="str">
            <v>3. Give volume incentives</v>
          </cell>
          <cell r="F31" t="str">
            <v>Zinke wasn't sure if Ready Pac has any volume-based incentives</v>
          </cell>
        </row>
        <row r="32">
          <cell r="A32">
            <v>48</v>
          </cell>
          <cell r="B32">
            <v>18</v>
          </cell>
          <cell r="C32" t="str">
            <v>Ready Pac Produce, Inc.</v>
          </cell>
          <cell r="D32">
            <v>4</v>
          </cell>
          <cell r="E32" t="str">
            <v>4. Pay promotional allowances or co-op ads</v>
          </cell>
          <cell r="G32" t="str">
            <v>Yes</v>
          </cell>
          <cell r="I32" t="str">
            <v>S</v>
          </cell>
        </row>
        <row r="33">
          <cell r="A33">
            <v>49</v>
          </cell>
          <cell r="B33">
            <v>18</v>
          </cell>
          <cell r="C33" t="str">
            <v>Ready Pac Produce, Inc.</v>
          </cell>
          <cell r="D33">
            <v>6</v>
          </cell>
          <cell r="E33" t="str">
            <v>6. Pay free-product discounts</v>
          </cell>
          <cell r="F33" t="str">
            <v>Unclear whether R or S initiated the discounts</v>
          </cell>
          <cell r="G33" t="str">
            <v>Yes</v>
          </cell>
          <cell r="P33" t="str">
            <v>"good faith" commitment on volume</v>
          </cell>
          <cell r="Q33" t="str">
            <v>N</v>
          </cell>
        </row>
        <row r="34">
          <cell r="A34">
            <v>50</v>
          </cell>
          <cell r="B34">
            <v>18</v>
          </cell>
          <cell r="C34" t="str">
            <v>Ready Pac Produce, Inc.</v>
          </cell>
          <cell r="D34">
            <v>7</v>
          </cell>
          <cell r="E34" t="str">
            <v>7. Buy-back unsold products or failure fees</v>
          </cell>
          <cell r="G34" t="str">
            <v>Yes</v>
          </cell>
        </row>
        <row r="35">
          <cell r="A35">
            <v>51</v>
          </cell>
          <cell r="B35">
            <v>18</v>
          </cell>
          <cell r="C35" t="str">
            <v>Ready Pac Produce, Inc.</v>
          </cell>
          <cell r="D35">
            <v>8</v>
          </cell>
          <cell r="E35" t="str">
            <v>8. Contribute to retail capital improvements</v>
          </cell>
          <cell r="G35" t="str">
            <v>No</v>
          </cell>
        </row>
        <row r="36">
          <cell r="A36">
            <v>52</v>
          </cell>
          <cell r="B36">
            <v>18</v>
          </cell>
          <cell r="C36" t="str">
            <v>Ready Pac Produce, Inc.</v>
          </cell>
          <cell r="D36">
            <v>9</v>
          </cell>
          <cell r="E36" t="str">
            <v>9. Pay e-commerce fees</v>
          </cell>
          <cell r="G36" t="str">
            <v>No</v>
          </cell>
        </row>
        <row r="37">
          <cell r="A37">
            <v>53</v>
          </cell>
          <cell r="B37">
            <v>19</v>
          </cell>
          <cell r="C37" t="str">
            <v>Growers Vegetable Express</v>
          </cell>
          <cell r="D37">
            <v>1</v>
          </cell>
          <cell r="E37" t="str">
            <v>1. Pay fixed up-front s/l/w fee, new product</v>
          </cell>
          <cell r="G37" t="str">
            <v>No</v>
          </cell>
        </row>
        <row r="38">
          <cell r="A38">
            <v>54</v>
          </cell>
          <cell r="B38">
            <v>19</v>
          </cell>
          <cell r="C38" t="str">
            <v>Growers Vegetable Express</v>
          </cell>
          <cell r="D38">
            <v>2</v>
          </cell>
          <cell r="E38" t="str">
            <v>2. Pay fixed up-front s/l/w fee, existing product</v>
          </cell>
          <cell r="G38" t="str">
            <v>No</v>
          </cell>
        </row>
        <row r="39">
          <cell r="A39">
            <v>55</v>
          </cell>
          <cell r="B39">
            <v>19</v>
          </cell>
          <cell r="C39" t="str">
            <v>Growers Vegetable Express</v>
          </cell>
          <cell r="D39">
            <v>3</v>
          </cell>
          <cell r="E39" t="str">
            <v>3. Give volume incentives</v>
          </cell>
          <cell r="F39" t="str">
            <v>impact = N to H</v>
          </cell>
          <cell r="G39" t="str">
            <v>Yes</v>
          </cell>
          <cell r="I39" t="str">
            <v>R</v>
          </cell>
          <cell r="J39" t="str">
            <v>Yes</v>
          </cell>
          <cell r="M39" t="str">
            <v>/C</v>
          </cell>
          <cell r="Q39" t="str">
            <v>N</v>
          </cell>
        </row>
        <row r="40">
          <cell r="A40">
            <v>56</v>
          </cell>
          <cell r="B40">
            <v>19</v>
          </cell>
          <cell r="C40" t="str">
            <v>Growers Vegetable Express</v>
          </cell>
          <cell r="D40">
            <v>4</v>
          </cell>
          <cell r="E40" t="str">
            <v>4. Pay promotional allowances or co-op ads</v>
          </cell>
          <cell r="F40" t="str">
            <v>e.g., with $10 fixed price, ad price might be $8/ctn with a 150% volume commitment; impact = N to H</v>
          </cell>
          <cell r="G40" t="str">
            <v>Yes</v>
          </cell>
          <cell r="I40" t="str">
            <v>R</v>
          </cell>
          <cell r="J40" t="str">
            <v>Yes</v>
          </cell>
          <cell r="M40" t="str">
            <v>/C</v>
          </cell>
          <cell r="O40" t="str">
            <v>Yes</v>
          </cell>
          <cell r="P40" t="str">
            <v>higher volume commitment with lower ad price</v>
          </cell>
          <cell r="Q40" t="str">
            <v>H</v>
          </cell>
        </row>
        <row r="41">
          <cell r="A41">
            <v>57</v>
          </cell>
          <cell r="B41">
            <v>19</v>
          </cell>
          <cell r="C41" t="str">
            <v>Growers Vegetable Express</v>
          </cell>
          <cell r="D41">
            <v>5</v>
          </cell>
          <cell r="E41" t="str">
            <v>5. Pay other rebates</v>
          </cell>
          <cell r="F41" t="str">
            <v>rebates at retail range from 10-25 cents/ctn; impact = N to H</v>
          </cell>
          <cell r="G41" t="str">
            <v>Yes</v>
          </cell>
          <cell r="I41" t="str">
            <v>R</v>
          </cell>
          <cell r="J41" t="str">
            <v>Yes</v>
          </cell>
          <cell r="M41" t="str">
            <v>/C</v>
          </cell>
        </row>
        <row r="42">
          <cell r="A42">
            <v>58</v>
          </cell>
          <cell r="B42">
            <v>19</v>
          </cell>
          <cell r="C42" t="str">
            <v>Growers Vegetable Express</v>
          </cell>
          <cell r="D42">
            <v>6</v>
          </cell>
          <cell r="E42" t="str">
            <v>6. Pay free-product discounts</v>
          </cell>
          <cell r="F42" t="str">
            <v>sometimes send free samples to new accounts</v>
          </cell>
          <cell r="G42" t="str">
            <v>No</v>
          </cell>
        </row>
        <row r="43">
          <cell r="A43">
            <v>59</v>
          </cell>
          <cell r="B43">
            <v>19</v>
          </cell>
          <cell r="C43" t="str">
            <v>Growers Vegetable Express</v>
          </cell>
          <cell r="D43">
            <v>7</v>
          </cell>
          <cell r="E43" t="str">
            <v>7. Buy-back unsold products or failure fees</v>
          </cell>
          <cell r="G43" t="str">
            <v>No</v>
          </cell>
        </row>
        <row r="44">
          <cell r="A44">
            <v>60</v>
          </cell>
          <cell r="B44">
            <v>19</v>
          </cell>
          <cell r="C44" t="str">
            <v>Growers Vegetable Express</v>
          </cell>
          <cell r="D44">
            <v>8</v>
          </cell>
          <cell r="E44" t="str">
            <v>8. Contribute to retail capital improvements</v>
          </cell>
          <cell r="G44" t="str">
            <v>No</v>
          </cell>
        </row>
        <row r="45">
          <cell r="A45">
            <v>61</v>
          </cell>
          <cell r="B45">
            <v>19</v>
          </cell>
          <cell r="C45" t="str">
            <v>Growers Vegetable Express</v>
          </cell>
          <cell r="D45">
            <v>9</v>
          </cell>
          <cell r="E45" t="str">
            <v>9. Pay e-commerce fees</v>
          </cell>
          <cell r="G45" t="str">
            <v>No</v>
          </cell>
        </row>
        <row r="46">
          <cell r="A46">
            <v>62</v>
          </cell>
          <cell r="B46">
            <v>20</v>
          </cell>
          <cell r="C46" t="str">
            <v>D'Arrigo Brothers of CA</v>
          </cell>
          <cell r="D46">
            <v>1</v>
          </cell>
          <cell r="E46" t="str">
            <v>1. Pay fixed up-front s/l/w fee, new product</v>
          </cell>
          <cell r="F46" t="str">
            <v>Tried slotting fees on fresh-cut business only once--to Wakefern Food Corp. Will never do it again. Paid $2,000 per item for 6 items = $12,000; % sales = &lt;1%</v>
          </cell>
          <cell r="G46" t="str">
            <v>Yes</v>
          </cell>
          <cell r="H46" t="str">
            <v>Yes</v>
          </cell>
          <cell r="I46" t="str">
            <v>R</v>
          </cell>
          <cell r="J46" t="str">
            <v>No</v>
          </cell>
          <cell r="K46" t="str">
            <v>A</v>
          </cell>
          <cell r="L46">
            <v>12000</v>
          </cell>
          <cell r="M46" t="str">
            <v>1T</v>
          </cell>
          <cell r="O46" t="str">
            <v>No</v>
          </cell>
          <cell r="Q46" t="str">
            <v>H</v>
          </cell>
        </row>
        <row r="47">
          <cell r="A47">
            <v>63</v>
          </cell>
          <cell r="B47">
            <v>20</v>
          </cell>
          <cell r="C47" t="str">
            <v>D'Arrigo Brothers of CA</v>
          </cell>
          <cell r="D47">
            <v>2</v>
          </cell>
          <cell r="E47" t="str">
            <v>2. Pay fixed up-front s/l/w fee, existing product</v>
          </cell>
          <cell r="G47" t="str">
            <v>No</v>
          </cell>
        </row>
        <row r="48">
          <cell r="A48">
            <v>64</v>
          </cell>
          <cell r="B48">
            <v>20</v>
          </cell>
          <cell r="C48" t="str">
            <v>D'Arrigo Brothers of CA</v>
          </cell>
          <cell r="D48">
            <v>3</v>
          </cell>
          <cell r="E48" t="str">
            <v>3. Give volume incentives</v>
          </cell>
          <cell r="G48" t="str">
            <v>No</v>
          </cell>
        </row>
        <row r="49">
          <cell r="A49">
            <v>65</v>
          </cell>
          <cell r="B49">
            <v>20</v>
          </cell>
          <cell r="C49" t="str">
            <v>D'Arrigo Brothers of CA</v>
          </cell>
          <cell r="D49">
            <v>4</v>
          </cell>
          <cell r="E49" t="str">
            <v>4. Pay promotional allowances or co-op ads</v>
          </cell>
          <cell r="F49" t="str">
            <v>They pay A&amp;P 10 cents/carton (negotiated down from 15 cents as a promotional rebate) but it is essentially paid by the retailer through a 10 cents higher wholesale price.</v>
          </cell>
          <cell r="G49" t="str">
            <v>Yes</v>
          </cell>
          <cell r="I49" t="str">
            <v>R</v>
          </cell>
          <cell r="J49" t="str">
            <v>No</v>
          </cell>
          <cell r="K49" t="str">
            <v>A</v>
          </cell>
          <cell r="L49">
            <v>0</v>
          </cell>
          <cell r="M49" t="str">
            <v>/C</v>
          </cell>
          <cell r="N49">
            <v>0.13</v>
          </cell>
          <cell r="O49" t="str">
            <v>No</v>
          </cell>
          <cell r="Q49" t="str">
            <v>N</v>
          </cell>
        </row>
        <row r="50">
          <cell r="A50">
            <v>66</v>
          </cell>
          <cell r="B50">
            <v>20</v>
          </cell>
          <cell r="C50" t="str">
            <v>D'Arrigo Brothers of CA</v>
          </cell>
          <cell r="D50">
            <v>5</v>
          </cell>
          <cell r="E50" t="str">
            <v>5. Pay other rebates</v>
          </cell>
          <cell r="F50" t="str">
            <v>Rebates do occur, ranging from 10-40 cents/ctn.</v>
          </cell>
          <cell r="G50" t="str">
            <v>Yes</v>
          </cell>
          <cell r="M50" t="str">
            <v>/C</v>
          </cell>
        </row>
        <row r="51">
          <cell r="A51">
            <v>67</v>
          </cell>
          <cell r="B51">
            <v>20</v>
          </cell>
          <cell r="C51" t="str">
            <v>D'Arrigo Brothers of CA</v>
          </cell>
          <cell r="D51">
            <v>6</v>
          </cell>
          <cell r="E51" t="str">
            <v>6. Pay free-product discounts</v>
          </cell>
          <cell r="G51" t="str">
            <v>No</v>
          </cell>
        </row>
        <row r="52">
          <cell r="A52">
            <v>68</v>
          </cell>
          <cell r="B52">
            <v>20</v>
          </cell>
          <cell r="C52" t="str">
            <v>D'Arrigo Brothers of CA</v>
          </cell>
          <cell r="D52">
            <v>7</v>
          </cell>
          <cell r="E52" t="str">
            <v>7. Buy-back unsold products or failure fees</v>
          </cell>
          <cell r="G52" t="str">
            <v>No</v>
          </cell>
        </row>
        <row r="53">
          <cell r="A53">
            <v>69</v>
          </cell>
          <cell r="B53">
            <v>20</v>
          </cell>
          <cell r="C53" t="str">
            <v>D'Arrigo Brothers of CA</v>
          </cell>
          <cell r="D53">
            <v>8</v>
          </cell>
          <cell r="E53" t="str">
            <v>8. Contribute to retail capital improvements</v>
          </cell>
          <cell r="G53" t="str">
            <v>No</v>
          </cell>
        </row>
        <row r="54">
          <cell r="A54">
            <v>70</v>
          </cell>
          <cell r="B54">
            <v>20</v>
          </cell>
          <cell r="C54" t="str">
            <v>D'Arrigo Brothers of CA</v>
          </cell>
          <cell r="D54">
            <v>9</v>
          </cell>
          <cell r="E54" t="str">
            <v>9. Pay e-commerce fees</v>
          </cell>
        </row>
        <row r="55">
          <cell r="A55">
            <v>71</v>
          </cell>
          <cell r="B55">
            <v>21</v>
          </cell>
          <cell r="C55" t="str">
            <v>Pacific Int'l Mktg</v>
          </cell>
          <cell r="D55">
            <v>1</v>
          </cell>
          <cell r="E55" t="str">
            <v>1. Pay fixed up-front s/l/w fee, new product</v>
          </cell>
          <cell r="G55" t="str">
            <v>Yes</v>
          </cell>
          <cell r="H55" t="str">
            <v>Yes</v>
          </cell>
          <cell r="I55" t="str">
            <v>R</v>
          </cell>
          <cell r="J55" t="str">
            <v>Yes</v>
          </cell>
          <cell r="L55">
            <v>40000</v>
          </cell>
          <cell r="M55" t="str">
            <v>1T</v>
          </cell>
          <cell r="N55">
            <v>0.05</v>
          </cell>
          <cell r="O55" t="str">
            <v>No</v>
          </cell>
          <cell r="Q55" t="str">
            <v>H</v>
          </cell>
        </row>
        <row r="56">
          <cell r="A56">
            <v>72</v>
          </cell>
          <cell r="B56">
            <v>21</v>
          </cell>
          <cell r="C56" t="str">
            <v>Pacific Int'l Mktg</v>
          </cell>
          <cell r="D56">
            <v>2</v>
          </cell>
          <cell r="E56" t="str">
            <v>2. Pay fixed up-front s/l/w fee, existing product</v>
          </cell>
          <cell r="G56" t="str">
            <v>Yes</v>
          </cell>
          <cell r="H56" t="str">
            <v>Yes</v>
          </cell>
          <cell r="I56" t="str">
            <v>R</v>
          </cell>
          <cell r="J56" t="str">
            <v>No</v>
          </cell>
          <cell r="K56" t="str">
            <v>A</v>
          </cell>
          <cell r="L56">
            <v>20000</v>
          </cell>
          <cell r="M56" t="str">
            <v>/C</v>
          </cell>
          <cell r="N56">
            <v>0.1</v>
          </cell>
          <cell r="O56" t="str">
            <v>Yes</v>
          </cell>
          <cell r="Q56" t="str">
            <v>H</v>
          </cell>
        </row>
        <row r="57">
          <cell r="A57">
            <v>73</v>
          </cell>
          <cell r="B57">
            <v>21</v>
          </cell>
          <cell r="C57" t="str">
            <v>Pacific Int'l Mktg</v>
          </cell>
          <cell r="D57">
            <v>3</v>
          </cell>
          <cell r="E57" t="str">
            <v>3. Give volume incentives</v>
          </cell>
          <cell r="G57" t="str">
            <v>Yes</v>
          </cell>
          <cell r="H57" t="str">
            <v>No</v>
          </cell>
          <cell r="I57" t="str">
            <v>R</v>
          </cell>
          <cell r="J57" t="str">
            <v>Yes</v>
          </cell>
          <cell r="K57" t="str">
            <v>A</v>
          </cell>
          <cell r="L57">
            <v>50000</v>
          </cell>
          <cell r="M57" t="str">
            <v>/C</v>
          </cell>
          <cell r="N57">
            <v>0.1</v>
          </cell>
          <cell r="O57" t="str">
            <v>Yes</v>
          </cell>
          <cell r="Q57" t="str">
            <v>H</v>
          </cell>
        </row>
        <row r="58">
          <cell r="A58">
            <v>74</v>
          </cell>
          <cell r="B58">
            <v>21</v>
          </cell>
          <cell r="C58" t="str">
            <v>Pacific Int'l Mktg</v>
          </cell>
          <cell r="D58">
            <v>4</v>
          </cell>
          <cell r="E58" t="str">
            <v>4. Pay promotional allowances or co-op ads</v>
          </cell>
          <cell r="G58" t="str">
            <v>Yes</v>
          </cell>
          <cell r="H58" t="str">
            <v>No</v>
          </cell>
          <cell r="I58" t="str">
            <v>R</v>
          </cell>
          <cell r="J58" t="str">
            <v>Yes</v>
          </cell>
          <cell r="L58">
            <v>50000</v>
          </cell>
          <cell r="M58" t="str">
            <v>/S</v>
          </cell>
          <cell r="N58">
            <v>0.05</v>
          </cell>
          <cell r="O58" t="str">
            <v>No</v>
          </cell>
          <cell r="Q58" t="str">
            <v>H</v>
          </cell>
        </row>
        <row r="59">
          <cell r="A59">
            <v>75</v>
          </cell>
          <cell r="B59">
            <v>21</v>
          </cell>
          <cell r="C59" t="str">
            <v>Pacific Int'l Mktg</v>
          </cell>
          <cell r="D59">
            <v>5</v>
          </cell>
          <cell r="E59" t="str">
            <v>5. Pay other rebates</v>
          </cell>
          <cell r="G59" t="str">
            <v>Yes</v>
          </cell>
          <cell r="H59" t="str">
            <v>No</v>
          </cell>
          <cell r="I59" t="str">
            <v>R</v>
          </cell>
          <cell r="J59" t="str">
            <v>Yes</v>
          </cell>
          <cell r="L59">
            <v>100000</v>
          </cell>
          <cell r="M59" t="str">
            <v>/C</v>
          </cell>
          <cell r="N59">
            <v>0.1</v>
          </cell>
          <cell r="O59" t="str">
            <v>No</v>
          </cell>
          <cell r="Q59" t="str">
            <v>H</v>
          </cell>
        </row>
        <row r="60">
          <cell r="A60">
            <v>76</v>
          </cell>
          <cell r="B60">
            <v>21</v>
          </cell>
          <cell r="C60" t="str">
            <v>Pacific Int'l Mktg</v>
          </cell>
          <cell r="D60">
            <v>6</v>
          </cell>
          <cell r="E60" t="str">
            <v>6. Pay free-product discounts</v>
          </cell>
          <cell r="G60" t="str">
            <v>Yes</v>
          </cell>
          <cell r="H60" t="str">
            <v>No</v>
          </cell>
          <cell r="I60" t="str">
            <v>R</v>
          </cell>
          <cell r="J60" t="str">
            <v>Yes</v>
          </cell>
          <cell r="L60">
            <v>20000</v>
          </cell>
          <cell r="M60" t="str">
            <v>/S</v>
          </cell>
          <cell r="N60">
            <v>0.03</v>
          </cell>
          <cell r="O60" t="str">
            <v>No</v>
          </cell>
          <cell r="Q60" t="str">
            <v>H</v>
          </cell>
        </row>
        <row r="61">
          <cell r="A61">
            <v>77</v>
          </cell>
          <cell r="B61">
            <v>21</v>
          </cell>
          <cell r="C61" t="str">
            <v>Pacific Int'l Mktg</v>
          </cell>
          <cell r="D61">
            <v>7</v>
          </cell>
          <cell r="E61" t="str">
            <v>7. Buy-back unsold products or failure fees</v>
          </cell>
          <cell r="G61" t="str">
            <v>No</v>
          </cell>
        </row>
        <row r="62">
          <cell r="A62">
            <v>78</v>
          </cell>
          <cell r="B62">
            <v>21</v>
          </cell>
          <cell r="C62" t="str">
            <v>Pacific Int'l Mktg</v>
          </cell>
          <cell r="D62">
            <v>8</v>
          </cell>
          <cell r="E62" t="str">
            <v>8. Contribute to retail capital improvements</v>
          </cell>
          <cell r="G62" t="str">
            <v>No</v>
          </cell>
        </row>
        <row r="63">
          <cell r="A63">
            <v>79</v>
          </cell>
          <cell r="B63">
            <v>21</v>
          </cell>
          <cell r="C63" t="str">
            <v>Pacific Int'l Mktg</v>
          </cell>
          <cell r="D63">
            <v>9</v>
          </cell>
          <cell r="E63" t="str">
            <v>9. Pay e-commerce fees</v>
          </cell>
          <cell r="G63" t="str">
            <v>No</v>
          </cell>
        </row>
        <row r="64">
          <cell r="A64">
            <v>80</v>
          </cell>
          <cell r="B64">
            <v>22</v>
          </cell>
          <cell r="C64" t="str">
            <v>T &amp; A</v>
          </cell>
          <cell r="D64">
            <v>1</v>
          </cell>
          <cell r="E64" t="str">
            <v>1. Pay fixed up-front s/l/w fee, new product</v>
          </cell>
          <cell r="F64" t="str">
            <v>Fixed up-front here includes all types of fees, including rebates, add allowances, etc.  Everything is negotiated jointly.  This can cover both new and existing products.  The total amount of fees
come up to roughly 8% of the value of the product.</v>
          </cell>
          <cell r="G64" t="str">
            <v>Yes</v>
          </cell>
          <cell r="H64" t="str">
            <v>Yes</v>
          </cell>
          <cell r="I64" t="str">
            <v>C</v>
          </cell>
          <cell r="K64" t="str">
            <v>A</v>
          </cell>
          <cell r="L64">
            <v>6000000</v>
          </cell>
          <cell r="Q64" t="str">
            <v>H</v>
          </cell>
        </row>
        <row r="65">
          <cell r="A65">
            <v>81</v>
          </cell>
          <cell r="B65">
            <v>22</v>
          </cell>
          <cell r="C65" t="str">
            <v>T &amp; A</v>
          </cell>
          <cell r="D65">
            <v>2</v>
          </cell>
          <cell r="E65" t="str">
            <v>2. Pay fixed up-front s/l/w fee, existing product</v>
          </cell>
          <cell r="G65" t="str">
            <v>Yes</v>
          </cell>
          <cell r="I65" t="str">
            <v>C</v>
          </cell>
          <cell r="Q65" t="str">
            <v>H</v>
          </cell>
        </row>
        <row r="66">
          <cell r="A66">
            <v>82</v>
          </cell>
          <cell r="B66">
            <v>22</v>
          </cell>
          <cell r="C66" t="str">
            <v>T &amp; A</v>
          </cell>
          <cell r="D66">
            <v>3</v>
          </cell>
          <cell r="E66" t="str">
            <v>3. Give volume incentives</v>
          </cell>
          <cell r="G66" t="str">
            <v>Yes</v>
          </cell>
          <cell r="I66" t="str">
            <v>C</v>
          </cell>
          <cell r="Q66" t="str">
            <v>B</v>
          </cell>
        </row>
        <row r="67">
          <cell r="A67">
            <v>83</v>
          </cell>
          <cell r="B67">
            <v>22</v>
          </cell>
          <cell r="C67" t="str">
            <v>T &amp; A</v>
          </cell>
          <cell r="D67">
            <v>5</v>
          </cell>
          <cell r="E67" t="str">
            <v>5. Pay other rebates</v>
          </cell>
          <cell r="G67" t="str">
            <v>Yes</v>
          </cell>
          <cell r="Q67" t="str">
            <v>H</v>
          </cell>
        </row>
        <row r="68">
          <cell r="A68">
            <v>84</v>
          </cell>
          <cell r="B68">
            <v>22</v>
          </cell>
          <cell r="C68" t="str">
            <v>T &amp; A</v>
          </cell>
          <cell r="D68">
            <v>6</v>
          </cell>
          <cell r="E68" t="str">
            <v>6. Pay free-product discounts</v>
          </cell>
          <cell r="G68" t="str">
            <v>Yes</v>
          </cell>
          <cell r="Q68" t="str">
            <v>H</v>
          </cell>
        </row>
        <row r="69">
          <cell r="A69">
            <v>85</v>
          </cell>
          <cell r="B69">
            <v>22</v>
          </cell>
          <cell r="C69" t="str">
            <v>T &amp; A</v>
          </cell>
          <cell r="D69">
            <v>7</v>
          </cell>
          <cell r="E69" t="str">
            <v>7. Buy-back unsold products or failure fees</v>
          </cell>
          <cell r="G69" t="str">
            <v>Yes</v>
          </cell>
          <cell r="I69" t="str">
            <v>R</v>
          </cell>
          <cell r="J69" t="str">
            <v>No</v>
          </cell>
          <cell r="Q69" t="str">
            <v>N</v>
          </cell>
        </row>
        <row r="70">
          <cell r="A70">
            <v>86</v>
          </cell>
          <cell r="B70">
            <v>22</v>
          </cell>
          <cell r="C70" t="str">
            <v>T &amp; A</v>
          </cell>
          <cell r="D70">
            <v>8</v>
          </cell>
          <cell r="E70" t="str">
            <v>8. Contribute to retail capital improvements</v>
          </cell>
          <cell r="G70" t="str">
            <v>Yes</v>
          </cell>
          <cell r="I70" t="str">
            <v>R</v>
          </cell>
          <cell r="J70" t="str">
            <v>Yes</v>
          </cell>
          <cell r="Q70" t="str">
            <v>H</v>
          </cell>
        </row>
        <row r="71">
          <cell r="A71">
            <v>87</v>
          </cell>
          <cell r="B71">
            <v>22</v>
          </cell>
          <cell r="C71" t="str">
            <v>T &amp; A</v>
          </cell>
          <cell r="D71">
            <v>9</v>
          </cell>
          <cell r="E71" t="str">
            <v>9. Pay e-commerce fees</v>
          </cell>
          <cell r="G71" t="str">
            <v>No</v>
          </cell>
        </row>
        <row r="72">
          <cell r="A72">
            <v>88</v>
          </cell>
          <cell r="B72">
            <v>23</v>
          </cell>
          <cell r="C72" t="str">
            <v>Steinbeck Country Produce</v>
          </cell>
          <cell r="D72">
            <v>1</v>
          </cell>
          <cell r="E72" t="str">
            <v>1. Pay fixed up-front s/l/w fee, new product</v>
          </cell>
          <cell r="G72" t="str">
            <v>No</v>
          </cell>
        </row>
        <row r="73">
          <cell r="A73">
            <v>89</v>
          </cell>
          <cell r="B73">
            <v>23</v>
          </cell>
          <cell r="C73" t="str">
            <v>Steinbeck Country Produce</v>
          </cell>
          <cell r="D73">
            <v>2</v>
          </cell>
          <cell r="E73" t="str">
            <v>2. Pay fixed up-front s/l/w fee, existing product</v>
          </cell>
          <cell r="G73" t="str">
            <v>No</v>
          </cell>
        </row>
        <row r="74">
          <cell r="A74">
            <v>90</v>
          </cell>
          <cell r="B74">
            <v>23</v>
          </cell>
          <cell r="C74" t="str">
            <v>Steinbeck Country Produce</v>
          </cell>
          <cell r="D74">
            <v>3</v>
          </cell>
          <cell r="E74" t="str">
            <v>3. Give volume incentives</v>
          </cell>
          <cell r="G74" t="str">
            <v>No</v>
          </cell>
        </row>
        <row r="75">
          <cell r="A75">
            <v>91</v>
          </cell>
          <cell r="B75">
            <v>23</v>
          </cell>
          <cell r="C75" t="str">
            <v>Steinbeck Country Produce</v>
          </cell>
          <cell r="D75">
            <v>4</v>
          </cell>
          <cell r="E75" t="str">
            <v>4. Pay promotional allowances or co-op ads</v>
          </cell>
          <cell r="G75" t="str">
            <v>No</v>
          </cell>
        </row>
        <row r="76">
          <cell r="A76">
            <v>92</v>
          </cell>
          <cell r="B76">
            <v>23</v>
          </cell>
          <cell r="C76" t="str">
            <v>Steinbeck Country Produce</v>
          </cell>
          <cell r="D76">
            <v>5</v>
          </cell>
          <cell r="E76" t="str">
            <v>5. Pay other rebates</v>
          </cell>
          <cell r="G76" t="str">
            <v>Yes</v>
          </cell>
          <cell r="I76" t="str">
            <v>R</v>
          </cell>
        </row>
        <row r="77">
          <cell r="A77">
            <v>93</v>
          </cell>
          <cell r="B77">
            <v>23</v>
          </cell>
          <cell r="C77" t="str">
            <v>Steinbeck Country Produce</v>
          </cell>
          <cell r="D77">
            <v>6</v>
          </cell>
          <cell r="E77" t="str">
            <v>6. Pay free-product discounts</v>
          </cell>
          <cell r="G77" t="str">
            <v>Yes</v>
          </cell>
          <cell r="I77" t="str">
            <v>R</v>
          </cell>
          <cell r="N77">
            <v>0.01</v>
          </cell>
        </row>
        <row r="78">
          <cell r="A78">
            <v>94</v>
          </cell>
          <cell r="B78">
            <v>24</v>
          </cell>
          <cell r="C78" t="str">
            <v>NewStar Fresh Foods, LLC</v>
          </cell>
          <cell r="D78">
            <v>1</v>
          </cell>
          <cell r="E78" t="str">
            <v>1. Pay fixed up-front s/l/w fee, new product</v>
          </cell>
          <cell r="G78" t="str">
            <v>Yes</v>
          </cell>
          <cell r="H78" t="str">
            <v>Yes</v>
          </cell>
          <cell r="I78" t="str">
            <v>C</v>
          </cell>
          <cell r="J78" t="str">
            <v>No</v>
          </cell>
          <cell r="K78" t="str">
            <v>L</v>
          </cell>
          <cell r="N78">
            <v>0</v>
          </cell>
          <cell r="Q78" t="str">
            <v>H</v>
          </cell>
        </row>
        <row r="79">
          <cell r="A79">
            <v>95</v>
          </cell>
          <cell r="B79">
            <v>24</v>
          </cell>
          <cell r="C79" t="str">
            <v>NewStar Fresh Foods, LLC</v>
          </cell>
          <cell r="D79">
            <v>2</v>
          </cell>
          <cell r="E79" t="str">
            <v>2. Pay fixed up-front s/l/w fee, existing product</v>
          </cell>
          <cell r="G79" t="str">
            <v>Yes</v>
          </cell>
          <cell r="H79" t="str">
            <v>Yes</v>
          </cell>
          <cell r="I79" t="str">
            <v>C</v>
          </cell>
          <cell r="J79" t="str">
            <v>No</v>
          </cell>
          <cell r="K79" t="str">
            <v>L</v>
          </cell>
          <cell r="Q79" t="str">
            <v>H</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ettuce Firms"/>
      <sheetName val="lettuce FirmProfile"/>
      <sheetName val="total firms sales"/>
      <sheetName val="firm sales &amp; top commod"/>
      <sheetName val="products mix"/>
      <sheetName val="top products"/>
      <sheetName val="ProductList"/>
      <sheetName val="lettuce BuyerTypes check"/>
      <sheetName val="VA BuyerTypes check"/>
      <sheetName val="lettuce Buyer Types"/>
      <sheetName val="VA BuyerTypes"/>
      <sheetName val="lettuce&amp;VA Buyer Types"/>
      <sheetName val="Buyer Types"/>
      <sheetName val="sales arrangements 1994"/>
      <sheetName val="sales arrangements 1999"/>
      <sheetName val="sales arrgmts 99 calc"/>
      <sheetName val="sales arrgmts $ calc"/>
      <sheetName val="S&amp;MArrgmts"/>
      <sheetName val="Sales&amp;Mkting Factors"/>
      <sheetName val="Mkt changes"/>
      <sheetName val="Experience Typ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94&amp;99 firm sales"/>
      <sheetName val="94 firm sales"/>
      <sheetName val="99 firm sal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L14"/>
  <sheetViews>
    <sheetView workbookViewId="0" topLeftCell="A1">
      <selection activeCell="A1" sqref="A1"/>
    </sheetView>
  </sheetViews>
  <sheetFormatPr defaultColWidth="9.7109375" defaultRowHeight="12.75"/>
  <cols>
    <col min="1" max="1" width="12.140625" style="4" customWidth="1"/>
    <col min="2" max="4" width="8.28125" style="4" customWidth="1"/>
    <col min="5" max="5" width="2.8515625" style="4" customWidth="1"/>
    <col min="6" max="8" width="8.28125" style="4" customWidth="1"/>
    <col min="9" max="9" width="2.8515625" style="4" customWidth="1"/>
    <col min="10" max="12" width="8.28125" style="4" customWidth="1"/>
    <col min="13" max="16384" width="9.7109375" style="4" customWidth="1"/>
  </cols>
  <sheetData>
    <row r="1" spans="1:12" ht="12.75" customHeight="1">
      <c r="A1" s="1" t="s">
        <v>190</v>
      </c>
      <c r="B1" s="2"/>
      <c r="C1" s="2"/>
      <c r="D1" s="2"/>
      <c r="E1" s="2"/>
      <c r="F1" s="2"/>
      <c r="G1" s="2"/>
      <c r="H1" s="2"/>
      <c r="I1" s="2"/>
      <c r="J1" s="2"/>
      <c r="K1" s="3"/>
      <c r="L1" s="2"/>
    </row>
    <row r="2" spans="1:12" ht="12.75" customHeight="1">
      <c r="A2" s="5"/>
      <c r="B2" s="6" t="s">
        <v>0</v>
      </c>
      <c r="C2" s="6"/>
      <c r="D2" s="6"/>
      <c r="E2" s="5"/>
      <c r="F2" s="6" t="s">
        <v>1</v>
      </c>
      <c r="G2" s="6"/>
      <c r="H2" s="6"/>
      <c r="I2" s="5"/>
      <c r="J2" s="6" t="s">
        <v>2</v>
      </c>
      <c r="K2" s="7"/>
      <c r="L2" s="6"/>
    </row>
    <row r="3" spans="1:12" ht="12.75" customHeight="1">
      <c r="A3" s="8" t="s">
        <v>3</v>
      </c>
      <c r="B3" s="9">
        <v>1999</v>
      </c>
      <c r="C3" s="9">
        <v>2000</v>
      </c>
      <c r="D3" s="9">
        <v>2001</v>
      </c>
      <c r="E3" s="9"/>
      <c r="F3" s="9">
        <v>1999</v>
      </c>
      <c r="G3" s="9">
        <v>2000</v>
      </c>
      <c r="H3" s="9">
        <v>2001</v>
      </c>
      <c r="I3" s="9"/>
      <c r="J3" s="9">
        <v>1999</v>
      </c>
      <c r="K3" s="9">
        <v>2000</v>
      </c>
      <c r="L3" s="9">
        <v>2001</v>
      </c>
    </row>
    <row r="4" spans="1:12" ht="12.75" customHeight="1">
      <c r="A4" s="5"/>
      <c r="B4" s="10" t="s">
        <v>4</v>
      </c>
      <c r="C4" s="11"/>
      <c r="D4" s="12"/>
      <c r="E4" s="5"/>
      <c r="F4" s="10" t="s">
        <v>5</v>
      </c>
      <c r="G4" s="11"/>
      <c r="H4" s="12"/>
      <c r="I4" s="5"/>
      <c r="J4" s="10" t="s">
        <v>6</v>
      </c>
      <c r="K4" s="12"/>
      <c r="L4" s="12"/>
    </row>
    <row r="5" spans="1:12" ht="4.5" customHeight="1">
      <c r="A5" s="5"/>
      <c r="B5" s="5"/>
      <c r="C5" s="5"/>
      <c r="D5" s="5"/>
      <c r="E5" s="5"/>
      <c r="F5" s="5"/>
      <c r="G5" s="5"/>
      <c r="H5" s="5"/>
      <c r="I5" s="5"/>
      <c r="J5" s="5"/>
      <c r="K5" s="5"/>
      <c r="L5" s="5"/>
    </row>
    <row r="6" spans="1:12" ht="12" customHeight="1">
      <c r="A6" s="13" t="s">
        <v>7</v>
      </c>
      <c r="B6" s="14">
        <v>17.8</v>
      </c>
      <c r="C6" s="14">
        <v>17.2</v>
      </c>
      <c r="D6" s="14">
        <v>16.8</v>
      </c>
      <c r="E6" s="15"/>
      <c r="F6" s="16">
        <v>229</v>
      </c>
      <c r="G6" s="16">
        <v>292</v>
      </c>
      <c r="H6" s="16">
        <v>285</v>
      </c>
      <c r="I6" s="15"/>
      <c r="J6" s="17">
        <v>4070</v>
      </c>
      <c r="K6" s="17">
        <v>4960</v>
      </c>
      <c r="L6" s="17">
        <v>3990</v>
      </c>
    </row>
    <row r="7" spans="1:12" ht="12" customHeight="1">
      <c r="A7" s="13" t="s">
        <v>8</v>
      </c>
      <c r="B7" s="14">
        <v>84.5</v>
      </c>
      <c r="C7" s="14">
        <v>77.4</v>
      </c>
      <c r="D7" s="14">
        <v>74.1</v>
      </c>
      <c r="E7" s="15"/>
      <c r="F7" s="16">
        <v>300</v>
      </c>
      <c r="G7" s="16">
        <v>290</v>
      </c>
      <c r="H7" s="16">
        <v>269</v>
      </c>
      <c r="I7" s="15"/>
      <c r="J7" s="17">
        <v>25327</v>
      </c>
      <c r="K7" s="17">
        <v>21921</v>
      </c>
      <c r="L7" s="17">
        <v>19500</v>
      </c>
    </row>
    <row r="8" spans="1:12" ht="12" customHeight="1">
      <c r="A8" s="13" t="s">
        <v>9</v>
      </c>
      <c r="B8" s="14">
        <v>64</v>
      </c>
      <c r="C8" s="14">
        <v>64.7</v>
      </c>
      <c r="D8" s="14">
        <v>60.8</v>
      </c>
      <c r="E8" s="15"/>
      <c r="F8" s="16">
        <v>296</v>
      </c>
      <c r="G8" s="16">
        <v>303</v>
      </c>
      <c r="H8" s="16">
        <v>305</v>
      </c>
      <c r="I8" s="15"/>
      <c r="J8" s="17">
        <v>18972</v>
      </c>
      <c r="K8" s="17">
        <v>18698</v>
      </c>
      <c r="L8" s="17">
        <v>18047</v>
      </c>
    </row>
    <row r="9" spans="1:12" ht="12" customHeight="1">
      <c r="A9" s="13" t="s">
        <v>10</v>
      </c>
      <c r="B9" s="14">
        <v>1166.1</v>
      </c>
      <c r="C9" s="14">
        <v>1228</v>
      </c>
      <c r="D9" s="14">
        <v>1107</v>
      </c>
      <c r="E9" s="15"/>
      <c r="F9" s="16">
        <v>369</v>
      </c>
      <c r="G9" s="16">
        <v>393</v>
      </c>
      <c r="H9" s="179" t="s">
        <v>153</v>
      </c>
      <c r="I9" s="15" t="s">
        <v>11</v>
      </c>
      <c r="J9" s="17">
        <v>429847</v>
      </c>
      <c r="K9" s="17">
        <v>470504</v>
      </c>
      <c r="L9" s="179" t="s">
        <v>153</v>
      </c>
    </row>
    <row r="10" spans="1:12" ht="12" customHeight="1">
      <c r="A10" s="8" t="s">
        <v>12</v>
      </c>
      <c r="B10" s="18">
        <f>SUM(B6:B9)</f>
        <v>1332.3999999999999</v>
      </c>
      <c r="C10" s="18">
        <f>SUM(C6:C9)</f>
        <v>1387.3</v>
      </c>
      <c r="D10" s="18">
        <f>SUM(D6:D9)</f>
        <v>1258.7</v>
      </c>
      <c r="E10" s="19"/>
      <c r="F10" s="20">
        <v>359</v>
      </c>
      <c r="G10" s="20">
        <v>382</v>
      </c>
      <c r="H10" s="180" t="s">
        <v>153</v>
      </c>
      <c r="I10" s="19"/>
      <c r="J10" s="21">
        <f>SUM(J6:J9)</f>
        <v>478216</v>
      </c>
      <c r="K10" s="21">
        <v>509358</v>
      </c>
      <c r="L10" s="180" t="s">
        <v>153</v>
      </c>
    </row>
    <row r="11" spans="1:12" ht="12" customHeight="1">
      <c r="A11" s="178" t="s">
        <v>192</v>
      </c>
      <c r="B11" s="174"/>
      <c r="C11" s="174"/>
      <c r="D11" s="174"/>
      <c r="E11" s="175"/>
      <c r="F11" s="176"/>
      <c r="G11" s="176"/>
      <c r="H11" s="176"/>
      <c r="I11" s="175"/>
      <c r="J11" s="177"/>
      <c r="K11" s="177"/>
      <c r="L11" s="177"/>
    </row>
    <row r="12" spans="1:12" ht="12.75" customHeight="1">
      <c r="A12" s="22" t="s">
        <v>13</v>
      </c>
      <c r="B12" s="5"/>
      <c r="C12" s="5"/>
      <c r="D12" s="5"/>
      <c r="E12" s="5"/>
      <c r="F12" s="5"/>
      <c r="G12" s="5"/>
      <c r="H12" s="5"/>
      <c r="I12" s="5"/>
      <c r="J12" s="23"/>
      <c r="K12" s="23"/>
      <c r="L12" s="23"/>
    </row>
    <row r="13" spans="1:12" ht="12">
      <c r="A13" s="24"/>
      <c r="B13" s="24"/>
      <c r="C13" s="24"/>
      <c r="D13" s="24"/>
      <c r="E13" s="24"/>
      <c r="F13" s="24"/>
      <c r="G13" s="24"/>
      <c r="H13" s="24"/>
      <c r="I13" s="24"/>
      <c r="J13" s="24"/>
      <c r="K13" s="24"/>
      <c r="L13" s="24"/>
    </row>
    <row r="14" ht="12">
      <c r="H14" s="25"/>
    </row>
  </sheetData>
  <printOptions horizontalCentered="1"/>
  <pageMargins left="0.417" right="0.417" top="0.5" bottom="0" header="0" footer="0"/>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transitionEvaluation="1" transitionEntry="1"/>
  <dimension ref="A1:N206"/>
  <sheetViews>
    <sheetView workbookViewId="0" topLeftCell="A1">
      <selection activeCell="A1" sqref="A1"/>
    </sheetView>
  </sheetViews>
  <sheetFormatPr defaultColWidth="7.7109375" defaultRowHeight="12.75"/>
  <cols>
    <col min="1" max="1" width="9.28125" style="49" customWidth="1"/>
    <col min="2" max="13" width="6.28125" style="49" customWidth="1"/>
    <col min="14" max="14" width="7.140625" style="49" customWidth="1"/>
    <col min="15" max="16384" width="7.7109375" style="49" customWidth="1"/>
  </cols>
  <sheetData>
    <row r="1" spans="1:14" s="29" customFormat="1" ht="12">
      <c r="A1" s="26" t="s">
        <v>158</v>
      </c>
      <c r="B1" s="27"/>
      <c r="C1" s="27"/>
      <c r="D1" s="27"/>
      <c r="E1" s="27"/>
      <c r="F1" s="27"/>
      <c r="G1" s="27"/>
      <c r="H1" s="27"/>
      <c r="I1" s="27"/>
      <c r="J1" s="27"/>
      <c r="K1" s="27"/>
      <c r="L1" s="27"/>
      <c r="M1" s="27"/>
      <c r="N1" s="28"/>
    </row>
    <row r="2" spans="1:14" s="29" customFormat="1" ht="13.5" customHeight="1">
      <c r="A2" s="30" t="s">
        <v>14</v>
      </c>
      <c r="B2" s="31" t="s">
        <v>15</v>
      </c>
      <c r="C2" s="31" t="s">
        <v>16</v>
      </c>
      <c r="D2" s="31" t="s">
        <v>17</v>
      </c>
      <c r="E2" s="31" t="s">
        <v>18</v>
      </c>
      <c r="F2" s="31" t="s">
        <v>19</v>
      </c>
      <c r="G2" s="31" t="s">
        <v>20</v>
      </c>
      <c r="H2" s="31" t="s">
        <v>21</v>
      </c>
      <c r="I2" s="31" t="s">
        <v>22</v>
      </c>
      <c r="J2" s="31" t="s">
        <v>23</v>
      </c>
      <c r="K2" s="31" t="s">
        <v>24</v>
      </c>
      <c r="L2" s="31" t="s">
        <v>25</v>
      </c>
      <c r="M2" s="31" t="s">
        <v>26</v>
      </c>
      <c r="N2" s="30" t="s">
        <v>27</v>
      </c>
    </row>
    <row r="3" spans="1:14" s="29" customFormat="1" ht="12.75" customHeight="1">
      <c r="A3" s="32"/>
      <c r="B3" s="33"/>
      <c r="C3" s="33"/>
      <c r="D3" s="33"/>
      <c r="E3" s="33"/>
      <c r="F3" s="33"/>
      <c r="G3" s="34" t="s">
        <v>28</v>
      </c>
      <c r="H3" s="33"/>
      <c r="I3" s="33"/>
      <c r="J3" s="33"/>
      <c r="K3" s="33"/>
      <c r="L3" s="33"/>
      <c r="M3" s="33"/>
      <c r="N3" s="33"/>
    </row>
    <row r="4" spans="1:14" s="29" customFormat="1" ht="9.75" customHeight="1">
      <c r="A4" s="35" t="s">
        <v>29</v>
      </c>
      <c r="B4" s="33"/>
      <c r="C4" s="33"/>
      <c r="D4" s="33"/>
      <c r="E4" s="33"/>
      <c r="F4" s="33"/>
      <c r="G4" s="33"/>
      <c r="H4" s="33"/>
      <c r="I4" s="33"/>
      <c r="J4" s="33"/>
      <c r="K4" s="33"/>
      <c r="L4" s="33"/>
      <c r="M4" s="33"/>
      <c r="N4" s="32"/>
    </row>
    <row r="5" spans="1:14" s="29" customFormat="1" ht="10.5" customHeight="1">
      <c r="A5" s="36" t="s">
        <v>30</v>
      </c>
      <c r="B5" s="37">
        <v>9733</v>
      </c>
      <c r="C5" s="37">
        <v>8878</v>
      </c>
      <c r="D5" s="37">
        <v>10417</v>
      </c>
      <c r="E5" s="37">
        <v>8989</v>
      </c>
      <c r="F5" s="37">
        <v>8692</v>
      </c>
      <c r="G5" s="37">
        <v>9091</v>
      </c>
      <c r="H5" s="37">
        <v>7670</v>
      </c>
      <c r="I5" s="37">
        <v>7807</v>
      </c>
      <c r="J5" s="37">
        <v>9107</v>
      </c>
      <c r="K5" s="37">
        <v>8902</v>
      </c>
      <c r="L5" s="37">
        <v>9902</v>
      </c>
      <c r="M5" s="37">
        <v>9814</v>
      </c>
      <c r="N5" s="37">
        <v>109002</v>
      </c>
    </row>
    <row r="6" spans="1:14" s="29" customFormat="1" ht="10.5" customHeight="1">
      <c r="A6" s="36" t="s">
        <v>31</v>
      </c>
      <c r="B6" s="37">
        <v>9892</v>
      </c>
      <c r="C6" s="37">
        <v>8532</v>
      </c>
      <c r="D6" s="37">
        <v>9955</v>
      </c>
      <c r="E6" s="37">
        <v>8131</v>
      </c>
      <c r="F6" s="37">
        <v>8943</v>
      </c>
      <c r="G6" s="37">
        <v>8855</v>
      </c>
      <c r="H6" s="37">
        <v>8086</v>
      </c>
      <c r="I6" s="37">
        <v>8659</v>
      </c>
      <c r="J6" s="37">
        <v>8156</v>
      </c>
      <c r="K6" s="37">
        <v>8580</v>
      </c>
      <c r="L6" s="37">
        <v>9132</v>
      </c>
      <c r="M6" s="37">
        <v>9114</v>
      </c>
      <c r="N6" s="37">
        <v>106035</v>
      </c>
    </row>
    <row r="7" spans="1:14" s="29" customFormat="1" ht="10.5" customHeight="1">
      <c r="A7" s="36" t="s">
        <v>32</v>
      </c>
      <c r="B7" s="37">
        <v>9632</v>
      </c>
      <c r="C7" s="37">
        <v>8213</v>
      </c>
      <c r="D7" s="37">
        <v>9008</v>
      </c>
      <c r="E7" s="37">
        <v>7861</v>
      </c>
      <c r="F7" s="37">
        <v>9191</v>
      </c>
      <c r="G7" s="37">
        <v>9000</v>
      </c>
      <c r="H7" s="37">
        <v>7748</v>
      </c>
      <c r="I7" s="37">
        <v>8113</v>
      </c>
      <c r="J7" s="37">
        <v>8091</v>
      </c>
      <c r="K7" s="37">
        <v>8849</v>
      </c>
      <c r="L7" s="37">
        <v>9335</v>
      </c>
      <c r="M7" s="37">
        <v>8855</v>
      </c>
      <c r="N7" s="37">
        <v>103896</v>
      </c>
    </row>
    <row r="8" spans="1:14" s="29" customFormat="1" ht="10.5" customHeight="1">
      <c r="A8" s="36" t="s">
        <v>33</v>
      </c>
      <c r="B8" s="37">
        <v>10651</v>
      </c>
      <c r="C8" s="37">
        <v>8767</v>
      </c>
      <c r="D8" s="37">
        <v>9701</v>
      </c>
      <c r="E8" s="37">
        <v>8920</v>
      </c>
      <c r="F8" s="37">
        <v>9652</v>
      </c>
      <c r="G8" s="37">
        <v>8479</v>
      </c>
      <c r="H8" s="37">
        <v>8761</v>
      </c>
      <c r="I8" s="37">
        <v>9025</v>
      </c>
      <c r="J8" s="37">
        <v>8915</v>
      </c>
      <c r="K8" s="37">
        <v>9719</v>
      </c>
      <c r="L8" s="37">
        <v>10351</v>
      </c>
      <c r="M8" s="37">
        <v>9352</v>
      </c>
      <c r="N8" s="37">
        <v>112293</v>
      </c>
    </row>
    <row r="9" spans="1:14" s="29" customFormat="1" ht="10.5" customHeight="1">
      <c r="A9" s="36" t="s">
        <v>34</v>
      </c>
      <c r="B9" s="37">
        <v>10847</v>
      </c>
      <c r="C9" s="37">
        <v>9334</v>
      </c>
      <c r="D9" s="37">
        <v>10146</v>
      </c>
      <c r="E9" s="37">
        <v>9829</v>
      </c>
      <c r="F9" s="37">
        <v>9986</v>
      </c>
      <c r="G9" s="37">
        <v>9466</v>
      </c>
      <c r="H9" s="37">
        <v>7794</v>
      </c>
      <c r="I9" s="37">
        <v>8130</v>
      </c>
      <c r="J9" s="37">
        <v>8845</v>
      </c>
      <c r="K9" s="37">
        <v>8885</v>
      </c>
      <c r="L9" s="37">
        <v>8946</v>
      </c>
      <c r="M9" s="37">
        <v>9420</v>
      </c>
      <c r="N9" s="37">
        <v>111628</v>
      </c>
    </row>
    <row r="10" spans="1:14" s="29" customFormat="1" ht="10.5" customHeight="1">
      <c r="A10" s="36" t="s">
        <v>35</v>
      </c>
      <c r="B10" s="37">
        <v>9284</v>
      </c>
      <c r="C10" s="37">
        <v>8106</v>
      </c>
      <c r="D10" s="37">
        <v>10006</v>
      </c>
      <c r="E10" s="37">
        <v>9257</v>
      </c>
      <c r="F10" s="37">
        <v>9340</v>
      </c>
      <c r="G10" s="37">
        <v>9332</v>
      </c>
      <c r="H10" s="37">
        <v>9205</v>
      </c>
      <c r="I10" s="37">
        <v>8346</v>
      </c>
      <c r="J10" s="37">
        <v>8868</v>
      </c>
      <c r="K10" s="37">
        <v>8723</v>
      </c>
      <c r="L10" s="37">
        <v>10025</v>
      </c>
      <c r="M10" s="37">
        <v>9447</v>
      </c>
      <c r="N10" s="37">
        <v>109939</v>
      </c>
    </row>
    <row r="11" spans="1:14" s="29" customFormat="1" ht="10.5" customHeight="1">
      <c r="A11" s="36" t="s">
        <v>36</v>
      </c>
      <c r="B11" s="37">
        <v>10056</v>
      </c>
      <c r="C11" s="37">
        <v>8849</v>
      </c>
      <c r="D11" s="37">
        <v>10254</v>
      </c>
      <c r="E11" s="37">
        <v>8752</v>
      </c>
      <c r="F11" s="37">
        <v>10175</v>
      </c>
      <c r="G11" s="37">
        <v>9694</v>
      </c>
      <c r="H11" s="37">
        <v>8368</v>
      </c>
      <c r="I11" s="37">
        <v>9095</v>
      </c>
      <c r="J11" s="37">
        <v>9233</v>
      </c>
      <c r="K11" s="37">
        <v>8942</v>
      </c>
      <c r="L11" s="37">
        <v>10287</v>
      </c>
      <c r="M11" s="37">
        <v>10349</v>
      </c>
      <c r="N11" s="37">
        <v>114054</v>
      </c>
    </row>
    <row r="12" spans="1:14" s="29" customFormat="1" ht="10.5" customHeight="1">
      <c r="A12" s="36" t="s">
        <v>37</v>
      </c>
      <c r="B12" s="37">
        <v>10111</v>
      </c>
      <c r="C12" s="37">
        <v>9372</v>
      </c>
      <c r="D12" s="37">
        <v>10384</v>
      </c>
      <c r="E12" s="37">
        <v>9165</v>
      </c>
      <c r="F12" s="37">
        <v>10008</v>
      </c>
      <c r="G12" s="37">
        <v>9233</v>
      </c>
      <c r="H12" s="37">
        <v>8518</v>
      </c>
      <c r="I12" s="37">
        <v>8443</v>
      </c>
      <c r="J12" s="37">
        <v>8372</v>
      </c>
      <c r="K12" s="37">
        <v>8971</v>
      </c>
      <c r="L12" s="37">
        <v>9347</v>
      </c>
      <c r="M12" s="37">
        <v>8947</v>
      </c>
      <c r="N12" s="37">
        <f aca="true" t="shared" si="0" ref="N12:N17">SUM(B12:M12)</f>
        <v>110871</v>
      </c>
    </row>
    <row r="13" spans="1:14" s="29" customFormat="1" ht="10.5" customHeight="1">
      <c r="A13" s="36">
        <v>1996</v>
      </c>
      <c r="B13" s="37">
        <v>9958</v>
      </c>
      <c r="C13" s="37">
        <v>8611</v>
      </c>
      <c r="D13" s="37">
        <v>9033</v>
      </c>
      <c r="E13" s="37">
        <v>8866</v>
      </c>
      <c r="F13" s="37">
        <v>9360</v>
      </c>
      <c r="G13" s="37">
        <v>8979</v>
      </c>
      <c r="H13" s="37">
        <v>9128</v>
      </c>
      <c r="I13" s="37">
        <v>8538</v>
      </c>
      <c r="J13" s="37">
        <v>9110</v>
      </c>
      <c r="K13" s="37">
        <v>9636</v>
      </c>
      <c r="L13" s="37">
        <v>9997</v>
      </c>
      <c r="M13" s="37">
        <v>9597</v>
      </c>
      <c r="N13" s="37">
        <f t="shared" si="0"/>
        <v>110813</v>
      </c>
    </row>
    <row r="14" spans="1:14" s="29" customFormat="1" ht="10.5" customHeight="1">
      <c r="A14" s="36">
        <v>1997</v>
      </c>
      <c r="B14" s="38">
        <v>11052</v>
      </c>
      <c r="C14" s="38">
        <v>8950</v>
      </c>
      <c r="D14" s="38">
        <v>10115</v>
      </c>
      <c r="E14" s="38">
        <v>9819</v>
      </c>
      <c r="F14" s="38">
        <v>10655</v>
      </c>
      <c r="G14" s="38">
        <v>9922</v>
      </c>
      <c r="H14" s="38">
        <v>8808</v>
      </c>
      <c r="I14" s="38">
        <v>8010</v>
      </c>
      <c r="J14" s="38">
        <v>8942</v>
      </c>
      <c r="K14" s="38">
        <v>9862</v>
      </c>
      <c r="L14" s="38">
        <v>9522</v>
      </c>
      <c r="M14" s="38">
        <v>9844</v>
      </c>
      <c r="N14" s="38">
        <f t="shared" si="0"/>
        <v>115501</v>
      </c>
    </row>
    <row r="15" spans="1:14" s="29" customFormat="1" ht="10.5" customHeight="1">
      <c r="A15" s="39" t="s">
        <v>38</v>
      </c>
      <c r="B15" s="38">
        <v>10046</v>
      </c>
      <c r="C15" s="38">
        <v>8658</v>
      </c>
      <c r="D15" s="38">
        <v>10229</v>
      </c>
      <c r="E15" s="38">
        <v>9761</v>
      </c>
      <c r="F15" s="38">
        <v>9736</v>
      </c>
      <c r="G15" s="38">
        <v>10840</v>
      </c>
      <c r="H15" s="38">
        <v>11095</v>
      </c>
      <c r="I15" s="38">
        <v>8777</v>
      </c>
      <c r="J15" s="38">
        <v>9118</v>
      </c>
      <c r="K15" s="38">
        <v>9734</v>
      </c>
      <c r="L15" s="38">
        <v>9632</v>
      </c>
      <c r="M15" s="38">
        <v>9619</v>
      </c>
      <c r="N15" s="38">
        <f t="shared" si="0"/>
        <v>117245</v>
      </c>
    </row>
    <row r="16" spans="1:14" s="29" customFormat="1" ht="10.5" customHeight="1">
      <c r="A16" s="39" t="s">
        <v>39</v>
      </c>
      <c r="B16" s="38">
        <v>10369</v>
      </c>
      <c r="C16" s="38">
        <v>8654</v>
      </c>
      <c r="D16" s="38">
        <v>10479</v>
      </c>
      <c r="E16" s="38">
        <v>9284</v>
      </c>
      <c r="F16" s="38">
        <v>9299</v>
      </c>
      <c r="G16" s="38">
        <v>9965</v>
      </c>
      <c r="H16" s="38">
        <v>9112</v>
      </c>
      <c r="I16" s="38">
        <v>8237</v>
      </c>
      <c r="J16" s="38">
        <v>8677</v>
      </c>
      <c r="K16" s="38">
        <v>8641</v>
      </c>
      <c r="L16" s="38">
        <v>10221</v>
      </c>
      <c r="M16" s="38">
        <v>10149</v>
      </c>
      <c r="N16" s="38">
        <f t="shared" si="0"/>
        <v>113087</v>
      </c>
    </row>
    <row r="17" spans="1:14" s="29" customFormat="1" ht="10.5" customHeight="1">
      <c r="A17" s="39" t="s">
        <v>40</v>
      </c>
      <c r="B17" s="38">
        <v>9321</v>
      </c>
      <c r="C17" s="38">
        <v>9011</v>
      </c>
      <c r="D17" s="38">
        <v>9897</v>
      </c>
      <c r="E17" s="38">
        <v>9721</v>
      </c>
      <c r="F17" s="38">
        <v>10293</v>
      </c>
      <c r="G17" s="38">
        <v>10082</v>
      </c>
      <c r="H17" s="38">
        <v>8952</v>
      </c>
      <c r="I17" s="38">
        <v>8958</v>
      </c>
      <c r="J17" s="38">
        <v>9432</v>
      </c>
      <c r="K17" s="38">
        <v>9083</v>
      </c>
      <c r="L17" s="38">
        <v>10374</v>
      </c>
      <c r="M17" s="38">
        <v>10317</v>
      </c>
      <c r="N17" s="38">
        <f t="shared" si="0"/>
        <v>115441</v>
      </c>
    </row>
    <row r="18" spans="1:14" s="29" customFormat="1" ht="10.5" customHeight="1">
      <c r="A18" s="39" t="s">
        <v>41</v>
      </c>
      <c r="B18" s="38">
        <v>9077</v>
      </c>
      <c r="C18" s="38">
        <v>11271</v>
      </c>
      <c r="D18" s="38">
        <v>9561</v>
      </c>
      <c r="E18" s="38">
        <v>9733</v>
      </c>
      <c r="F18" s="38">
        <v>11288</v>
      </c>
      <c r="G18" s="38">
        <v>8948</v>
      </c>
      <c r="H18" s="38">
        <v>7407</v>
      </c>
      <c r="I18" s="38"/>
      <c r="J18" s="38"/>
      <c r="K18" s="38"/>
      <c r="L18" s="38"/>
      <c r="M18" s="38"/>
      <c r="N18" s="38"/>
    </row>
    <row r="19" spans="1:14" s="29" customFormat="1" ht="3.75" customHeight="1">
      <c r="A19" s="32"/>
      <c r="B19" s="40"/>
      <c r="C19" s="40"/>
      <c r="D19" s="40"/>
      <c r="E19" s="40"/>
      <c r="F19" s="40"/>
      <c r="G19" s="40"/>
      <c r="H19" s="40"/>
      <c r="I19" s="40"/>
      <c r="J19" s="40"/>
      <c r="K19" s="40"/>
      <c r="L19" s="40"/>
      <c r="M19" s="40"/>
      <c r="N19" s="40"/>
    </row>
    <row r="20" spans="1:14" s="29" customFormat="1" ht="9.75" customHeight="1">
      <c r="A20" s="35" t="s">
        <v>42</v>
      </c>
      <c r="B20" s="40"/>
      <c r="C20" s="40"/>
      <c r="D20" s="40"/>
      <c r="E20" s="40"/>
      <c r="F20" s="40"/>
      <c r="G20" s="40"/>
      <c r="H20" s="40"/>
      <c r="I20" s="40"/>
      <c r="J20" s="40"/>
      <c r="K20" s="40"/>
      <c r="L20" s="40"/>
      <c r="M20" s="40"/>
      <c r="N20" s="40"/>
    </row>
    <row r="21" spans="1:14" s="29" customFormat="1" ht="10.5" customHeight="1">
      <c r="A21" s="36" t="s">
        <v>30</v>
      </c>
      <c r="B21" s="38">
        <v>1890</v>
      </c>
      <c r="C21" s="38">
        <v>1810</v>
      </c>
      <c r="D21" s="38">
        <v>1901</v>
      </c>
      <c r="E21" s="38">
        <v>2685</v>
      </c>
      <c r="F21" s="38">
        <v>3738</v>
      </c>
      <c r="G21" s="38">
        <v>2334</v>
      </c>
      <c r="H21" s="38">
        <v>1088</v>
      </c>
      <c r="I21" s="38">
        <v>1504</v>
      </c>
      <c r="J21" s="38">
        <v>1500</v>
      </c>
      <c r="K21" s="38">
        <v>1734</v>
      </c>
      <c r="L21" s="38">
        <v>1783</v>
      </c>
      <c r="M21" s="38">
        <v>1977</v>
      </c>
      <c r="N21" s="38">
        <v>23944</v>
      </c>
    </row>
    <row r="22" spans="1:14" s="29" customFormat="1" ht="10.5" customHeight="1">
      <c r="A22" s="36" t="s">
        <v>31</v>
      </c>
      <c r="B22" s="38">
        <v>1276</v>
      </c>
      <c r="C22" s="38">
        <v>1152</v>
      </c>
      <c r="D22" s="38">
        <v>1409</v>
      </c>
      <c r="E22" s="38">
        <v>2018</v>
      </c>
      <c r="F22" s="38">
        <v>4586</v>
      </c>
      <c r="G22" s="38">
        <v>3078</v>
      </c>
      <c r="H22" s="38">
        <v>1494</v>
      </c>
      <c r="I22" s="38">
        <v>1127</v>
      </c>
      <c r="J22" s="38">
        <v>1432</v>
      </c>
      <c r="K22" s="38">
        <v>1496</v>
      </c>
      <c r="L22" s="38">
        <v>1483</v>
      </c>
      <c r="M22" s="38">
        <v>1629</v>
      </c>
      <c r="N22" s="38">
        <v>22180</v>
      </c>
    </row>
    <row r="23" spans="1:14" s="29" customFormat="1" ht="10.5" customHeight="1">
      <c r="A23" s="36" t="s">
        <v>32</v>
      </c>
      <c r="B23" s="38">
        <v>1428</v>
      </c>
      <c r="C23" s="38">
        <v>1188</v>
      </c>
      <c r="D23" s="38">
        <v>1474</v>
      </c>
      <c r="E23" s="38">
        <v>2524</v>
      </c>
      <c r="F23" s="38">
        <v>4313</v>
      </c>
      <c r="G23" s="38">
        <v>3098</v>
      </c>
      <c r="H23" s="38">
        <v>1400</v>
      </c>
      <c r="I23" s="38">
        <v>1067</v>
      </c>
      <c r="J23" s="38">
        <v>1436</v>
      </c>
      <c r="K23" s="38">
        <v>1536</v>
      </c>
      <c r="L23" s="38">
        <v>1513</v>
      </c>
      <c r="M23" s="38">
        <v>1676</v>
      </c>
      <c r="N23" s="38">
        <v>22653</v>
      </c>
    </row>
    <row r="24" spans="1:14" s="29" customFormat="1" ht="10.5" customHeight="1">
      <c r="A24" s="36" t="s">
        <v>33</v>
      </c>
      <c r="B24" s="38">
        <v>1547</v>
      </c>
      <c r="C24" s="38">
        <v>1235</v>
      </c>
      <c r="D24" s="38">
        <v>1819</v>
      </c>
      <c r="E24" s="38">
        <v>2267</v>
      </c>
      <c r="F24" s="38">
        <v>4028</v>
      </c>
      <c r="G24" s="38">
        <v>2243</v>
      </c>
      <c r="H24" s="38">
        <v>1120</v>
      </c>
      <c r="I24" s="38">
        <v>1080</v>
      </c>
      <c r="J24" s="38">
        <v>1422</v>
      </c>
      <c r="K24" s="38">
        <v>1978</v>
      </c>
      <c r="L24" s="38">
        <v>2599</v>
      </c>
      <c r="M24" s="38">
        <v>2314</v>
      </c>
      <c r="N24" s="38">
        <v>23652</v>
      </c>
    </row>
    <row r="25" spans="1:14" s="29" customFormat="1" ht="10.5" customHeight="1">
      <c r="A25" s="36" t="s">
        <v>34</v>
      </c>
      <c r="B25" s="38">
        <v>2117</v>
      </c>
      <c r="C25" s="38">
        <v>2781</v>
      </c>
      <c r="D25" s="38">
        <v>2745</v>
      </c>
      <c r="E25" s="38">
        <v>3644</v>
      </c>
      <c r="F25" s="38">
        <v>4261</v>
      </c>
      <c r="G25" s="38">
        <v>3179</v>
      </c>
      <c r="H25" s="38">
        <v>1279</v>
      </c>
      <c r="I25" s="38">
        <v>1591</v>
      </c>
      <c r="J25" s="38">
        <v>2060</v>
      </c>
      <c r="K25" s="38">
        <v>3199</v>
      </c>
      <c r="L25" s="38">
        <v>2592</v>
      </c>
      <c r="M25" s="38">
        <v>2644</v>
      </c>
      <c r="N25" s="38">
        <v>32092</v>
      </c>
    </row>
    <row r="26" spans="1:14" s="29" customFormat="1" ht="10.5" customHeight="1">
      <c r="A26" s="36" t="s">
        <v>35</v>
      </c>
      <c r="B26" s="38">
        <v>3170</v>
      </c>
      <c r="C26" s="38">
        <v>2308</v>
      </c>
      <c r="D26" s="38">
        <v>2913</v>
      </c>
      <c r="E26" s="38">
        <v>2531</v>
      </c>
      <c r="F26" s="38">
        <v>3653</v>
      </c>
      <c r="G26" s="38">
        <v>3186</v>
      </c>
      <c r="H26" s="38">
        <v>1474</v>
      </c>
      <c r="I26" s="38">
        <v>1086</v>
      </c>
      <c r="J26" s="38">
        <v>2415</v>
      </c>
      <c r="K26" s="38">
        <v>3624</v>
      </c>
      <c r="L26" s="38">
        <v>2656</v>
      </c>
      <c r="M26" s="38">
        <v>3066</v>
      </c>
      <c r="N26" s="38">
        <v>32082</v>
      </c>
    </row>
    <row r="27" spans="1:14" s="29" customFormat="1" ht="10.5" customHeight="1">
      <c r="A27" s="36" t="s">
        <v>36</v>
      </c>
      <c r="B27" s="38">
        <v>3315</v>
      </c>
      <c r="C27" s="38">
        <v>2547</v>
      </c>
      <c r="D27" s="38">
        <v>3377</v>
      </c>
      <c r="E27" s="38">
        <v>3004</v>
      </c>
      <c r="F27" s="38">
        <v>4073</v>
      </c>
      <c r="G27" s="38">
        <v>2102</v>
      </c>
      <c r="H27" s="38">
        <v>1172</v>
      </c>
      <c r="I27" s="38">
        <v>1349</v>
      </c>
      <c r="J27" s="38">
        <v>2028</v>
      </c>
      <c r="K27" s="38">
        <v>2829</v>
      </c>
      <c r="L27" s="38">
        <v>2825</v>
      </c>
      <c r="M27" s="38">
        <v>4002</v>
      </c>
      <c r="N27" s="38">
        <v>32623</v>
      </c>
    </row>
    <row r="28" spans="1:14" s="29" customFormat="1" ht="10.5" customHeight="1">
      <c r="A28" s="36" t="s">
        <v>37</v>
      </c>
      <c r="B28" s="38">
        <v>3754</v>
      </c>
      <c r="C28" s="38">
        <v>2831</v>
      </c>
      <c r="D28" s="38">
        <v>2968</v>
      </c>
      <c r="E28" s="38">
        <v>3028</v>
      </c>
      <c r="F28" s="38">
        <v>3654</v>
      </c>
      <c r="G28" s="38">
        <v>2381</v>
      </c>
      <c r="H28" s="38">
        <v>1123</v>
      </c>
      <c r="I28" s="38">
        <v>1139</v>
      </c>
      <c r="J28" s="38">
        <v>3030</v>
      </c>
      <c r="K28" s="38">
        <v>2211</v>
      </c>
      <c r="L28" s="38">
        <v>2683</v>
      </c>
      <c r="M28" s="38">
        <v>3611</v>
      </c>
      <c r="N28" s="38">
        <f aca="true" t="shared" si="1" ref="N28:N33">SUM(B28:M28)</f>
        <v>32413</v>
      </c>
    </row>
    <row r="29" spans="1:14" s="29" customFormat="1" ht="10.5" customHeight="1">
      <c r="A29" s="36">
        <v>1996</v>
      </c>
      <c r="B29" s="38">
        <v>3640</v>
      </c>
      <c r="C29" s="38">
        <v>2666</v>
      </c>
      <c r="D29" s="38">
        <v>3073</v>
      </c>
      <c r="E29" s="38">
        <v>2515</v>
      </c>
      <c r="F29" s="38">
        <v>3006</v>
      </c>
      <c r="G29" s="38">
        <v>1899</v>
      </c>
      <c r="H29" s="38">
        <v>1164</v>
      </c>
      <c r="I29" s="38">
        <v>1213</v>
      </c>
      <c r="J29" s="38">
        <v>1668</v>
      </c>
      <c r="K29" s="38">
        <v>2617</v>
      </c>
      <c r="L29" s="38">
        <v>3187</v>
      </c>
      <c r="M29" s="38">
        <v>2875</v>
      </c>
      <c r="N29" s="38">
        <f t="shared" si="1"/>
        <v>29523</v>
      </c>
    </row>
    <row r="30" spans="1:14" s="29" customFormat="1" ht="10.5" customHeight="1">
      <c r="A30" s="36">
        <v>1997</v>
      </c>
      <c r="B30" s="38">
        <v>2834</v>
      </c>
      <c r="C30" s="38">
        <v>2297</v>
      </c>
      <c r="D30" s="38">
        <v>2584</v>
      </c>
      <c r="E30" s="38">
        <v>2994</v>
      </c>
      <c r="F30" s="38">
        <v>4041</v>
      </c>
      <c r="G30" s="38">
        <v>1921</v>
      </c>
      <c r="H30" s="38">
        <v>848</v>
      </c>
      <c r="I30" s="38">
        <v>1506</v>
      </c>
      <c r="J30" s="38">
        <v>1569</v>
      </c>
      <c r="K30" s="38">
        <v>1901</v>
      </c>
      <c r="L30" s="38">
        <v>3187</v>
      </c>
      <c r="M30" s="38">
        <v>2874</v>
      </c>
      <c r="N30" s="38">
        <f t="shared" si="1"/>
        <v>28556</v>
      </c>
    </row>
    <row r="31" spans="1:14" s="29" customFormat="1" ht="10.5" customHeight="1">
      <c r="A31" s="39" t="s">
        <v>43</v>
      </c>
      <c r="B31" s="38">
        <v>3793</v>
      </c>
      <c r="C31" s="38">
        <v>2965</v>
      </c>
      <c r="D31" s="38">
        <v>3418</v>
      </c>
      <c r="E31" s="38">
        <v>2229</v>
      </c>
      <c r="F31" s="38">
        <v>4463</v>
      </c>
      <c r="G31" s="38">
        <v>2845</v>
      </c>
      <c r="H31" s="38">
        <v>1150</v>
      </c>
      <c r="I31" s="38">
        <v>1731</v>
      </c>
      <c r="J31" s="38">
        <v>2062</v>
      </c>
      <c r="K31" s="38">
        <v>3006</v>
      </c>
      <c r="L31" s="38">
        <v>2580</v>
      </c>
      <c r="M31" s="38">
        <v>3158</v>
      </c>
      <c r="N31" s="38">
        <f t="shared" si="1"/>
        <v>33400</v>
      </c>
    </row>
    <row r="32" spans="1:14" s="29" customFormat="1" ht="10.5" customHeight="1">
      <c r="A32" s="39" t="s">
        <v>39</v>
      </c>
      <c r="B32" s="38">
        <v>3611</v>
      </c>
      <c r="C32" s="38">
        <v>2559</v>
      </c>
      <c r="D32" s="38">
        <v>3460</v>
      </c>
      <c r="E32" s="38">
        <v>3175</v>
      </c>
      <c r="F32" s="38">
        <v>5479</v>
      </c>
      <c r="G32" s="38">
        <v>3163</v>
      </c>
      <c r="H32" s="38">
        <v>1566</v>
      </c>
      <c r="I32" s="38">
        <v>1997</v>
      </c>
      <c r="J32" s="38">
        <v>2345</v>
      </c>
      <c r="K32" s="38">
        <v>3407</v>
      </c>
      <c r="L32" s="38">
        <v>3394</v>
      </c>
      <c r="M32" s="38">
        <v>3381</v>
      </c>
      <c r="N32" s="38">
        <f t="shared" si="1"/>
        <v>37537</v>
      </c>
    </row>
    <row r="33" spans="1:14" s="29" customFormat="1" ht="10.5" customHeight="1">
      <c r="A33" s="39" t="s">
        <v>40</v>
      </c>
      <c r="B33" s="38">
        <v>3554</v>
      </c>
      <c r="C33" s="38">
        <v>3120</v>
      </c>
      <c r="D33" s="38">
        <v>3655</v>
      </c>
      <c r="E33" s="38">
        <v>4394</v>
      </c>
      <c r="F33" s="38">
        <v>4574</v>
      </c>
      <c r="G33" s="38">
        <v>3704</v>
      </c>
      <c r="H33" s="38">
        <v>2451</v>
      </c>
      <c r="I33" s="38">
        <v>1992</v>
      </c>
      <c r="J33" s="38">
        <v>3120</v>
      </c>
      <c r="K33" s="38">
        <v>2770</v>
      </c>
      <c r="L33" s="38">
        <v>3098</v>
      </c>
      <c r="M33" s="38">
        <v>3795</v>
      </c>
      <c r="N33" s="38">
        <f t="shared" si="1"/>
        <v>40227</v>
      </c>
    </row>
    <row r="34" spans="1:14" s="29" customFormat="1" ht="10.5" customHeight="1">
      <c r="A34" s="39" t="s">
        <v>41</v>
      </c>
      <c r="B34" s="38">
        <v>3371</v>
      </c>
      <c r="C34" s="38">
        <v>3154</v>
      </c>
      <c r="D34" s="38">
        <v>2702</v>
      </c>
      <c r="E34" s="38">
        <v>3189</v>
      </c>
      <c r="F34" s="38">
        <v>5396</v>
      </c>
      <c r="G34" s="38">
        <v>3899</v>
      </c>
      <c r="H34" s="38">
        <v>2239</v>
      </c>
      <c r="I34" s="38"/>
      <c r="J34" s="38"/>
      <c r="K34" s="38"/>
      <c r="L34" s="38"/>
      <c r="M34" s="38"/>
      <c r="N34" s="38"/>
    </row>
    <row r="35" spans="1:14" s="29" customFormat="1" ht="3.75" customHeight="1">
      <c r="A35" s="32"/>
      <c r="B35" s="40"/>
      <c r="C35" s="40"/>
      <c r="D35" s="40"/>
      <c r="E35" s="40"/>
      <c r="F35" s="40"/>
      <c r="G35" s="40"/>
      <c r="H35" s="40"/>
      <c r="I35" s="40"/>
      <c r="J35" s="40"/>
      <c r="K35" s="40"/>
      <c r="L35" s="40"/>
      <c r="M35" s="40"/>
      <c r="N35" s="40" t="s">
        <v>11</v>
      </c>
    </row>
    <row r="36" spans="1:14" s="29" customFormat="1" ht="9.75" customHeight="1">
      <c r="A36" s="35" t="s">
        <v>44</v>
      </c>
      <c r="B36" s="40"/>
      <c r="C36" s="40"/>
      <c r="D36" s="40"/>
      <c r="E36" s="40"/>
      <c r="F36" s="40"/>
      <c r="G36" s="40"/>
      <c r="H36" s="40"/>
      <c r="I36" s="40"/>
      <c r="J36" s="40"/>
      <c r="K36" s="40"/>
      <c r="L36" s="40"/>
      <c r="M36" s="40"/>
      <c r="N36" s="40"/>
    </row>
    <row r="37" spans="1:14" s="29" customFormat="1" ht="10.5" customHeight="1">
      <c r="A37" s="36" t="s">
        <v>30</v>
      </c>
      <c r="B37" s="38">
        <v>494</v>
      </c>
      <c r="C37" s="38">
        <v>553</v>
      </c>
      <c r="D37" s="38">
        <v>1626</v>
      </c>
      <c r="E37" s="38">
        <v>4345</v>
      </c>
      <c r="F37" s="38">
        <v>537</v>
      </c>
      <c r="G37" s="38">
        <v>375</v>
      </c>
      <c r="H37" s="38">
        <v>0</v>
      </c>
      <c r="I37" s="38">
        <v>0</v>
      </c>
      <c r="J37" s="38">
        <v>0</v>
      </c>
      <c r="K37" s="38">
        <v>73</v>
      </c>
      <c r="L37" s="38">
        <v>92</v>
      </c>
      <c r="M37" s="38">
        <v>605</v>
      </c>
      <c r="N37" s="38">
        <v>8700</v>
      </c>
    </row>
    <row r="38" spans="1:14" s="29" customFormat="1" ht="10.5" customHeight="1">
      <c r="A38" s="36" t="s">
        <v>31</v>
      </c>
      <c r="B38" s="38">
        <v>543</v>
      </c>
      <c r="C38" s="38">
        <v>602</v>
      </c>
      <c r="D38" s="38">
        <v>1302</v>
      </c>
      <c r="E38" s="38">
        <v>3674</v>
      </c>
      <c r="F38" s="38">
        <v>566</v>
      </c>
      <c r="G38" s="38">
        <v>112</v>
      </c>
      <c r="H38" s="38">
        <v>0</v>
      </c>
      <c r="I38" s="38">
        <v>0</v>
      </c>
      <c r="J38" s="38">
        <v>0</v>
      </c>
      <c r="K38" s="38">
        <v>48</v>
      </c>
      <c r="L38" s="38">
        <v>159</v>
      </c>
      <c r="M38" s="38">
        <v>443</v>
      </c>
      <c r="N38" s="38">
        <v>7449</v>
      </c>
    </row>
    <row r="39" spans="1:14" s="29" customFormat="1" ht="10.5" customHeight="1">
      <c r="A39" s="36" t="s">
        <v>32</v>
      </c>
      <c r="B39" s="38">
        <v>741</v>
      </c>
      <c r="C39" s="38">
        <v>693</v>
      </c>
      <c r="D39" s="38">
        <v>3010</v>
      </c>
      <c r="E39" s="38">
        <v>3039</v>
      </c>
      <c r="F39" s="38">
        <v>505</v>
      </c>
      <c r="G39" s="38">
        <v>81</v>
      </c>
      <c r="H39" s="38">
        <v>0</v>
      </c>
      <c r="I39" s="38">
        <v>0</v>
      </c>
      <c r="J39" s="38">
        <v>0</v>
      </c>
      <c r="K39" s="38">
        <v>0</v>
      </c>
      <c r="L39" s="38">
        <v>111</v>
      </c>
      <c r="M39" s="38">
        <v>479</v>
      </c>
      <c r="N39" s="38">
        <v>8659</v>
      </c>
    </row>
    <row r="40" spans="1:14" s="29" customFormat="1" ht="10.5" customHeight="1">
      <c r="A40" s="36" t="s">
        <v>33</v>
      </c>
      <c r="B40" s="38">
        <v>709</v>
      </c>
      <c r="C40" s="38">
        <v>955</v>
      </c>
      <c r="D40" s="38">
        <v>2229</v>
      </c>
      <c r="E40" s="38">
        <v>3908</v>
      </c>
      <c r="F40" s="38">
        <v>599</v>
      </c>
      <c r="G40" s="38">
        <v>118</v>
      </c>
      <c r="H40" s="38">
        <v>0</v>
      </c>
      <c r="I40" s="38">
        <v>1</v>
      </c>
      <c r="J40" s="38">
        <v>0</v>
      </c>
      <c r="K40" s="38">
        <v>11</v>
      </c>
      <c r="L40" s="38">
        <v>159</v>
      </c>
      <c r="M40" s="38">
        <v>323</v>
      </c>
      <c r="N40" s="38">
        <v>9012</v>
      </c>
    </row>
    <row r="41" spans="1:14" s="29" customFormat="1" ht="10.5" customHeight="1">
      <c r="A41" s="36" t="s">
        <v>34</v>
      </c>
      <c r="B41" s="38">
        <v>695</v>
      </c>
      <c r="C41" s="38">
        <v>1245</v>
      </c>
      <c r="D41" s="38">
        <v>3184</v>
      </c>
      <c r="E41" s="38">
        <v>6889</v>
      </c>
      <c r="F41" s="38">
        <v>3248</v>
      </c>
      <c r="G41" s="38">
        <v>147</v>
      </c>
      <c r="H41" s="38">
        <v>0</v>
      </c>
      <c r="I41" s="38">
        <v>1</v>
      </c>
      <c r="J41" s="38">
        <v>0</v>
      </c>
      <c r="K41" s="38">
        <v>72</v>
      </c>
      <c r="L41" s="38">
        <v>227</v>
      </c>
      <c r="M41" s="38">
        <v>327</v>
      </c>
      <c r="N41" s="38">
        <v>16035</v>
      </c>
    </row>
    <row r="42" spans="1:14" s="29" customFormat="1" ht="10.5" customHeight="1">
      <c r="A42" s="36" t="s">
        <v>35</v>
      </c>
      <c r="B42" s="38">
        <v>841</v>
      </c>
      <c r="C42" s="38">
        <v>957</v>
      </c>
      <c r="D42" s="38">
        <v>2055</v>
      </c>
      <c r="E42" s="38">
        <v>6633</v>
      </c>
      <c r="F42" s="38">
        <v>5833</v>
      </c>
      <c r="G42" s="38">
        <v>190</v>
      </c>
      <c r="H42" s="38">
        <v>18</v>
      </c>
      <c r="I42" s="38">
        <v>2</v>
      </c>
      <c r="J42" s="38">
        <v>6</v>
      </c>
      <c r="K42" s="38">
        <v>105</v>
      </c>
      <c r="L42" s="38">
        <v>194</v>
      </c>
      <c r="M42" s="38">
        <v>385</v>
      </c>
      <c r="N42" s="38">
        <v>17219</v>
      </c>
    </row>
    <row r="43" spans="1:14" s="29" customFormat="1" ht="10.5" customHeight="1">
      <c r="A43" s="36" t="s">
        <v>36</v>
      </c>
      <c r="B43" s="38">
        <v>892</v>
      </c>
      <c r="C43" s="38">
        <v>1090</v>
      </c>
      <c r="D43" s="38">
        <v>2865</v>
      </c>
      <c r="E43" s="38">
        <v>9045</v>
      </c>
      <c r="F43" s="38">
        <v>2224</v>
      </c>
      <c r="G43" s="38">
        <v>46</v>
      </c>
      <c r="H43" s="38">
        <v>5</v>
      </c>
      <c r="I43" s="38">
        <v>0</v>
      </c>
      <c r="J43" s="38">
        <v>10</v>
      </c>
      <c r="K43" s="38">
        <v>115</v>
      </c>
      <c r="L43" s="38">
        <v>252</v>
      </c>
      <c r="M43" s="38">
        <v>549</v>
      </c>
      <c r="N43" s="38">
        <v>17093</v>
      </c>
    </row>
    <row r="44" spans="1:14" s="29" customFormat="1" ht="10.5" customHeight="1">
      <c r="A44" s="36" t="s">
        <v>37</v>
      </c>
      <c r="B44" s="38">
        <v>830</v>
      </c>
      <c r="C44" s="38">
        <v>892</v>
      </c>
      <c r="D44" s="38">
        <v>2234</v>
      </c>
      <c r="E44" s="38">
        <v>7160</v>
      </c>
      <c r="F44" s="38">
        <v>5231</v>
      </c>
      <c r="G44" s="38">
        <v>992</v>
      </c>
      <c r="H44" s="38">
        <v>7</v>
      </c>
      <c r="I44" s="38">
        <v>0</v>
      </c>
      <c r="J44" s="38">
        <v>1</v>
      </c>
      <c r="K44" s="38">
        <v>286</v>
      </c>
      <c r="L44" s="38">
        <v>255</v>
      </c>
      <c r="M44" s="38">
        <v>531</v>
      </c>
      <c r="N44" s="38">
        <f aca="true" t="shared" si="2" ref="N44:N49">SUM(B44:M44)</f>
        <v>18419</v>
      </c>
    </row>
    <row r="45" spans="1:14" s="29" customFormat="1" ht="10.5" customHeight="1">
      <c r="A45" s="36">
        <v>1996</v>
      </c>
      <c r="B45" s="38">
        <v>805</v>
      </c>
      <c r="C45" s="38">
        <v>1157</v>
      </c>
      <c r="D45" s="38">
        <v>4110</v>
      </c>
      <c r="E45" s="38">
        <v>9063</v>
      </c>
      <c r="F45" s="38">
        <v>7373</v>
      </c>
      <c r="G45" s="38">
        <v>948</v>
      </c>
      <c r="H45" s="38">
        <v>0</v>
      </c>
      <c r="I45" s="38">
        <v>14</v>
      </c>
      <c r="J45" s="38">
        <v>29</v>
      </c>
      <c r="K45" s="38">
        <v>284</v>
      </c>
      <c r="L45" s="38">
        <v>345</v>
      </c>
      <c r="M45" s="38">
        <v>334</v>
      </c>
      <c r="N45" s="38">
        <f t="shared" si="2"/>
        <v>24462</v>
      </c>
    </row>
    <row r="46" spans="1:14" s="29" customFormat="1" ht="10.5" customHeight="1">
      <c r="A46" s="36">
        <v>1997</v>
      </c>
      <c r="B46" s="38">
        <v>541</v>
      </c>
      <c r="C46" s="38">
        <v>921</v>
      </c>
      <c r="D46" s="38">
        <v>3029</v>
      </c>
      <c r="E46" s="38">
        <v>6632</v>
      </c>
      <c r="F46" s="38">
        <v>5518</v>
      </c>
      <c r="G46" s="38">
        <v>308</v>
      </c>
      <c r="H46" s="38">
        <v>2</v>
      </c>
      <c r="I46" s="38">
        <v>4</v>
      </c>
      <c r="J46" s="38">
        <v>51</v>
      </c>
      <c r="K46" s="38">
        <v>121</v>
      </c>
      <c r="L46" s="38">
        <v>216</v>
      </c>
      <c r="M46" s="38">
        <v>422</v>
      </c>
      <c r="N46" s="38">
        <f t="shared" si="2"/>
        <v>17765</v>
      </c>
    </row>
    <row r="47" spans="1:14" s="29" customFormat="1" ht="10.5" customHeight="1">
      <c r="A47" s="39" t="s">
        <v>45</v>
      </c>
      <c r="B47" s="38">
        <v>1225</v>
      </c>
      <c r="C47" s="38">
        <v>990</v>
      </c>
      <c r="D47" s="38">
        <v>3033</v>
      </c>
      <c r="E47" s="38">
        <v>7213</v>
      </c>
      <c r="F47" s="38">
        <v>4258</v>
      </c>
      <c r="G47" s="38">
        <v>238</v>
      </c>
      <c r="H47" s="38">
        <v>4</v>
      </c>
      <c r="I47" s="38">
        <v>3</v>
      </c>
      <c r="J47" s="38">
        <v>26</v>
      </c>
      <c r="K47" s="38">
        <v>142</v>
      </c>
      <c r="L47" s="38">
        <v>267</v>
      </c>
      <c r="M47" s="38">
        <v>295</v>
      </c>
      <c r="N47" s="38">
        <f t="shared" si="2"/>
        <v>17694</v>
      </c>
    </row>
    <row r="48" spans="1:14" s="29" customFormat="1" ht="10.5" customHeight="1">
      <c r="A48" s="39" t="s">
        <v>39</v>
      </c>
      <c r="B48" s="38">
        <v>692</v>
      </c>
      <c r="C48" s="38">
        <v>860</v>
      </c>
      <c r="D48" s="38">
        <v>2738</v>
      </c>
      <c r="E48" s="38">
        <v>6968</v>
      </c>
      <c r="F48" s="38">
        <v>4666</v>
      </c>
      <c r="G48" s="38">
        <v>165</v>
      </c>
      <c r="H48" s="38">
        <v>1</v>
      </c>
      <c r="I48" s="38">
        <v>0</v>
      </c>
      <c r="J48" s="38">
        <v>10</v>
      </c>
      <c r="K48" s="38">
        <v>279</v>
      </c>
      <c r="L48" s="38">
        <v>205</v>
      </c>
      <c r="M48" s="38">
        <v>364</v>
      </c>
      <c r="N48" s="38">
        <f t="shared" si="2"/>
        <v>16948</v>
      </c>
    </row>
    <row r="49" spans="1:14" s="29" customFormat="1" ht="10.5" customHeight="1">
      <c r="A49" s="39" t="s">
        <v>40</v>
      </c>
      <c r="B49" s="38">
        <v>746</v>
      </c>
      <c r="C49" s="38">
        <v>823</v>
      </c>
      <c r="D49" s="38">
        <v>3039</v>
      </c>
      <c r="E49" s="38">
        <v>8875</v>
      </c>
      <c r="F49" s="38">
        <v>3296</v>
      </c>
      <c r="G49" s="38">
        <v>96</v>
      </c>
      <c r="H49" s="38">
        <v>2</v>
      </c>
      <c r="I49" s="38">
        <v>0</v>
      </c>
      <c r="J49" s="38">
        <v>73</v>
      </c>
      <c r="K49" s="38">
        <v>95</v>
      </c>
      <c r="L49" s="38">
        <v>119</v>
      </c>
      <c r="M49" s="38">
        <v>296</v>
      </c>
      <c r="N49" s="38">
        <f t="shared" si="2"/>
        <v>17460</v>
      </c>
    </row>
    <row r="50" spans="1:14" s="29" customFormat="1" ht="10.5" customHeight="1">
      <c r="A50" s="39" t="s">
        <v>41</v>
      </c>
      <c r="B50" s="38">
        <v>350</v>
      </c>
      <c r="C50" s="38">
        <v>1147</v>
      </c>
      <c r="D50" s="38">
        <v>2361</v>
      </c>
      <c r="E50" s="38">
        <v>6004</v>
      </c>
      <c r="F50" s="38">
        <v>4455</v>
      </c>
      <c r="G50" s="38">
        <v>100</v>
      </c>
      <c r="H50" s="38">
        <v>0</v>
      </c>
      <c r="I50" s="38"/>
      <c r="J50" s="38"/>
      <c r="K50" s="38"/>
      <c r="L50" s="38"/>
      <c r="M50" s="38"/>
      <c r="N50" s="38"/>
    </row>
    <row r="51" spans="1:14" s="29" customFormat="1" ht="3.75" customHeight="1">
      <c r="A51" s="32"/>
      <c r="B51" s="40"/>
      <c r="C51" s="40"/>
      <c r="D51" s="40"/>
      <c r="E51" s="40"/>
      <c r="F51" s="40"/>
      <c r="G51" s="40"/>
      <c r="H51" s="40"/>
      <c r="I51" s="40"/>
      <c r="J51" s="40"/>
      <c r="K51" s="40"/>
      <c r="L51" s="40"/>
      <c r="M51" s="40"/>
      <c r="N51" s="40"/>
    </row>
    <row r="52" spans="1:14" s="29" customFormat="1" ht="9.75" customHeight="1">
      <c r="A52" s="35" t="s">
        <v>46</v>
      </c>
      <c r="B52" s="40"/>
      <c r="C52" s="40"/>
      <c r="D52" s="40"/>
      <c r="E52" s="40"/>
      <c r="F52" s="40"/>
      <c r="G52" s="40"/>
      <c r="H52" s="40"/>
      <c r="I52" s="40"/>
      <c r="J52" s="40"/>
      <c r="K52" s="40"/>
      <c r="L52" s="40"/>
      <c r="M52" s="40"/>
      <c r="N52" s="40"/>
    </row>
    <row r="53" spans="1:14" s="29" customFormat="1" ht="10.5" customHeight="1">
      <c r="A53" s="36" t="s">
        <v>30</v>
      </c>
      <c r="B53" s="38">
        <v>12117</v>
      </c>
      <c r="C53" s="38">
        <v>11241</v>
      </c>
      <c r="D53" s="38">
        <v>13944</v>
      </c>
      <c r="E53" s="38">
        <v>16019</v>
      </c>
      <c r="F53" s="38">
        <v>12967</v>
      </c>
      <c r="G53" s="38">
        <v>11800</v>
      </c>
      <c r="H53" s="38">
        <v>8758</v>
      </c>
      <c r="I53" s="38">
        <v>9311</v>
      </c>
      <c r="J53" s="38">
        <v>10607</v>
      </c>
      <c r="K53" s="38">
        <v>10709</v>
      </c>
      <c r="L53" s="38">
        <v>11777</v>
      </c>
      <c r="M53" s="38">
        <v>12396</v>
      </c>
      <c r="N53" s="38">
        <v>141646</v>
      </c>
    </row>
    <row r="54" spans="1:14" s="29" customFormat="1" ht="10.5" customHeight="1">
      <c r="A54" s="36" t="s">
        <v>31</v>
      </c>
      <c r="B54" s="38">
        <v>11711</v>
      </c>
      <c r="C54" s="38">
        <v>10286</v>
      </c>
      <c r="D54" s="38">
        <v>12666</v>
      </c>
      <c r="E54" s="38">
        <v>13823</v>
      </c>
      <c r="F54" s="38">
        <v>14095</v>
      </c>
      <c r="G54" s="38">
        <v>12045</v>
      </c>
      <c r="H54" s="38">
        <v>9580</v>
      </c>
      <c r="I54" s="38">
        <v>9786</v>
      </c>
      <c r="J54" s="38">
        <v>9588</v>
      </c>
      <c r="K54" s="38">
        <v>10124</v>
      </c>
      <c r="L54" s="38">
        <v>10774</v>
      </c>
      <c r="M54" s="38">
        <v>11186</v>
      </c>
      <c r="N54" s="38">
        <v>135664</v>
      </c>
    </row>
    <row r="55" spans="1:14" s="29" customFormat="1" ht="10.5" customHeight="1">
      <c r="A55" s="36" t="s">
        <v>32</v>
      </c>
      <c r="B55" s="38">
        <v>11801</v>
      </c>
      <c r="C55" s="38">
        <v>10094</v>
      </c>
      <c r="D55" s="38">
        <v>13492</v>
      </c>
      <c r="E55" s="38">
        <v>13424</v>
      </c>
      <c r="F55" s="38">
        <v>14009</v>
      </c>
      <c r="G55" s="38">
        <v>12179</v>
      </c>
      <c r="H55" s="38">
        <v>9148</v>
      </c>
      <c r="I55" s="38">
        <v>9180</v>
      </c>
      <c r="J55" s="38">
        <v>9527</v>
      </c>
      <c r="K55" s="38">
        <v>10385</v>
      </c>
      <c r="L55" s="38">
        <v>10959</v>
      </c>
      <c r="M55" s="38">
        <v>11010</v>
      </c>
      <c r="N55" s="38">
        <v>135208</v>
      </c>
    </row>
    <row r="56" spans="1:14" s="29" customFormat="1" ht="10.5" customHeight="1">
      <c r="A56" s="36" t="s">
        <v>33</v>
      </c>
      <c r="B56" s="38">
        <v>12907</v>
      </c>
      <c r="C56" s="38">
        <v>10957</v>
      </c>
      <c r="D56" s="38">
        <v>13749</v>
      </c>
      <c r="E56" s="38">
        <v>15095</v>
      </c>
      <c r="F56" s="38">
        <v>14279</v>
      </c>
      <c r="G56" s="38">
        <v>10840</v>
      </c>
      <c r="H56" s="38">
        <v>9881</v>
      </c>
      <c r="I56" s="38">
        <v>10106</v>
      </c>
      <c r="J56" s="38">
        <v>10337</v>
      </c>
      <c r="K56" s="38">
        <v>11708</v>
      </c>
      <c r="L56" s="38">
        <v>13109</v>
      </c>
      <c r="M56" s="38">
        <v>11989</v>
      </c>
      <c r="N56" s="38">
        <v>144957</v>
      </c>
    </row>
    <row r="57" spans="1:14" s="29" customFormat="1" ht="10.5" customHeight="1">
      <c r="A57" s="36" t="s">
        <v>34</v>
      </c>
      <c r="B57" s="38">
        <v>13659</v>
      </c>
      <c r="C57" s="38">
        <v>13360</v>
      </c>
      <c r="D57" s="38">
        <v>16075</v>
      </c>
      <c r="E57" s="38">
        <v>20362</v>
      </c>
      <c r="F57" s="38">
        <v>17495</v>
      </c>
      <c r="G57" s="38">
        <v>12792</v>
      </c>
      <c r="H57" s="38">
        <v>9073</v>
      </c>
      <c r="I57" s="38">
        <v>9722</v>
      </c>
      <c r="J57" s="38">
        <v>10905</v>
      </c>
      <c r="K57" s="38">
        <v>12156</v>
      </c>
      <c r="L57" s="38">
        <v>11765</v>
      </c>
      <c r="M57" s="38">
        <v>12391</v>
      </c>
      <c r="N57" s="38">
        <v>159755</v>
      </c>
    </row>
    <row r="58" spans="1:14" s="29" customFormat="1" ht="10.5" customHeight="1">
      <c r="A58" s="36" t="s">
        <v>35</v>
      </c>
      <c r="B58" s="38">
        <v>13295</v>
      </c>
      <c r="C58" s="38">
        <v>11371</v>
      </c>
      <c r="D58" s="38">
        <v>14974</v>
      </c>
      <c r="E58" s="38">
        <v>18421</v>
      </c>
      <c r="F58" s="38">
        <v>18826</v>
      </c>
      <c r="G58" s="38">
        <v>12708</v>
      </c>
      <c r="H58" s="38">
        <v>10697</v>
      </c>
      <c r="I58" s="38">
        <v>9434</v>
      </c>
      <c r="J58" s="38">
        <v>11289</v>
      </c>
      <c r="K58" s="38">
        <v>12452</v>
      </c>
      <c r="L58" s="38">
        <v>12875</v>
      </c>
      <c r="M58" s="38">
        <v>12898</v>
      </c>
      <c r="N58" s="38">
        <v>159240</v>
      </c>
    </row>
    <row r="59" spans="1:14" s="29" customFormat="1" ht="10.5" customHeight="1">
      <c r="A59" s="36" t="s">
        <v>36</v>
      </c>
      <c r="B59" s="38">
        <v>14263</v>
      </c>
      <c r="C59" s="38">
        <v>12486</v>
      </c>
      <c r="D59" s="38">
        <v>16496</v>
      </c>
      <c r="E59" s="38">
        <v>20801</v>
      </c>
      <c r="F59" s="38">
        <v>16472</v>
      </c>
      <c r="G59" s="38">
        <v>11842</v>
      </c>
      <c r="H59" s="38">
        <v>9545</v>
      </c>
      <c r="I59" s="38">
        <v>10444</v>
      </c>
      <c r="J59" s="38">
        <v>11271</v>
      </c>
      <c r="K59" s="38">
        <v>11886</v>
      </c>
      <c r="L59" s="38">
        <v>13364</v>
      </c>
      <c r="M59" s="38">
        <v>14900</v>
      </c>
      <c r="N59" s="38">
        <v>163770</v>
      </c>
    </row>
    <row r="60" spans="1:14" s="29" customFormat="1" ht="10.5" customHeight="1">
      <c r="A60" s="36" t="s">
        <v>37</v>
      </c>
      <c r="B60" s="38">
        <v>14695</v>
      </c>
      <c r="C60" s="38">
        <v>13095</v>
      </c>
      <c r="D60" s="38">
        <v>15586</v>
      </c>
      <c r="E60" s="38">
        <v>19353</v>
      </c>
      <c r="F60" s="38">
        <v>18893</v>
      </c>
      <c r="G60" s="38">
        <v>12606</v>
      </c>
      <c r="H60" s="38">
        <v>9648</v>
      </c>
      <c r="I60" s="38">
        <v>9582</v>
      </c>
      <c r="J60" s="38">
        <v>11403</v>
      </c>
      <c r="K60" s="38">
        <v>11468</v>
      </c>
      <c r="L60" s="38">
        <v>12285</v>
      </c>
      <c r="M60" s="38">
        <v>13089</v>
      </c>
      <c r="N60" s="38">
        <v>161703</v>
      </c>
    </row>
    <row r="61" spans="1:14" s="29" customFormat="1" ht="10.5" customHeight="1">
      <c r="A61" s="36">
        <v>1996</v>
      </c>
      <c r="B61" s="38">
        <f aca="true" t="shared" si="3" ref="B61:N61">+B13+B29+B45</f>
        <v>14403</v>
      </c>
      <c r="C61" s="38">
        <f t="shared" si="3"/>
        <v>12434</v>
      </c>
      <c r="D61" s="38">
        <f t="shared" si="3"/>
        <v>16216</v>
      </c>
      <c r="E61" s="38">
        <f t="shared" si="3"/>
        <v>20444</v>
      </c>
      <c r="F61" s="38">
        <f t="shared" si="3"/>
        <v>19739</v>
      </c>
      <c r="G61" s="38">
        <f t="shared" si="3"/>
        <v>11826</v>
      </c>
      <c r="H61" s="38">
        <f t="shared" si="3"/>
        <v>10292</v>
      </c>
      <c r="I61" s="38">
        <f t="shared" si="3"/>
        <v>9765</v>
      </c>
      <c r="J61" s="38">
        <f t="shared" si="3"/>
        <v>10807</v>
      </c>
      <c r="K61" s="38">
        <f t="shared" si="3"/>
        <v>12537</v>
      </c>
      <c r="L61" s="38">
        <f t="shared" si="3"/>
        <v>13529</v>
      </c>
      <c r="M61" s="38">
        <f t="shared" si="3"/>
        <v>12806</v>
      </c>
      <c r="N61" s="38">
        <f t="shared" si="3"/>
        <v>164798</v>
      </c>
    </row>
    <row r="62" spans="1:14" s="29" customFormat="1" ht="10.5" customHeight="1">
      <c r="A62" s="36">
        <v>1997</v>
      </c>
      <c r="B62" s="38">
        <f aca="true" t="shared" si="4" ref="B62:N62">+B14+B30+B46</f>
        <v>14427</v>
      </c>
      <c r="C62" s="38">
        <f t="shared" si="4"/>
        <v>12168</v>
      </c>
      <c r="D62" s="38">
        <f t="shared" si="4"/>
        <v>15728</v>
      </c>
      <c r="E62" s="38">
        <f t="shared" si="4"/>
        <v>19445</v>
      </c>
      <c r="F62" s="38">
        <f t="shared" si="4"/>
        <v>20214</v>
      </c>
      <c r="G62" s="38">
        <f t="shared" si="4"/>
        <v>12151</v>
      </c>
      <c r="H62" s="38">
        <f t="shared" si="4"/>
        <v>9658</v>
      </c>
      <c r="I62" s="38">
        <f t="shared" si="4"/>
        <v>9520</v>
      </c>
      <c r="J62" s="38">
        <f t="shared" si="4"/>
        <v>10562</v>
      </c>
      <c r="K62" s="38">
        <f t="shared" si="4"/>
        <v>11884</v>
      </c>
      <c r="L62" s="38">
        <f t="shared" si="4"/>
        <v>12925</v>
      </c>
      <c r="M62" s="38">
        <f t="shared" si="4"/>
        <v>13140</v>
      </c>
      <c r="N62" s="38">
        <f t="shared" si="4"/>
        <v>161822</v>
      </c>
    </row>
    <row r="63" spans="1:14" s="29" customFormat="1" ht="10.5" customHeight="1">
      <c r="A63" s="39" t="s">
        <v>43</v>
      </c>
      <c r="B63" s="38">
        <f aca="true" t="shared" si="5" ref="B63:N63">+B15+B31+B47</f>
        <v>15064</v>
      </c>
      <c r="C63" s="38">
        <f t="shared" si="5"/>
        <v>12613</v>
      </c>
      <c r="D63" s="38">
        <f t="shared" si="5"/>
        <v>16680</v>
      </c>
      <c r="E63" s="38">
        <f t="shared" si="5"/>
        <v>19203</v>
      </c>
      <c r="F63" s="38">
        <f t="shared" si="5"/>
        <v>18457</v>
      </c>
      <c r="G63" s="38">
        <f t="shared" si="5"/>
        <v>13923</v>
      </c>
      <c r="H63" s="38">
        <f t="shared" si="5"/>
        <v>12249</v>
      </c>
      <c r="I63" s="38">
        <f t="shared" si="5"/>
        <v>10511</v>
      </c>
      <c r="J63" s="38">
        <f t="shared" si="5"/>
        <v>11206</v>
      </c>
      <c r="K63" s="38">
        <f t="shared" si="5"/>
        <v>12882</v>
      </c>
      <c r="L63" s="38">
        <f t="shared" si="5"/>
        <v>12479</v>
      </c>
      <c r="M63" s="38">
        <f t="shared" si="5"/>
        <v>13072</v>
      </c>
      <c r="N63" s="38">
        <f t="shared" si="5"/>
        <v>168339</v>
      </c>
    </row>
    <row r="64" spans="1:14" s="29" customFormat="1" ht="10.5" customHeight="1">
      <c r="A64" s="39" t="s">
        <v>47</v>
      </c>
      <c r="B64" s="38">
        <f aca="true" t="shared" si="6" ref="B64:N64">+B16+B32+B48</f>
        <v>14672</v>
      </c>
      <c r="C64" s="38">
        <f t="shared" si="6"/>
        <v>12073</v>
      </c>
      <c r="D64" s="38">
        <f t="shared" si="6"/>
        <v>16677</v>
      </c>
      <c r="E64" s="38">
        <f t="shared" si="6"/>
        <v>19427</v>
      </c>
      <c r="F64" s="38">
        <f t="shared" si="6"/>
        <v>19444</v>
      </c>
      <c r="G64" s="38">
        <f t="shared" si="6"/>
        <v>13293</v>
      </c>
      <c r="H64" s="38">
        <f t="shared" si="6"/>
        <v>10679</v>
      </c>
      <c r="I64" s="38">
        <f t="shared" si="6"/>
        <v>10234</v>
      </c>
      <c r="J64" s="38">
        <f t="shared" si="6"/>
        <v>11032</v>
      </c>
      <c r="K64" s="38">
        <f t="shared" si="6"/>
        <v>12327</v>
      </c>
      <c r="L64" s="38">
        <f t="shared" si="6"/>
        <v>13820</v>
      </c>
      <c r="M64" s="38">
        <f t="shared" si="6"/>
        <v>13894</v>
      </c>
      <c r="N64" s="38">
        <f t="shared" si="6"/>
        <v>167572</v>
      </c>
    </row>
    <row r="65" spans="1:14" s="29" customFormat="1" ht="10.5" customHeight="1">
      <c r="A65" s="39">
        <v>2000</v>
      </c>
      <c r="B65" s="38">
        <f aca="true" t="shared" si="7" ref="B65:N65">+B17+B33+B49</f>
        <v>13621</v>
      </c>
      <c r="C65" s="38">
        <f t="shared" si="7"/>
        <v>12954</v>
      </c>
      <c r="D65" s="38">
        <f t="shared" si="7"/>
        <v>16591</v>
      </c>
      <c r="E65" s="38">
        <f t="shared" si="7"/>
        <v>22990</v>
      </c>
      <c r="F65" s="38">
        <f t="shared" si="7"/>
        <v>18163</v>
      </c>
      <c r="G65" s="38">
        <f t="shared" si="7"/>
        <v>13882</v>
      </c>
      <c r="H65" s="38">
        <f t="shared" si="7"/>
        <v>11405</v>
      </c>
      <c r="I65" s="38">
        <f t="shared" si="7"/>
        <v>10950</v>
      </c>
      <c r="J65" s="38">
        <f t="shared" si="7"/>
        <v>12625</v>
      </c>
      <c r="K65" s="38">
        <f t="shared" si="7"/>
        <v>11948</v>
      </c>
      <c r="L65" s="38">
        <f t="shared" si="7"/>
        <v>13591</v>
      </c>
      <c r="M65" s="38">
        <f t="shared" si="7"/>
        <v>14408</v>
      </c>
      <c r="N65" s="38">
        <f t="shared" si="7"/>
        <v>173128</v>
      </c>
    </row>
    <row r="66" spans="1:14" s="29" customFormat="1" ht="10.5" customHeight="1">
      <c r="A66" s="41" t="s">
        <v>48</v>
      </c>
      <c r="B66" s="42">
        <f aca="true" t="shared" si="8" ref="B66:H66">B18+B34+B50</f>
        <v>12798</v>
      </c>
      <c r="C66" s="42">
        <f t="shared" si="8"/>
        <v>15572</v>
      </c>
      <c r="D66" s="42">
        <f t="shared" si="8"/>
        <v>14624</v>
      </c>
      <c r="E66" s="42">
        <f t="shared" si="8"/>
        <v>18926</v>
      </c>
      <c r="F66" s="42">
        <f t="shared" si="8"/>
        <v>21139</v>
      </c>
      <c r="G66" s="42">
        <f t="shared" si="8"/>
        <v>12947</v>
      </c>
      <c r="H66" s="42">
        <f t="shared" si="8"/>
        <v>9646</v>
      </c>
      <c r="I66" s="42"/>
      <c r="J66" s="42"/>
      <c r="K66" s="42"/>
      <c r="L66" s="42"/>
      <c r="M66" s="42"/>
      <c r="N66" s="42"/>
    </row>
    <row r="67" spans="1:14" s="29" customFormat="1" ht="12.75" customHeight="1">
      <c r="A67" s="43" t="s">
        <v>49</v>
      </c>
      <c r="B67" s="40"/>
      <c r="C67" s="40"/>
      <c r="D67" s="40"/>
      <c r="E67" s="40"/>
      <c r="F67" s="40"/>
      <c r="G67" s="40"/>
      <c r="H67" s="40"/>
      <c r="I67" s="40"/>
      <c r="J67" s="40"/>
      <c r="K67" s="40"/>
      <c r="L67" s="40"/>
      <c r="M67" s="40"/>
      <c r="N67" s="40"/>
    </row>
    <row r="68" spans="1:14" s="29" customFormat="1" ht="12.75" customHeight="1">
      <c r="A68" s="44" t="s">
        <v>50</v>
      </c>
      <c r="B68" s="40"/>
      <c r="C68" s="40"/>
      <c r="D68" s="40"/>
      <c r="E68" s="40"/>
      <c r="F68" s="40"/>
      <c r="G68" s="40"/>
      <c r="H68" s="40"/>
      <c r="I68" s="40"/>
      <c r="J68" s="40"/>
      <c r="K68" s="40"/>
      <c r="L68" s="40"/>
      <c r="M68" s="40"/>
      <c r="N68" s="40"/>
    </row>
    <row r="69" spans="1:14" s="29" customFormat="1" ht="11.25">
      <c r="A69" s="45"/>
      <c r="B69" s="46"/>
      <c r="C69" s="46"/>
      <c r="D69" s="46"/>
      <c r="E69" s="46"/>
      <c r="F69" s="46"/>
      <c r="G69" s="46"/>
      <c r="H69" s="46"/>
      <c r="I69" s="46"/>
      <c r="J69" s="46"/>
      <c r="K69" s="46"/>
      <c r="L69" s="46"/>
      <c r="M69" s="46"/>
      <c r="N69" s="46"/>
    </row>
    <row r="70" spans="1:14" s="29" customFormat="1" ht="11.25">
      <c r="A70" s="47"/>
      <c r="B70" s="48"/>
      <c r="C70" s="48"/>
      <c r="D70" s="48"/>
      <c r="E70" s="48"/>
      <c r="F70" s="48"/>
      <c r="G70" s="48"/>
      <c r="H70" s="48"/>
      <c r="I70" s="48"/>
      <c r="J70" s="48"/>
      <c r="K70" s="48"/>
      <c r="L70" s="48"/>
      <c r="M70" s="48"/>
      <c r="N70" s="48"/>
    </row>
    <row r="71" spans="1:14" s="29" customFormat="1" ht="11.25">
      <c r="A71" s="47"/>
      <c r="B71" s="48"/>
      <c r="C71" s="48"/>
      <c r="D71" s="48"/>
      <c r="E71" s="48"/>
      <c r="F71" s="48"/>
      <c r="G71" s="48"/>
      <c r="H71" s="48"/>
      <c r="I71" s="48"/>
      <c r="J71" s="48"/>
      <c r="K71" s="48"/>
      <c r="L71" s="48"/>
      <c r="M71" s="48"/>
      <c r="N71" s="48"/>
    </row>
    <row r="72" spans="1:14" s="29" customFormat="1" ht="11.25">
      <c r="A72" s="47"/>
      <c r="B72" s="48"/>
      <c r="C72" s="48"/>
      <c r="D72" s="48"/>
      <c r="E72" s="48"/>
      <c r="F72" s="48"/>
      <c r="G72" s="48"/>
      <c r="H72" s="48"/>
      <c r="I72" s="48"/>
      <c r="J72" s="48"/>
      <c r="K72" s="48"/>
      <c r="L72" s="48"/>
      <c r="M72" s="48"/>
      <c r="N72" s="48"/>
    </row>
    <row r="73" spans="1:14" s="29" customFormat="1" ht="11.25">
      <c r="A73" s="47"/>
      <c r="B73" s="48"/>
      <c r="C73" s="48"/>
      <c r="D73" s="48"/>
      <c r="E73" s="48"/>
      <c r="F73" s="48"/>
      <c r="G73" s="48"/>
      <c r="H73" s="48"/>
      <c r="I73" s="48"/>
      <c r="J73" s="48"/>
      <c r="K73" s="48"/>
      <c r="L73" s="48"/>
      <c r="M73" s="48"/>
      <c r="N73" s="48"/>
    </row>
    <row r="74" spans="1:14" s="29" customFormat="1" ht="11.25">
      <c r="A74" s="47"/>
      <c r="B74" s="48"/>
      <c r="C74" s="48"/>
      <c r="D74" s="48"/>
      <c r="E74" s="48"/>
      <c r="F74" s="48"/>
      <c r="G74" s="48"/>
      <c r="H74" s="48"/>
      <c r="I74" s="48"/>
      <c r="J74" s="48"/>
      <c r="K74" s="48"/>
      <c r="L74" s="48"/>
      <c r="M74" s="48"/>
      <c r="N74" s="48"/>
    </row>
    <row r="75" spans="1:14" s="29" customFormat="1" ht="11.25">
      <c r="A75" s="47"/>
      <c r="B75" s="48"/>
      <c r="C75" s="48"/>
      <c r="D75" s="48"/>
      <c r="E75" s="48"/>
      <c r="F75" s="48"/>
      <c r="G75" s="48"/>
      <c r="H75" s="48"/>
      <c r="I75" s="48"/>
      <c r="J75" s="48"/>
      <c r="K75" s="48"/>
      <c r="L75" s="48"/>
      <c r="M75" s="48"/>
      <c r="N75" s="48"/>
    </row>
    <row r="76" spans="1:14" s="29" customFormat="1" ht="11.25">
      <c r="A76" s="47"/>
      <c r="B76" s="48"/>
      <c r="C76" s="48"/>
      <c r="D76" s="48"/>
      <c r="E76" s="48"/>
      <c r="F76" s="48"/>
      <c r="G76" s="48"/>
      <c r="H76" s="48"/>
      <c r="I76" s="48"/>
      <c r="J76" s="48"/>
      <c r="K76" s="48"/>
      <c r="L76" s="48"/>
      <c r="M76" s="48"/>
      <c r="N76" s="48"/>
    </row>
    <row r="77" spans="1:14" s="29" customFormat="1" ht="11.25">
      <c r="A77" s="47"/>
      <c r="B77" s="48"/>
      <c r="C77" s="48"/>
      <c r="D77" s="48"/>
      <c r="E77" s="48"/>
      <c r="F77" s="48"/>
      <c r="G77" s="48"/>
      <c r="H77" s="48"/>
      <c r="I77" s="48"/>
      <c r="J77" s="48"/>
      <c r="K77" s="48"/>
      <c r="L77" s="48"/>
      <c r="M77" s="48"/>
      <c r="N77" s="48"/>
    </row>
    <row r="78" spans="1:14" s="29" customFormat="1" ht="11.25">
      <c r="A78" s="47"/>
      <c r="B78" s="48"/>
      <c r="C78" s="48"/>
      <c r="D78" s="48"/>
      <c r="E78" s="48"/>
      <c r="F78" s="48"/>
      <c r="G78" s="48"/>
      <c r="H78" s="48"/>
      <c r="I78" s="48"/>
      <c r="J78" s="48"/>
      <c r="K78" s="48"/>
      <c r="L78" s="48"/>
      <c r="M78" s="48"/>
      <c r="N78" s="48"/>
    </row>
    <row r="79" spans="1:14" s="29" customFormat="1" ht="11.25">
      <c r="A79" s="47"/>
      <c r="B79" s="48"/>
      <c r="C79" s="48"/>
      <c r="D79" s="48"/>
      <c r="E79" s="48"/>
      <c r="F79" s="48"/>
      <c r="G79" s="48"/>
      <c r="H79" s="48"/>
      <c r="I79" s="48"/>
      <c r="J79" s="48"/>
      <c r="K79" s="48"/>
      <c r="L79" s="48"/>
      <c r="M79" s="48"/>
      <c r="N79" s="48"/>
    </row>
    <row r="80" spans="1:14" s="29" customFormat="1" ht="11.25">
      <c r="A80" s="47"/>
      <c r="B80" s="48"/>
      <c r="C80" s="48"/>
      <c r="D80" s="48"/>
      <c r="E80" s="48"/>
      <c r="F80" s="48"/>
      <c r="G80" s="48"/>
      <c r="H80" s="48"/>
      <c r="I80" s="48"/>
      <c r="J80" s="48"/>
      <c r="K80" s="48"/>
      <c r="L80" s="48"/>
      <c r="M80" s="48"/>
      <c r="N80" s="48"/>
    </row>
    <row r="81" spans="1:14" s="29" customFormat="1" ht="11.25">
      <c r="A81" s="47"/>
      <c r="B81" s="48"/>
      <c r="C81" s="48"/>
      <c r="D81" s="48"/>
      <c r="E81" s="48"/>
      <c r="F81" s="48"/>
      <c r="G81" s="48"/>
      <c r="H81" s="48"/>
      <c r="I81" s="48"/>
      <c r="J81" s="48"/>
      <c r="K81" s="48"/>
      <c r="L81" s="48"/>
      <c r="M81" s="48"/>
      <c r="N81" s="48"/>
    </row>
    <row r="82" spans="1:14" s="29" customFormat="1" ht="11.25">
      <c r="A82" s="47"/>
      <c r="B82" s="48"/>
      <c r="C82" s="48"/>
      <c r="D82" s="48"/>
      <c r="E82" s="48"/>
      <c r="F82" s="48"/>
      <c r="G82" s="48"/>
      <c r="H82" s="48"/>
      <c r="I82" s="48"/>
      <c r="J82" s="48"/>
      <c r="K82" s="48"/>
      <c r="L82" s="48"/>
      <c r="M82" s="48"/>
      <c r="N82" s="48"/>
    </row>
    <row r="83" spans="1:14" s="29" customFormat="1" ht="11.25">
      <c r="A83" s="47"/>
      <c r="B83" s="48"/>
      <c r="C83" s="48"/>
      <c r="D83" s="48"/>
      <c r="E83" s="48"/>
      <c r="F83" s="48"/>
      <c r="G83" s="48"/>
      <c r="H83" s="48"/>
      <c r="I83" s="48"/>
      <c r="J83" s="48"/>
      <c r="K83" s="48"/>
      <c r="L83" s="48"/>
      <c r="M83" s="48"/>
      <c r="N83" s="48"/>
    </row>
    <row r="84" spans="1:14" s="29" customFormat="1" ht="11.25">
      <c r="A84" s="47"/>
      <c r="B84" s="48"/>
      <c r="C84" s="48"/>
      <c r="D84" s="48"/>
      <c r="E84" s="48"/>
      <c r="F84" s="48"/>
      <c r="G84" s="48"/>
      <c r="H84" s="48"/>
      <c r="I84" s="48"/>
      <c r="J84" s="48"/>
      <c r="K84" s="48"/>
      <c r="L84" s="48"/>
      <c r="M84" s="48"/>
      <c r="N84" s="48"/>
    </row>
    <row r="85" spans="1:14" s="29" customFormat="1" ht="11.25">
      <c r="A85" s="47"/>
      <c r="B85" s="48"/>
      <c r="C85" s="48"/>
      <c r="D85" s="48"/>
      <c r="E85" s="48"/>
      <c r="F85" s="48"/>
      <c r="G85" s="48"/>
      <c r="H85" s="48"/>
      <c r="I85" s="48"/>
      <c r="J85" s="48"/>
      <c r="K85" s="48"/>
      <c r="L85" s="48"/>
      <c r="M85" s="48"/>
      <c r="N85" s="48"/>
    </row>
    <row r="86" spans="1:14" s="29" customFormat="1" ht="11.25">
      <c r="A86" s="47"/>
      <c r="B86" s="48"/>
      <c r="C86" s="48"/>
      <c r="D86" s="48"/>
      <c r="E86" s="48"/>
      <c r="F86" s="48"/>
      <c r="G86" s="48"/>
      <c r="H86" s="48"/>
      <c r="I86" s="48"/>
      <c r="J86" s="48"/>
      <c r="K86" s="48"/>
      <c r="L86" s="48"/>
      <c r="M86" s="48"/>
      <c r="N86" s="48"/>
    </row>
    <row r="87" spans="1:14" s="29" customFormat="1" ht="11.25">
      <c r="A87" s="47"/>
      <c r="B87" s="48"/>
      <c r="C87" s="48"/>
      <c r="D87" s="48"/>
      <c r="E87" s="48"/>
      <c r="F87" s="48"/>
      <c r="G87" s="48"/>
      <c r="H87" s="48"/>
      <c r="I87" s="48"/>
      <c r="J87" s="48"/>
      <c r="K87" s="48"/>
      <c r="L87" s="48"/>
      <c r="M87" s="48"/>
      <c r="N87" s="48"/>
    </row>
    <row r="88" spans="1:14" s="29" customFormat="1" ht="11.25">
      <c r="A88" s="47"/>
      <c r="B88" s="48"/>
      <c r="C88" s="48"/>
      <c r="D88" s="48"/>
      <c r="E88" s="48"/>
      <c r="F88" s="48"/>
      <c r="G88" s="48"/>
      <c r="H88" s="48"/>
      <c r="I88" s="48"/>
      <c r="J88" s="48"/>
      <c r="K88" s="48"/>
      <c r="L88" s="48"/>
      <c r="M88" s="48"/>
      <c r="N88" s="48"/>
    </row>
    <row r="89" spans="1:14" s="29" customFormat="1" ht="11.25">
      <c r="A89" s="47"/>
      <c r="B89" s="48"/>
      <c r="C89" s="48"/>
      <c r="D89" s="48"/>
      <c r="E89" s="48"/>
      <c r="F89" s="48"/>
      <c r="G89" s="48"/>
      <c r="H89" s="48"/>
      <c r="I89" s="48"/>
      <c r="J89" s="48"/>
      <c r="K89" s="48"/>
      <c r="L89" s="48"/>
      <c r="M89" s="48"/>
      <c r="N89" s="48"/>
    </row>
    <row r="90" spans="1:14" s="29" customFormat="1" ht="11.25">
      <c r="A90" s="47"/>
      <c r="B90" s="48"/>
      <c r="C90" s="48"/>
      <c r="D90" s="48"/>
      <c r="E90" s="48"/>
      <c r="F90" s="48"/>
      <c r="G90" s="48"/>
      <c r="H90" s="48"/>
      <c r="I90" s="48"/>
      <c r="J90" s="48"/>
      <c r="K90" s="48"/>
      <c r="L90" s="48"/>
      <c r="M90" s="48"/>
      <c r="N90" s="48"/>
    </row>
    <row r="91" spans="1:14" s="29" customFormat="1" ht="11.25">
      <c r="A91" s="47"/>
      <c r="B91" s="48"/>
      <c r="C91" s="48"/>
      <c r="D91" s="48"/>
      <c r="E91" s="48"/>
      <c r="F91" s="48"/>
      <c r="G91" s="48"/>
      <c r="H91" s="48"/>
      <c r="I91" s="48"/>
      <c r="J91" s="48"/>
      <c r="K91" s="48"/>
      <c r="L91" s="48"/>
      <c r="M91" s="48"/>
      <c r="N91" s="48"/>
    </row>
    <row r="92" spans="1:14" s="29" customFormat="1" ht="11.25">
      <c r="A92" s="47"/>
      <c r="B92" s="48"/>
      <c r="C92" s="48"/>
      <c r="D92" s="48"/>
      <c r="E92" s="48"/>
      <c r="F92" s="48"/>
      <c r="G92" s="48"/>
      <c r="H92" s="48"/>
      <c r="I92" s="48"/>
      <c r="J92" s="48"/>
      <c r="K92" s="48"/>
      <c r="L92" s="48"/>
      <c r="M92" s="48"/>
      <c r="N92" s="48"/>
    </row>
    <row r="93" spans="1:14" s="29" customFormat="1" ht="11.25">
      <c r="A93" s="47"/>
      <c r="B93" s="48"/>
      <c r="C93" s="48"/>
      <c r="D93" s="48"/>
      <c r="E93" s="48"/>
      <c r="F93" s="48"/>
      <c r="G93" s="48"/>
      <c r="H93" s="48"/>
      <c r="I93" s="48"/>
      <c r="J93" s="48"/>
      <c r="K93" s="48"/>
      <c r="L93" s="48"/>
      <c r="M93" s="48"/>
      <c r="N93" s="48"/>
    </row>
    <row r="94" spans="1:14" s="29" customFormat="1" ht="11.25">
      <c r="A94" s="47"/>
      <c r="B94" s="48"/>
      <c r="C94" s="48"/>
      <c r="D94" s="48"/>
      <c r="E94" s="48"/>
      <c r="F94" s="48"/>
      <c r="G94" s="48"/>
      <c r="H94" s="48"/>
      <c r="I94" s="48"/>
      <c r="J94" s="48"/>
      <c r="K94" s="48"/>
      <c r="L94" s="48"/>
      <c r="M94" s="48"/>
      <c r="N94" s="48"/>
    </row>
    <row r="95" spans="1:14" s="29" customFormat="1" ht="11.25">
      <c r="A95" s="47"/>
      <c r="B95" s="48"/>
      <c r="C95" s="48"/>
      <c r="D95" s="48"/>
      <c r="E95" s="48"/>
      <c r="F95" s="48"/>
      <c r="G95" s="48"/>
      <c r="H95" s="48"/>
      <c r="I95" s="48"/>
      <c r="J95" s="48"/>
      <c r="K95" s="48"/>
      <c r="L95" s="48"/>
      <c r="M95" s="48"/>
      <c r="N95" s="48"/>
    </row>
    <row r="96" spans="1:14" s="29" customFormat="1" ht="11.25">
      <c r="A96" s="47"/>
      <c r="B96" s="48"/>
      <c r="C96" s="48"/>
      <c r="D96" s="48"/>
      <c r="E96" s="48"/>
      <c r="F96" s="48"/>
      <c r="G96" s="48"/>
      <c r="H96" s="48"/>
      <c r="I96" s="48"/>
      <c r="J96" s="48"/>
      <c r="K96" s="48"/>
      <c r="L96" s="48"/>
      <c r="M96" s="48"/>
      <c r="N96" s="48"/>
    </row>
    <row r="97" spans="1:14" s="29" customFormat="1" ht="11.25">
      <c r="A97" s="47"/>
      <c r="B97" s="48"/>
      <c r="C97" s="48"/>
      <c r="D97" s="48"/>
      <c r="E97" s="48"/>
      <c r="F97" s="48"/>
      <c r="G97" s="48"/>
      <c r="H97" s="48"/>
      <c r="I97" s="48"/>
      <c r="J97" s="48"/>
      <c r="K97" s="48"/>
      <c r="L97" s="48"/>
      <c r="M97" s="48"/>
      <c r="N97" s="48"/>
    </row>
    <row r="98" spans="1:14" s="29" customFormat="1" ht="11.25">
      <c r="A98" s="47"/>
      <c r="B98" s="48"/>
      <c r="C98" s="48"/>
      <c r="D98" s="48"/>
      <c r="E98" s="48"/>
      <c r="F98" s="48"/>
      <c r="G98" s="48"/>
      <c r="H98" s="48"/>
      <c r="I98" s="48"/>
      <c r="J98" s="48"/>
      <c r="K98" s="48"/>
      <c r="L98" s="48"/>
      <c r="M98" s="48"/>
      <c r="N98" s="48"/>
    </row>
    <row r="99" spans="1:14" s="29" customFormat="1" ht="11.25">
      <c r="A99" s="47"/>
      <c r="B99" s="48"/>
      <c r="C99" s="48"/>
      <c r="D99" s="48"/>
      <c r="E99" s="48"/>
      <c r="F99" s="48"/>
      <c r="G99" s="48"/>
      <c r="H99" s="48"/>
      <c r="I99" s="48"/>
      <c r="J99" s="48"/>
      <c r="K99" s="48"/>
      <c r="L99" s="48"/>
      <c r="M99" s="48"/>
      <c r="N99" s="48"/>
    </row>
    <row r="100" spans="1:14" s="29" customFormat="1" ht="11.25">
      <c r="A100" s="47"/>
      <c r="B100" s="48"/>
      <c r="C100" s="48"/>
      <c r="D100" s="48"/>
      <c r="E100" s="48"/>
      <c r="F100" s="48"/>
      <c r="G100" s="48"/>
      <c r="H100" s="48"/>
      <c r="I100" s="48"/>
      <c r="J100" s="48"/>
      <c r="K100" s="48"/>
      <c r="L100" s="48"/>
      <c r="M100" s="48"/>
      <c r="N100" s="48"/>
    </row>
    <row r="101" spans="1:14" s="29" customFormat="1" ht="11.25">
      <c r="A101" s="47"/>
      <c r="B101" s="48"/>
      <c r="C101" s="48"/>
      <c r="D101" s="48"/>
      <c r="E101" s="48"/>
      <c r="F101" s="48"/>
      <c r="G101" s="48"/>
      <c r="H101" s="48"/>
      <c r="I101" s="48"/>
      <c r="J101" s="48"/>
      <c r="K101" s="48"/>
      <c r="L101" s="48"/>
      <c r="M101" s="48"/>
      <c r="N101" s="48"/>
    </row>
    <row r="102" spans="1:14" s="29" customFormat="1" ht="11.25">
      <c r="A102" s="47"/>
      <c r="B102" s="48"/>
      <c r="C102" s="48"/>
      <c r="D102" s="48"/>
      <c r="E102" s="48"/>
      <c r="F102" s="48"/>
      <c r="G102" s="48"/>
      <c r="H102" s="48"/>
      <c r="I102" s="48"/>
      <c r="J102" s="48"/>
      <c r="K102" s="48"/>
      <c r="L102" s="48"/>
      <c r="M102" s="48"/>
      <c r="N102" s="48"/>
    </row>
    <row r="103" spans="1:14" s="29" customFormat="1" ht="11.25">
      <c r="A103" s="47"/>
      <c r="B103" s="48"/>
      <c r="C103" s="48"/>
      <c r="D103" s="48"/>
      <c r="E103" s="48"/>
      <c r="F103" s="48"/>
      <c r="G103" s="48"/>
      <c r="H103" s="48"/>
      <c r="I103" s="48"/>
      <c r="J103" s="48"/>
      <c r="K103" s="48"/>
      <c r="L103" s="48"/>
      <c r="M103" s="48"/>
      <c r="N103" s="48"/>
    </row>
    <row r="104" spans="1:14" s="29" customFormat="1" ht="11.25">
      <c r="A104" s="47"/>
      <c r="B104" s="48"/>
      <c r="C104" s="48"/>
      <c r="D104" s="48"/>
      <c r="E104" s="48"/>
      <c r="F104" s="48"/>
      <c r="G104" s="48"/>
      <c r="H104" s="48"/>
      <c r="I104" s="48"/>
      <c r="J104" s="48"/>
      <c r="K104" s="48"/>
      <c r="L104" s="48"/>
      <c r="M104" s="48"/>
      <c r="N104" s="48"/>
    </row>
    <row r="105" spans="1:14" s="29" customFormat="1" ht="11.25">
      <c r="A105" s="47"/>
      <c r="B105" s="48"/>
      <c r="C105" s="48"/>
      <c r="D105" s="48"/>
      <c r="E105" s="48"/>
      <c r="F105" s="48"/>
      <c r="G105" s="48"/>
      <c r="H105" s="48"/>
      <c r="I105" s="48"/>
      <c r="J105" s="48"/>
      <c r="K105" s="48"/>
      <c r="L105" s="48"/>
      <c r="M105" s="48"/>
      <c r="N105" s="48"/>
    </row>
    <row r="106" spans="1:14" s="29" customFormat="1" ht="11.25">
      <c r="A106" s="47"/>
      <c r="B106" s="48"/>
      <c r="C106" s="48"/>
      <c r="D106" s="48"/>
      <c r="E106" s="48"/>
      <c r="F106" s="48"/>
      <c r="G106" s="48"/>
      <c r="H106" s="48"/>
      <c r="I106" s="48"/>
      <c r="J106" s="48"/>
      <c r="K106" s="48"/>
      <c r="L106" s="48"/>
      <c r="M106" s="48"/>
      <c r="N106" s="48"/>
    </row>
    <row r="107" spans="1:14" s="29" customFormat="1" ht="11.25">
      <c r="A107" s="47"/>
      <c r="B107" s="48"/>
      <c r="C107" s="48"/>
      <c r="D107" s="48"/>
      <c r="E107" s="48"/>
      <c r="F107" s="48"/>
      <c r="G107" s="48"/>
      <c r="H107" s="48"/>
      <c r="I107" s="48"/>
      <c r="J107" s="48"/>
      <c r="K107" s="48"/>
      <c r="L107" s="48"/>
      <c r="M107" s="48"/>
      <c r="N107" s="48"/>
    </row>
    <row r="108" spans="1:14" s="29" customFormat="1" ht="11.25">
      <c r="A108" s="47"/>
      <c r="B108" s="48"/>
      <c r="C108" s="48"/>
      <c r="D108" s="48"/>
      <c r="E108" s="48"/>
      <c r="F108" s="48"/>
      <c r="G108" s="48"/>
      <c r="H108" s="48"/>
      <c r="I108" s="48"/>
      <c r="J108" s="48"/>
      <c r="K108" s="48"/>
      <c r="L108" s="48"/>
      <c r="M108" s="48"/>
      <c r="N108" s="48"/>
    </row>
    <row r="109" spans="1:14" s="29" customFormat="1" ht="11.25">
      <c r="A109" s="47"/>
      <c r="B109" s="48"/>
      <c r="C109" s="48"/>
      <c r="D109" s="48"/>
      <c r="E109" s="48"/>
      <c r="F109" s="48"/>
      <c r="G109" s="48"/>
      <c r="H109" s="48"/>
      <c r="I109" s="48"/>
      <c r="J109" s="48"/>
      <c r="K109" s="48"/>
      <c r="L109" s="48"/>
      <c r="M109" s="48"/>
      <c r="N109" s="48"/>
    </row>
    <row r="110" spans="1:14" s="29" customFormat="1" ht="11.25">
      <c r="A110" s="47"/>
      <c r="B110" s="48"/>
      <c r="C110" s="48"/>
      <c r="D110" s="48"/>
      <c r="E110" s="48"/>
      <c r="F110" s="48"/>
      <c r="G110" s="48"/>
      <c r="H110" s="48"/>
      <c r="I110" s="48"/>
      <c r="J110" s="48"/>
      <c r="K110" s="48"/>
      <c r="L110" s="48"/>
      <c r="M110" s="48"/>
      <c r="N110" s="48"/>
    </row>
    <row r="111" spans="1:14" s="29" customFormat="1" ht="11.25">
      <c r="A111" s="47"/>
      <c r="B111" s="48"/>
      <c r="C111" s="48"/>
      <c r="D111" s="48"/>
      <c r="E111" s="48"/>
      <c r="F111" s="48"/>
      <c r="G111" s="48"/>
      <c r="H111" s="48"/>
      <c r="I111" s="48"/>
      <c r="J111" s="48"/>
      <c r="K111" s="48"/>
      <c r="L111" s="48"/>
      <c r="M111" s="48"/>
      <c r="N111" s="48"/>
    </row>
    <row r="112" spans="1:14" s="29" customFormat="1" ht="11.25">
      <c r="A112" s="47"/>
      <c r="B112" s="48"/>
      <c r="C112" s="48"/>
      <c r="D112" s="48"/>
      <c r="E112" s="48"/>
      <c r="F112" s="48"/>
      <c r="G112" s="48"/>
      <c r="H112" s="48"/>
      <c r="I112" s="48"/>
      <c r="J112" s="48"/>
      <c r="K112" s="48"/>
      <c r="L112" s="48"/>
      <c r="M112" s="48"/>
      <c r="N112" s="48"/>
    </row>
    <row r="113" spans="1:14" s="29" customFormat="1" ht="11.25">
      <c r="A113" s="47"/>
      <c r="B113" s="48"/>
      <c r="C113" s="48"/>
      <c r="D113" s="48"/>
      <c r="E113" s="48"/>
      <c r="F113" s="48"/>
      <c r="G113" s="48"/>
      <c r="H113" s="48"/>
      <c r="I113" s="48"/>
      <c r="J113" s="48"/>
      <c r="K113" s="48"/>
      <c r="L113" s="48"/>
      <c r="M113" s="48"/>
      <c r="N113" s="48"/>
    </row>
    <row r="114" spans="1:14" s="29" customFormat="1" ht="11.25">
      <c r="A114" s="47"/>
      <c r="B114" s="48"/>
      <c r="C114" s="48"/>
      <c r="D114" s="48"/>
      <c r="E114" s="48"/>
      <c r="F114" s="48"/>
      <c r="G114" s="48"/>
      <c r="H114" s="48"/>
      <c r="I114" s="48"/>
      <c r="J114" s="48"/>
      <c r="K114" s="48"/>
      <c r="L114" s="48"/>
      <c r="M114" s="48"/>
      <c r="N114" s="48"/>
    </row>
    <row r="115" spans="1:14" s="29" customFormat="1" ht="11.25">
      <c r="A115" s="47"/>
      <c r="B115" s="48"/>
      <c r="C115" s="48"/>
      <c r="D115" s="48"/>
      <c r="E115" s="48"/>
      <c r="F115" s="48"/>
      <c r="G115" s="48"/>
      <c r="H115" s="48"/>
      <c r="I115" s="48"/>
      <c r="J115" s="48"/>
      <c r="K115" s="48"/>
      <c r="L115" s="48"/>
      <c r="M115" s="48"/>
      <c r="N115" s="48"/>
    </row>
    <row r="116" spans="1:14" s="29" customFormat="1" ht="11.25">
      <c r="A116" s="47"/>
      <c r="B116" s="48"/>
      <c r="C116" s="48"/>
      <c r="D116" s="48"/>
      <c r="E116" s="48"/>
      <c r="F116" s="48"/>
      <c r="G116" s="48"/>
      <c r="H116" s="48"/>
      <c r="I116" s="48"/>
      <c r="J116" s="48"/>
      <c r="K116" s="48"/>
      <c r="L116" s="48"/>
      <c r="M116" s="48"/>
      <c r="N116" s="48"/>
    </row>
    <row r="117" spans="1:14" s="29" customFormat="1" ht="11.25">
      <c r="A117" s="47"/>
      <c r="B117" s="48"/>
      <c r="C117" s="48"/>
      <c r="D117" s="48"/>
      <c r="E117" s="48"/>
      <c r="F117" s="48"/>
      <c r="G117" s="48"/>
      <c r="H117" s="48"/>
      <c r="I117" s="48"/>
      <c r="J117" s="48"/>
      <c r="K117" s="48"/>
      <c r="L117" s="48"/>
      <c r="M117" s="48"/>
      <c r="N117" s="48"/>
    </row>
    <row r="118" spans="1:14" s="29" customFormat="1" ht="11.25">
      <c r="A118" s="47"/>
      <c r="B118" s="48"/>
      <c r="C118" s="48"/>
      <c r="D118" s="48"/>
      <c r="E118" s="48"/>
      <c r="F118" s="48"/>
      <c r="G118" s="48"/>
      <c r="H118" s="48"/>
      <c r="I118" s="48"/>
      <c r="J118" s="48"/>
      <c r="K118" s="48"/>
      <c r="L118" s="48"/>
      <c r="M118" s="48"/>
      <c r="N118" s="48"/>
    </row>
    <row r="119" spans="1:14" s="29" customFormat="1" ht="11.25">
      <c r="A119" s="47"/>
      <c r="B119" s="48"/>
      <c r="C119" s="48"/>
      <c r="D119" s="48"/>
      <c r="E119" s="48"/>
      <c r="F119" s="48"/>
      <c r="G119" s="48"/>
      <c r="H119" s="48"/>
      <c r="I119" s="48"/>
      <c r="J119" s="48"/>
      <c r="K119" s="48"/>
      <c r="L119" s="48"/>
      <c r="M119" s="48"/>
      <c r="N119" s="48"/>
    </row>
    <row r="120" spans="1:14" s="29" customFormat="1" ht="11.25">
      <c r="A120" s="47"/>
      <c r="B120" s="48"/>
      <c r="C120" s="48"/>
      <c r="D120" s="48"/>
      <c r="E120" s="48"/>
      <c r="F120" s="48"/>
      <c r="G120" s="48"/>
      <c r="H120" s="48"/>
      <c r="I120" s="48"/>
      <c r="J120" s="48"/>
      <c r="K120" s="48"/>
      <c r="L120" s="48"/>
      <c r="M120" s="48"/>
      <c r="N120" s="48"/>
    </row>
    <row r="121" spans="1:14" s="29" customFormat="1" ht="11.25">
      <c r="A121" s="47"/>
      <c r="B121" s="48"/>
      <c r="C121" s="48"/>
      <c r="D121" s="48"/>
      <c r="E121" s="48"/>
      <c r="F121" s="48"/>
      <c r="G121" s="48"/>
      <c r="H121" s="48"/>
      <c r="I121" s="48"/>
      <c r="J121" s="48"/>
      <c r="K121" s="48"/>
      <c r="L121" s="48"/>
      <c r="M121" s="48"/>
      <c r="N121" s="48"/>
    </row>
    <row r="122" spans="1:14" s="29" customFormat="1" ht="11.25">
      <c r="A122" s="47"/>
      <c r="B122" s="48"/>
      <c r="C122" s="48"/>
      <c r="D122" s="48"/>
      <c r="E122" s="48"/>
      <c r="F122" s="48"/>
      <c r="G122" s="48"/>
      <c r="H122" s="48"/>
      <c r="I122" s="48"/>
      <c r="J122" s="48"/>
      <c r="K122" s="48"/>
      <c r="L122" s="48"/>
      <c r="M122" s="48"/>
      <c r="N122" s="48"/>
    </row>
    <row r="123" spans="1:14" s="29" customFormat="1" ht="11.25">
      <c r="A123" s="47"/>
      <c r="B123" s="48"/>
      <c r="C123" s="48"/>
      <c r="D123" s="48"/>
      <c r="E123" s="48"/>
      <c r="F123" s="48"/>
      <c r="G123" s="48"/>
      <c r="H123" s="48"/>
      <c r="I123" s="48"/>
      <c r="J123" s="48"/>
      <c r="K123" s="48"/>
      <c r="L123" s="48"/>
      <c r="M123" s="48"/>
      <c r="N123" s="48"/>
    </row>
    <row r="124" spans="1:14" s="29" customFormat="1" ht="11.25">
      <c r="A124" s="47"/>
      <c r="B124" s="48"/>
      <c r="C124" s="48"/>
      <c r="D124" s="48"/>
      <c r="E124" s="48"/>
      <c r="F124" s="48"/>
      <c r="G124" s="48"/>
      <c r="H124" s="48"/>
      <c r="I124" s="48"/>
      <c r="J124" s="48"/>
      <c r="K124" s="48"/>
      <c r="L124" s="48"/>
      <c r="M124" s="48"/>
      <c r="N124" s="48"/>
    </row>
    <row r="125" spans="1:14" s="29" customFormat="1" ht="11.25">
      <c r="A125" s="47"/>
      <c r="B125" s="48"/>
      <c r="C125" s="48"/>
      <c r="D125" s="48"/>
      <c r="E125" s="48"/>
      <c r="F125" s="48"/>
      <c r="G125" s="48"/>
      <c r="H125" s="48"/>
      <c r="I125" s="48"/>
      <c r="J125" s="48"/>
      <c r="K125" s="48"/>
      <c r="L125" s="48"/>
      <c r="M125" s="48"/>
      <c r="N125" s="48"/>
    </row>
    <row r="126" spans="1:14" s="29" customFormat="1" ht="11.25">
      <c r="A126" s="47"/>
      <c r="B126" s="48"/>
      <c r="C126" s="48"/>
      <c r="D126" s="48"/>
      <c r="E126" s="48"/>
      <c r="F126" s="48"/>
      <c r="G126" s="48"/>
      <c r="H126" s="48"/>
      <c r="I126" s="48"/>
      <c r="J126" s="48"/>
      <c r="K126" s="48"/>
      <c r="L126" s="48"/>
      <c r="M126" s="48"/>
      <c r="N126" s="48"/>
    </row>
    <row r="127" spans="1:14" s="29" customFormat="1" ht="11.25">
      <c r="A127" s="47"/>
      <c r="B127" s="48"/>
      <c r="C127" s="48"/>
      <c r="D127" s="48"/>
      <c r="E127" s="48"/>
      <c r="F127" s="48"/>
      <c r="G127" s="48"/>
      <c r="H127" s="48"/>
      <c r="I127" s="48"/>
      <c r="J127" s="48"/>
      <c r="K127" s="48"/>
      <c r="L127" s="48"/>
      <c r="M127" s="48"/>
      <c r="N127" s="48"/>
    </row>
    <row r="128" spans="1:14" s="29" customFormat="1" ht="11.25">
      <c r="A128" s="47"/>
      <c r="B128" s="48"/>
      <c r="C128" s="48"/>
      <c r="D128" s="48"/>
      <c r="E128" s="48"/>
      <c r="F128" s="48"/>
      <c r="G128" s="48"/>
      <c r="H128" s="48"/>
      <c r="I128" s="48"/>
      <c r="J128" s="48"/>
      <c r="K128" s="48"/>
      <c r="L128" s="48"/>
      <c r="M128" s="48"/>
      <c r="N128" s="48"/>
    </row>
    <row r="129" spans="1:14" s="29" customFormat="1" ht="11.25">
      <c r="A129" s="47"/>
      <c r="B129" s="48"/>
      <c r="C129" s="48"/>
      <c r="D129" s="48"/>
      <c r="E129" s="48"/>
      <c r="F129" s="48"/>
      <c r="G129" s="48"/>
      <c r="H129" s="48"/>
      <c r="I129" s="48"/>
      <c r="J129" s="48"/>
      <c r="K129" s="48"/>
      <c r="L129" s="48"/>
      <c r="M129" s="48"/>
      <c r="N129" s="48"/>
    </row>
    <row r="130" spans="1:14" s="29" customFormat="1" ht="11.25">
      <c r="A130" s="47"/>
      <c r="B130" s="48"/>
      <c r="C130" s="48"/>
      <c r="D130" s="48"/>
      <c r="E130" s="48"/>
      <c r="F130" s="48"/>
      <c r="G130" s="48"/>
      <c r="H130" s="48"/>
      <c r="I130" s="48"/>
      <c r="J130" s="48"/>
      <c r="K130" s="48"/>
      <c r="L130" s="48"/>
      <c r="M130" s="48"/>
      <c r="N130" s="48"/>
    </row>
    <row r="131" spans="1:14" s="29" customFormat="1" ht="11.25">
      <c r="A131" s="47"/>
      <c r="B131" s="48"/>
      <c r="C131" s="48"/>
      <c r="D131" s="48"/>
      <c r="E131" s="48"/>
      <c r="F131" s="48"/>
      <c r="G131" s="48"/>
      <c r="H131" s="48"/>
      <c r="I131" s="48"/>
      <c r="J131" s="48"/>
      <c r="K131" s="48"/>
      <c r="L131" s="48"/>
      <c r="M131" s="48"/>
      <c r="N131" s="48"/>
    </row>
    <row r="132" spans="1:14" s="29" customFormat="1" ht="11.25">
      <c r="A132" s="47"/>
      <c r="B132" s="48"/>
      <c r="C132" s="48"/>
      <c r="D132" s="48"/>
      <c r="E132" s="48"/>
      <c r="F132" s="48"/>
      <c r="G132" s="48"/>
      <c r="H132" s="48"/>
      <c r="I132" s="48"/>
      <c r="J132" s="48"/>
      <c r="K132" s="48"/>
      <c r="L132" s="48"/>
      <c r="M132" s="48"/>
      <c r="N132" s="48"/>
    </row>
    <row r="133" spans="1:14" s="29" customFormat="1" ht="11.25">
      <c r="A133" s="47"/>
      <c r="B133" s="48"/>
      <c r="C133" s="48"/>
      <c r="D133" s="48"/>
      <c r="E133" s="48"/>
      <c r="F133" s="48"/>
      <c r="G133" s="48"/>
      <c r="H133" s="48"/>
      <c r="I133" s="48"/>
      <c r="J133" s="48"/>
      <c r="K133" s="48"/>
      <c r="L133" s="48"/>
      <c r="M133" s="48"/>
      <c r="N133" s="48"/>
    </row>
    <row r="134" spans="1:14" s="29" customFormat="1" ht="11.25">
      <c r="A134" s="47"/>
      <c r="B134" s="48"/>
      <c r="C134" s="48"/>
      <c r="D134" s="48"/>
      <c r="E134" s="48"/>
      <c r="F134" s="48"/>
      <c r="G134" s="48"/>
      <c r="H134" s="48"/>
      <c r="I134" s="48"/>
      <c r="J134" s="48"/>
      <c r="K134" s="48"/>
      <c r="L134" s="48"/>
      <c r="M134" s="48"/>
      <c r="N134" s="48"/>
    </row>
    <row r="135" spans="1:14" s="29" customFormat="1" ht="11.25">
      <c r="A135" s="47"/>
      <c r="B135" s="48"/>
      <c r="C135" s="48"/>
      <c r="D135" s="48"/>
      <c r="E135" s="48"/>
      <c r="F135" s="48"/>
      <c r="G135" s="48"/>
      <c r="H135" s="48"/>
      <c r="I135" s="48"/>
      <c r="J135" s="48"/>
      <c r="K135" s="48"/>
      <c r="L135" s="48"/>
      <c r="M135" s="48"/>
      <c r="N135" s="48"/>
    </row>
    <row r="136" spans="1:14" s="29" customFormat="1" ht="11.25">
      <c r="A136" s="47"/>
      <c r="B136" s="48"/>
      <c r="C136" s="48"/>
      <c r="D136" s="48"/>
      <c r="E136" s="48"/>
      <c r="F136" s="48"/>
      <c r="G136" s="48"/>
      <c r="H136" s="48"/>
      <c r="I136" s="48"/>
      <c r="J136" s="48"/>
      <c r="K136" s="48"/>
      <c r="L136" s="48"/>
      <c r="M136" s="48"/>
      <c r="N136" s="48"/>
    </row>
    <row r="137" spans="1:14" s="29" customFormat="1" ht="11.25">
      <c r="A137" s="47"/>
      <c r="B137" s="48"/>
      <c r="C137" s="48"/>
      <c r="D137" s="48"/>
      <c r="E137" s="48"/>
      <c r="F137" s="48"/>
      <c r="G137" s="48"/>
      <c r="H137" s="48"/>
      <c r="I137" s="48"/>
      <c r="J137" s="48"/>
      <c r="K137" s="48"/>
      <c r="L137" s="48"/>
      <c r="M137" s="48"/>
      <c r="N137" s="48"/>
    </row>
    <row r="138" spans="1:14" s="29" customFormat="1" ht="11.25">
      <c r="A138" s="47"/>
      <c r="B138" s="48"/>
      <c r="C138" s="48"/>
      <c r="D138" s="48"/>
      <c r="E138" s="48"/>
      <c r="F138" s="48"/>
      <c r="G138" s="48"/>
      <c r="H138" s="48"/>
      <c r="I138" s="48"/>
      <c r="J138" s="48"/>
      <c r="K138" s="48"/>
      <c r="L138" s="48"/>
      <c r="M138" s="48"/>
      <c r="N138" s="48"/>
    </row>
    <row r="139" spans="1:14" s="29" customFormat="1" ht="11.25">
      <c r="A139" s="47"/>
      <c r="B139" s="48"/>
      <c r="C139" s="48"/>
      <c r="D139" s="48"/>
      <c r="E139" s="48"/>
      <c r="F139" s="48"/>
      <c r="G139" s="48"/>
      <c r="H139" s="48"/>
      <c r="I139" s="48"/>
      <c r="J139" s="48"/>
      <c r="K139" s="48"/>
      <c r="L139" s="48"/>
      <c r="M139" s="48"/>
      <c r="N139" s="48"/>
    </row>
    <row r="140" spans="1:14" s="29" customFormat="1" ht="11.25">
      <c r="A140" s="47"/>
      <c r="B140" s="48"/>
      <c r="C140" s="48"/>
      <c r="D140" s="48"/>
      <c r="E140" s="48"/>
      <c r="F140" s="48"/>
      <c r="G140" s="48"/>
      <c r="H140" s="48"/>
      <c r="I140" s="48"/>
      <c r="J140" s="48"/>
      <c r="K140" s="48"/>
      <c r="L140" s="48"/>
      <c r="M140" s="48"/>
      <c r="N140" s="48"/>
    </row>
    <row r="141" spans="1:14" s="29" customFormat="1" ht="11.25">
      <c r="A141" s="47"/>
      <c r="B141" s="48"/>
      <c r="C141" s="48"/>
      <c r="D141" s="48"/>
      <c r="E141" s="48"/>
      <c r="F141" s="48"/>
      <c r="G141" s="48"/>
      <c r="H141" s="48"/>
      <c r="I141" s="48"/>
      <c r="J141" s="48"/>
      <c r="K141" s="48"/>
      <c r="L141" s="48"/>
      <c r="M141" s="48"/>
      <c r="N141" s="48"/>
    </row>
    <row r="142" spans="1:14" s="29" customFormat="1" ht="11.25">
      <c r="A142" s="47"/>
      <c r="B142" s="48"/>
      <c r="C142" s="48"/>
      <c r="D142" s="48"/>
      <c r="E142" s="48"/>
      <c r="F142" s="48"/>
      <c r="G142" s="48"/>
      <c r="H142" s="48"/>
      <c r="I142" s="48"/>
      <c r="J142" s="48"/>
      <c r="K142" s="48"/>
      <c r="L142" s="48"/>
      <c r="M142" s="48"/>
      <c r="N142" s="48"/>
    </row>
    <row r="143" spans="1:14" s="29" customFormat="1" ht="11.25">
      <c r="A143" s="47"/>
      <c r="B143" s="48"/>
      <c r="C143" s="48"/>
      <c r="D143" s="48"/>
      <c r="E143" s="48"/>
      <c r="F143" s="48"/>
      <c r="G143" s="48"/>
      <c r="H143" s="48"/>
      <c r="I143" s="48"/>
      <c r="J143" s="48"/>
      <c r="K143" s="48"/>
      <c r="L143" s="48"/>
      <c r="M143" s="48"/>
      <c r="N143" s="48"/>
    </row>
    <row r="144" spans="1:14" s="29" customFormat="1" ht="11.25">
      <c r="A144" s="47"/>
      <c r="B144" s="48"/>
      <c r="C144" s="48"/>
      <c r="D144" s="48"/>
      <c r="E144" s="48"/>
      <c r="F144" s="48"/>
      <c r="G144" s="48"/>
      <c r="H144" s="48"/>
      <c r="I144" s="48"/>
      <c r="J144" s="48"/>
      <c r="K144" s="48"/>
      <c r="L144" s="48"/>
      <c r="M144" s="48"/>
      <c r="N144" s="48"/>
    </row>
    <row r="145" spans="1:14" s="29" customFormat="1" ht="11.25">
      <c r="A145" s="47"/>
      <c r="B145" s="48"/>
      <c r="C145" s="48"/>
      <c r="D145" s="48"/>
      <c r="E145" s="48"/>
      <c r="F145" s="48"/>
      <c r="G145" s="48"/>
      <c r="H145" s="48"/>
      <c r="I145" s="48"/>
      <c r="J145" s="48"/>
      <c r="K145" s="48"/>
      <c r="L145" s="48"/>
      <c r="M145" s="48"/>
      <c r="N145" s="48"/>
    </row>
    <row r="146" spans="1:14" s="29" customFormat="1" ht="11.25">
      <c r="A146" s="47"/>
      <c r="B146" s="48"/>
      <c r="C146" s="48"/>
      <c r="D146" s="48"/>
      <c r="E146" s="48"/>
      <c r="F146" s="48"/>
      <c r="G146" s="48"/>
      <c r="H146" s="48"/>
      <c r="I146" s="48"/>
      <c r="J146" s="48"/>
      <c r="K146" s="48"/>
      <c r="L146" s="48"/>
      <c r="M146" s="48"/>
      <c r="N146" s="48"/>
    </row>
    <row r="147" spans="1:14" s="29" customFormat="1" ht="11.25">
      <c r="A147" s="47"/>
      <c r="B147" s="48"/>
      <c r="C147" s="48"/>
      <c r="D147" s="48"/>
      <c r="E147" s="48"/>
      <c r="F147" s="48"/>
      <c r="G147" s="48"/>
      <c r="H147" s="48"/>
      <c r="I147" s="48"/>
      <c r="J147" s="48"/>
      <c r="K147" s="48"/>
      <c r="L147" s="48"/>
      <c r="M147" s="48"/>
      <c r="N147" s="48"/>
    </row>
    <row r="148" spans="1:14" s="29" customFormat="1" ht="11.25">
      <c r="A148" s="47"/>
      <c r="B148" s="48"/>
      <c r="C148" s="48"/>
      <c r="D148" s="48"/>
      <c r="E148" s="48"/>
      <c r="F148" s="48"/>
      <c r="G148" s="48"/>
      <c r="H148" s="48"/>
      <c r="I148" s="48"/>
      <c r="J148" s="48"/>
      <c r="K148" s="48"/>
      <c r="L148" s="48"/>
      <c r="M148" s="48"/>
      <c r="N148" s="48"/>
    </row>
    <row r="149" spans="1:14" s="29" customFormat="1" ht="11.25">
      <c r="A149" s="47"/>
      <c r="B149" s="48"/>
      <c r="C149" s="48"/>
      <c r="D149" s="48"/>
      <c r="E149" s="48"/>
      <c r="F149" s="48"/>
      <c r="G149" s="48"/>
      <c r="H149" s="48"/>
      <c r="I149" s="48"/>
      <c r="J149" s="48"/>
      <c r="K149" s="48"/>
      <c r="L149" s="48"/>
      <c r="M149" s="48"/>
      <c r="N149" s="48"/>
    </row>
    <row r="150" spans="1:14" s="29" customFormat="1" ht="11.25">
      <c r="A150" s="47"/>
      <c r="B150" s="48"/>
      <c r="C150" s="48"/>
      <c r="D150" s="48"/>
      <c r="E150" s="48"/>
      <c r="F150" s="48"/>
      <c r="G150" s="48"/>
      <c r="H150" s="48"/>
      <c r="I150" s="48"/>
      <c r="J150" s="48"/>
      <c r="K150" s="48"/>
      <c r="L150" s="48"/>
      <c r="M150" s="48"/>
      <c r="N150" s="48"/>
    </row>
    <row r="151" spans="1:14" s="29" customFormat="1" ht="11.25">
      <c r="A151" s="47"/>
      <c r="B151" s="48"/>
      <c r="C151" s="48"/>
      <c r="D151" s="48"/>
      <c r="E151" s="48"/>
      <c r="F151" s="48"/>
      <c r="G151" s="48"/>
      <c r="H151" s="48"/>
      <c r="I151" s="48"/>
      <c r="J151" s="48"/>
      <c r="K151" s="48"/>
      <c r="L151" s="48"/>
      <c r="M151" s="48"/>
      <c r="N151" s="48"/>
    </row>
    <row r="152" spans="1:14" s="29" customFormat="1" ht="11.25">
      <c r="A152" s="47"/>
      <c r="B152" s="48"/>
      <c r="C152" s="48"/>
      <c r="D152" s="48"/>
      <c r="E152" s="48"/>
      <c r="F152" s="48"/>
      <c r="G152" s="48"/>
      <c r="H152" s="48"/>
      <c r="I152" s="48"/>
      <c r="J152" s="48"/>
      <c r="K152" s="48"/>
      <c r="L152" s="48"/>
      <c r="M152" s="48"/>
      <c r="N152" s="48"/>
    </row>
    <row r="153" spans="1:14" s="29" customFormat="1" ht="11.25">
      <c r="A153" s="47"/>
      <c r="B153" s="48"/>
      <c r="C153" s="48"/>
      <c r="D153" s="48"/>
      <c r="E153" s="48"/>
      <c r="F153" s="48"/>
      <c r="G153" s="48"/>
      <c r="H153" s="48"/>
      <c r="I153" s="48"/>
      <c r="J153" s="48"/>
      <c r="K153" s="48"/>
      <c r="L153" s="48"/>
      <c r="M153" s="48"/>
      <c r="N153" s="48"/>
    </row>
    <row r="154" spans="1:14" s="29" customFormat="1" ht="11.25">
      <c r="A154" s="47"/>
      <c r="B154" s="48"/>
      <c r="C154" s="48"/>
      <c r="D154" s="48"/>
      <c r="E154" s="48"/>
      <c r="F154" s="48"/>
      <c r="G154" s="48"/>
      <c r="H154" s="48"/>
      <c r="I154" s="48"/>
      <c r="J154" s="48"/>
      <c r="K154" s="48"/>
      <c r="L154" s="48"/>
      <c r="M154" s="48"/>
      <c r="N154" s="48"/>
    </row>
    <row r="155" spans="1:14" s="29" customFormat="1" ht="11.25">
      <c r="A155" s="47"/>
      <c r="B155" s="48"/>
      <c r="C155" s="48"/>
      <c r="D155" s="48"/>
      <c r="E155" s="48"/>
      <c r="F155" s="48"/>
      <c r="G155" s="48"/>
      <c r="H155" s="48"/>
      <c r="I155" s="48"/>
      <c r="J155" s="48"/>
      <c r="K155" s="48"/>
      <c r="L155" s="48"/>
      <c r="M155" s="48"/>
      <c r="N155" s="48"/>
    </row>
    <row r="156" spans="1:14" s="29" customFormat="1" ht="11.25">
      <c r="A156" s="47"/>
      <c r="B156" s="48"/>
      <c r="C156" s="48"/>
      <c r="D156" s="48"/>
      <c r="E156" s="48"/>
      <c r="F156" s="48"/>
      <c r="G156" s="48"/>
      <c r="H156" s="48"/>
      <c r="I156" s="48"/>
      <c r="J156" s="48"/>
      <c r="K156" s="48"/>
      <c r="L156" s="48"/>
      <c r="M156" s="48"/>
      <c r="N156" s="48"/>
    </row>
    <row r="157" spans="1:14" s="29" customFormat="1" ht="11.25">
      <c r="A157" s="47"/>
      <c r="B157" s="48"/>
      <c r="C157" s="48"/>
      <c r="D157" s="48"/>
      <c r="E157" s="48"/>
      <c r="F157" s="48"/>
      <c r="G157" s="48"/>
      <c r="H157" s="48"/>
      <c r="I157" s="48"/>
      <c r="J157" s="48"/>
      <c r="K157" s="48"/>
      <c r="L157" s="48"/>
      <c r="M157" s="48"/>
      <c r="N157" s="48"/>
    </row>
    <row r="158" spans="1:14" s="29" customFormat="1" ht="11.25">
      <c r="A158" s="47"/>
      <c r="B158" s="48"/>
      <c r="C158" s="48"/>
      <c r="D158" s="48"/>
      <c r="E158" s="48"/>
      <c r="F158" s="48"/>
      <c r="G158" s="48"/>
      <c r="H158" s="48"/>
      <c r="I158" s="48"/>
      <c r="J158" s="48"/>
      <c r="K158" s="48"/>
      <c r="L158" s="48"/>
      <c r="M158" s="48"/>
      <c r="N158" s="48"/>
    </row>
    <row r="159" spans="1:14" s="29" customFormat="1" ht="11.25">
      <c r="A159" s="47"/>
      <c r="B159" s="48"/>
      <c r="C159" s="48"/>
      <c r="D159" s="48"/>
      <c r="E159" s="48"/>
      <c r="F159" s="48"/>
      <c r="G159" s="48"/>
      <c r="H159" s="48"/>
      <c r="I159" s="48"/>
      <c r="J159" s="48"/>
      <c r="K159" s="48"/>
      <c r="L159" s="48"/>
      <c r="M159" s="48"/>
      <c r="N159" s="48"/>
    </row>
    <row r="160" spans="1:14" s="29" customFormat="1" ht="11.25">
      <c r="A160" s="47"/>
      <c r="B160" s="48"/>
      <c r="C160" s="48"/>
      <c r="D160" s="48"/>
      <c r="E160" s="48"/>
      <c r="F160" s="48"/>
      <c r="G160" s="48"/>
      <c r="H160" s="48"/>
      <c r="I160" s="48"/>
      <c r="J160" s="48"/>
      <c r="K160" s="48"/>
      <c r="L160" s="48"/>
      <c r="M160" s="48"/>
      <c r="N160" s="48"/>
    </row>
    <row r="161" spans="1:14" s="29" customFormat="1" ht="11.25">
      <c r="A161" s="47"/>
      <c r="B161" s="48"/>
      <c r="C161" s="48"/>
      <c r="D161" s="48"/>
      <c r="E161" s="48"/>
      <c r="F161" s="48"/>
      <c r="G161" s="48"/>
      <c r="H161" s="48"/>
      <c r="I161" s="48"/>
      <c r="J161" s="48"/>
      <c r="K161" s="48"/>
      <c r="L161" s="48"/>
      <c r="M161" s="48"/>
      <c r="N161" s="48"/>
    </row>
    <row r="162" spans="1:14" s="29" customFormat="1" ht="11.25">
      <c r="A162" s="47"/>
      <c r="B162" s="48"/>
      <c r="C162" s="48"/>
      <c r="D162" s="48"/>
      <c r="E162" s="48"/>
      <c r="F162" s="48"/>
      <c r="G162" s="48"/>
      <c r="H162" s="48"/>
      <c r="I162" s="48"/>
      <c r="J162" s="48"/>
      <c r="K162" s="48"/>
      <c r="L162" s="48"/>
      <c r="M162" s="48"/>
      <c r="N162" s="48"/>
    </row>
    <row r="163" spans="1:14" s="29" customFormat="1" ht="11.25">
      <c r="A163" s="47"/>
      <c r="B163" s="48"/>
      <c r="C163" s="48"/>
      <c r="D163" s="48"/>
      <c r="E163" s="48"/>
      <c r="F163" s="48"/>
      <c r="G163" s="48"/>
      <c r="H163" s="48"/>
      <c r="I163" s="48"/>
      <c r="J163" s="48"/>
      <c r="K163" s="48"/>
      <c r="L163" s="48"/>
      <c r="M163" s="48"/>
      <c r="N163" s="48"/>
    </row>
    <row r="164" spans="1:14" s="29" customFormat="1" ht="11.25">
      <c r="A164" s="47"/>
      <c r="B164" s="48"/>
      <c r="C164" s="48"/>
      <c r="D164" s="48"/>
      <c r="E164" s="48"/>
      <c r="F164" s="48"/>
      <c r="G164" s="48"/>
      <c r="H164" s="48"/>
      <c r="I164" s="48"/>
      <c r="J164" s="48"/>
      <c r="K164" s="48"/>
      <c r="L164" s="48"/>
      <c r="M164" s="48"/>
      <c r="N164" s="48"/>
    </row>
    <row r="165" spans="1:14" s="29" customFormat="1" ht="11.25">
      <c r="A165" s="47"/>
      <c r="B165" s="47"/>
      <c r="C165" s="47"/>
      <c r="D165" s="47"/>
      <c r="E165" s="47"/>
      <c r="F165" s="47"/>
      <c r="G165" s="47"/>
      <c r="H165" s="47"/>
      <c r="I165" s="47"/>
      <c r="J165" s="47"/>
      <c r="K165" s="47"/>
      <c r="L165" s="47"/>
      <c r="M165" s="47"/>
      <c r="N165" s="47"/>
    </row>
    <row r="166" spans="1:14" s="29" customFormat="1" ht="11.25">
      <c r="A166" s="47"/>
      <c r="B166" s="47"/>
      <c r="C166" s="47"/>
      <c r="D166" s="47"/>
      <c r="E166" s="47"/>
      <c r="F166" s="47"/>
      <c r="G166" s="47"/>
      <c r="H166" s="47"/>
      <c r="I166" s="47"/>
      <c r="J166" s="47"/>
      <c r="K166" s="47"/>
      <c r="L166" s="47"/>
      <c r="M166" s="47"/>
      <c r="N166" s="47"/>
    </row>
    <row r="167" spans="1:14" s="29" customFormat="1" ht="11.25">
      <c r="A167" s="47"/>
      <c r="B167" s="47"/>
      <c r="C167" s="47"/>
      <c r="D167" s="47"/>
      <c r="E167" s="47"/>
      <c r="F167" s="47"/>
      <c r="G167" s="47"/>
      <c r="H167" s="47"/>
      <c r="I167" s="47"/>
      <c r="J167" s="47"/>
      <c r="K167" s="47"/>
      <c r="L167" s="47"/>
      <c r="M167" s="47"/>
      <c r="N167" s="47"/>
    </row>
    <row r="168" spans="1:14" s="29" customFormat="1" ht="11.25">
      <c r="A168" s="47"/>
      <c r="B168" s="47"/>
      <c r="C168" s="47"/>
      <c r="D168" s="47"/>
      <c r="E168" s="47"/>
      <c r="F168" s="47"/>
      <c r="G168" s="47"/>
      <c r="H168" s="47"/>
      <c r="I168" s="47"/>
      <c r="J168" s="47"/>
      <c r="K168" s="47"/>
      <c r="L168" s="47"/>
      <c r="M168" s="47"/>
      <c r="N168" s="47"/>
    </row>
    <row r="169" spans="1:14" s="29" customFormat="1" ht="11.25">
      <c r="A169" s="47"/>
      <c r="B169" s="47"/>
      <c r="C169" s="47"/>
      <c r="D169" s="47"/>
      <c r="E169" s="47"/>
      <c r="F169" s="47"/>
      <c r="G169" s="47"/>
      <c r="H169" s="47"/>
      <c r="I169" s="47"/>
      <c r="J169" s="47"/>
      <c r="K169" s="47"/>
      <c r="L169" s="47"/>
      <c r="M169" s="47"/>
      <c r="N169" s="47"/>
    </row>
    <row r="170" spans="1:14" s="29" customFormat="1" ht="11.25">
      <c r="A170" s="47"/>
      <c r="B170" s="47"/>
      <c r="C170" s="47"/>
      <c r="D170" s="47"/>
      <c r="E170" s="47"/>
      <c r="F170" s="47"/>
      <c r="G170" s="47"/>
      <c r="H170" s="47"/>
      <c r="I170" s="47"/>
      <c r="J170" s="47"/>
      <c r="K170" s="47"/>
      <c r="L170" s="47"/>
      <c r="M170" s="47"/>
      <c r="N170" s="47"/>
    </row>
    <row r="171" spans="1:14" s="29" customFormat="1" ht="11.25">
      <c r="A171" s="47"/>
      <c r="B171" s="47"/>
      <c r="C171" s="47"/>
      <c r="D171" s="47"/>
      <c r="E171" s="47"/>
      <c r="F171" s="47"/>
      <c r="G171" s="47"/>
      <c r="H171" s="47"/>
      <c r="I171" s="47"/>
      <c r="J171" s="47"/>
      <c r="K171" s="47"/>
      <c r="L171" s="47"/>
      <c r="M171" s="47"/>
      <c r="N171" s="47"/>
    </row>
    <row r="172" spans="1:14" s="29" customFormat="1" ht="11.25">
      <c r="A172" s="47"/>
      <c r="B172" s="47"/>
      <c r="C172" s="47"/>
      <c r="D172" s="47"/>
      <c r="E172" s="47"/>
      <c r="F172" s="47"/>
      <c r="G172" s="47"/>
      <c r="H172" s="47"/>
      <c r="I172" s="47"/>
      <c r="J172" s="47"/>
      <c r="K172" s="47"/>
      <c r="L172" s="47"/>
      <c r="M172" s="47"/>
      <c r="N172" s="47"/>
    </row>
    <row r="173" spans="1:14" s="29" customFormat="1" ht="11.25">
      <c r="A173" s="47"/>
      <c r="B173" s="47"/>
      <c r="C173" s="47"/>
      <c r="D173" s="47"/>
      <c r="E173" s="47"/>
      <c r="F173" s="47"/>
      <c r="G173" s="47"/>
      <c r="H173" s="47"/>
      <c r="I173" s="47"/>
      <c r="J173" s="47"/>
      <c r="K173" s="47"/>
      <c r="L173" s="47"/>
      <c r="M173" s="47"/>
      <c r="N173" s="47"/>
    </row>
    <row r="174" spans="1:14" s="29" customFormat="1" ht="11.25">
      <c r="A174" s="47"/>
      <c r="B174" s="47"/>
      <c r="C174" s="47"/>
      <c r="D174" s="47"/>
      <c r="E174" s="47"/>
      <c r="F174" s="47"/>
      <c r="G174" s="47"/>
      <c r="H174" s="47"/>
      <c r="I174" s="47"/>
      <c r="J174" s="47"/>
      <c r="K174" s="47"/>
      <c r="L174" s="47"/>
      <c r="M174" s="47"/>
      <c r="N174" s="47"/>
    </row>
    <row r="175" spans="1:14" s="29" customFormat="1" ht="11.25">
      <c r="A175" s="47"/>
      <c r="B175" s="47"/>
      <c r="C175" s="47"/>
      <c r="D175" s="47"/>
      <c r="E175" s="47"/>
      <c r="F175" s="47"/>
      <c r="G175" s="47"/>
      <c r="H175" s="47"/>
      <c r="I175" s="47"/>
      <c r="J175" s="47"/>
      <c r="K175" s="47"/>
      <c r="L175" s="47"/>
      <c r="M175" s="47"/>
      <c r="N175" s="47"/>
    </row>
    <row r="176" spans="1:14" s="29" customFormat="1" ht="11.25">
      <c r="A176" s="47"/>
      <c r="B176" s="47"/>
      <c r="C176" s="47"/>
      <c r="D176" s="47"/>
      <c r="E176" s="47"/>
      <c r="F176" s="47"/>
      <c r="G176" s="47"/>
      <c r="H176" s="47"/>
      <c r="I176" s="47"/>
      <c r="J176" s="47"/>
      <c r="K176" s="47"/>
      <c r="L176" s="47"/>
      <c r="M176" s="47"/>
      <c r="N176" s="47"/>
    </row>
    <row r="177" spans="1:14" s="29" customFormat="1" ht="11.25">
      <c r="A177" s="47"/>
      <c r="B177" s="47"/>
      <c r="C177" s="47"/>
      <c r="D177" s="47"/>
      <c r="E177" s="47"/>
      <c r="F177" s="47"/>
      <c r="G177" s="47"/>
      <c r="H177" s="47"/>
      <c r="I177" s="47"/>
      <c r="J177" s="47"/>
      <c r="K177" s="47"/>
      <c r="L177" s="47"/>
      <c r="M177" s="47"/>
      <c r="N177" s="47"/>
    </row>
    <row r="178" spans="1:14" s="29" customFormat="1" ht="11.25">
      <c r="A178" s="47"/>
      <c r="B178" s="47"/>
      <c r="C178" s="47"/>
      <c r="D178" s="47"/>
      <c r="E178" s="47"/>
      <c r="F178" s="47"/>
      <c r="G178" s="47"/>
      <c r="H178" s="47"/>
      <c r="I178" s="47"/>
      <c r="J178" s="47"/>
      <c r="K178" s="47"/>
      <c r="L178" s="47"/>
      <c r="M178" s="47"/>
      <c r="N178" s="47"/>
    </row>
    <row r="179" spans="1:14" s="29" customFormat="1" ht="11.25">
      <c r="A179" s="47"/>
      <c r="B179" s="47"/>
      <c r="C179" s="47"/>
      <c r="D179" s="47"/>
      <c r="E179" s="47"/>
      <c r="F179" s="47"/>
      <c r="G179" s="47"/>
      <c r="H179" s="47"/>
      <c r="I179" s="47"/>
      <c r="J179" s="47"/>
      <c r="K179" s="47"/>
      <c r="L179" s="47"/>
      <c r="M179" s="47"/>
      <c r="N179" s="47"/>
    </row>
    <row r="180" spans="1:14" s="29" customFormat="1" ht="11.25">
      <c r="A180" s="47"/>
      <c r="B180" s="47"/>
      <c r="C180" s="47"/>
      <c r="D180" s="47"/>
      <c r="E180" s="47"/>
      <c r="F180" s="47"/>
      <c r="G180" s="47"/>
      <c r="H180" s="47"/>
      <c r="I180" s="47"/>
      <c r="J180" s="47"/>
      <c r="K180" s="47"/>
      <c r="L180" s="47"/>
      <c r="M180" s="47"/>
      <c r="N180" s="47"/>
    </row>
    <row r="181" spans="1:14" s="29" customFormat="1" ht="11.25">
      <c r="A181" s="47"/>
      <c r="B181" s="47"/>
      <c r="C181" s="47"/>
      <c r="D181" s="47"/>
      <c r="E181" s="47"/>
      <c r="F181" s="47"/>
      <c r="G181" s="47"/>
      <c r="H181" s="47"/>
      <c r="I181" s="47"/>
      <c r="J181" s="47"/>
      <c r="K181" s="47"/>
      <c r="L181" s="47"/>
      <c r="M181" s="47"/>
      <c r="N181" s="47"/>
    </row>
    <row r="182" spans="1:14" s="29" customFormat="1" ht="11.25">
      <c r="A182" s="47"/>
      <c r="B182" s="47"/>
      <c r="C182" s="47"/>
      <c r="D182" s="47"/>
      <c r="E182" s="47"/>
      <c r="F182" s="47"/>
      <c r="G182" s="47"/>
      <c r="H182" s="47"/>
      <c r="I182" s="47"/>
      <c r="J182" s="47"/>
      <c r="K182" s="47"/>
      <c r="L182" s="47"/>
      <c r="M182" s="47"/>
      <c r="N182" s="47"/>
    </row>
    <row r="183" spans="1:14" s="29" customFormat="1" ht="11.25">
      <c r="A183" s="47"/>
      <c r="B183" s="47"/>
      <c r="C183" s="47"/>
      <c r="D183" s="47"/>
      <c r="E183" s="47"/>
      <c r="F183" s="47"/>
      <c r="G183" s="47"/>
      <c r="H183" s="47"/>
      <c r="I183" s="47"/>
      <c r="J183" s="47"/>
      <c r="K183" s="47"/>
      <c r="L183" s="47"/>
      <c r="M183" s="47"/>
      <c r="N183" s="47"/>
    </row>
    <row r="184" spans="1:14" s="29" customFormat="1" ht="11.25">
      <c r="A184" s="47"/>
      <c r="B184" s="47"/>
      <c r="C184" s="47"/>
      <c r="D184" s="47"/>
      <c r="E184" s="47"/>
      <c r="F184" s="47"/>
      <c r="G184" s="47"/>
      <c r="H184" s="47"/>
      <c r="I184" s="47"/>
      <c r="J184" s="47"/>
      <c r="K184" s="47"/>
      <c r="L184" s="47"/>
      <c r="M184" s="47"/>
      <c r="N184" s="47"/>
    </row>
    <row r="185" spans="1:14" s="29" customFormat="1" ht="11.25">
      <c r="A185" s="47"/>
      <c r="B185" s="47"/>
      <c r="C185" s="47"/>
      <c r="D185" s="47"/>
      <c r="E185" s="47"/>
      <c r="F185" s="47"/>
      <c r="G185" s="47"/>
      <c r="H185" s="47"/>
      <c r="I185" s="47"/>
      <c r="J185" s="47"/>
      <c r="K185" s="47"/>
      <c r="L185" s="47"/>
      <c r="M185" s="47"/>
      <c r="N185" s="47"/>
    </row>
    <row r="186" spans="1:14" s="29" customFormat="1" ht="11.25">
      <c r="A186" s="47"/>
      <c r="B186" s="47"/>
      <c r="C186" s="47"/>
      <c r="D186" s="47"/>
      <c r="E186" s="47"/>
      <c r="F186" s="47"/>
      <c r="G186" s="47"/>
      <c r="H186" s="47"/>
      <c r="I186" s="47"/>
      <c r="J186" s="47"/>
      <c r="K186" s="47"/>
      <c r="L186" s="47"/>
      <c r="M186" s="47"/>
      <c r="N186" s="47"/>
    </row>
    <row r="187" spans="1:14" s="29" customFormat="1" ht="11.25">
      <c r="A187" s="47"/>
      <c r="B187" s="47"/>
      <c r="C187" s="47"/>
      <c r="D187" s="47"/>
      <c r="E187" s="47"/>
      <c r="F187" s="47"/>
      <c r="G187" s="47"/>
      <c r="H187" s="47"/>
      <c r="I187" s="47"/>
      <c r="J187" s="47"/>
      <c r="K187" s="47"/>
      <c r="L187" s="47"/>
      <c r="M187" s="47"/>
      <c r="N187" s="47"/>
    </row>
    <row r="188" spans="1:14" s="29" customFormat="1" ht="11.25">
      <c r="A188" s="47"/>
      <c r="B188" s="47"/>
      <c r="C188" s="47"/>
      <c r="D188" s="47"/>
      <c r="E188" s="47"/>
      <c r="F188" s="47"/>
      <c r="G188" s="47"/>
      <c r="H188" s="47"/>
      <c r="I188" s="47"/>
      <c r="J188" s="47"/>
      <c r="K188" s="47"/>
      <c r="L188" s="47"/>
      <c r="M188" s="47"/>
      <c r="N188" s="47"/>
    </row>
    <row r="189" spans="1:14" s="29" customFormat="1" ht="11.25">
      <c r="A189" s="47"/>
      <c r="B189" s="47"/>
      <c r="C189" s="47"/>
      <c r="D189" s="47"/>
      <c r="E189" s="47"/>
      <c r="F189" s="47"/>
      <c r="G189" s="47"/>
      <c r="H189" s="47"/>
      <c r="I189" s="47"/>
      <c r="J189" s="47"/>
      <c r="K189" s="47"/>
      <c r="L189" s="47"/>
      <c r="M189" s="47"/>
      <c r="N189" s="47"/>
    </row>
    <row r="190" spans="1:14" s="29" customFormat="1" ht="11.25">
      <c r="A190" s="47"/>
      <c r="B190" s="47"/>
      <c r="C190" s="47"/>
      <c r="D190" s="47"/>
      <c r="E190" s="47"/>
      <c r="F190" s="47"/>
      <c r="G190" s="47"/>
      <c r="H190" s="47"/>
      <c r="I190" s="47"/>
      <c r="J190" s="47"/>
      <c r="K190" s="47"/>
      <c r="L190" s="47"/>
      <c r="M190" s="47"/>
      <c r="N190" s="47"/>
    </row>
    <row r="191" spans="1:14" s="29" customFormat="1" ht="11.25">
      <c r="A191" s="47"/>
      <c r="B191" s="47"/>
      <c r="C191" s="47"/>
      <c r="D191" s="47"/>
      <c r="E191" s="47"/>
      <c r="F191" s="47"/>
      <c r="G191" s="47"/>
      <c r="H191" s="47"/>
      <c r="I191" s="47"/>
      <c r="J191" s="47"/>
      <c r="K191" s="47"/>
      <c r="L191" s="47"/>
      <c r="M191" s="47"/>
      <c r="N191" s="47"/>
    </row>
    <row r="192" spans="1:14" s="29" customFormat="1" ht="11.25">
      <c r="A192" s="47"/>
      <c r="B192" s="47"/>
      <c r="C192" s="47"/>
      <c r="D192" s="47"/>
      <c r="E192" s="47"/>
      <c r="F192" s="47"/>
      <c r="G192" s="47"/>
      <c r="H192" s="47"/>
      <c r="I192" s="47"/>
      <c r="J192" s="47"/>
      <c r="K192" s="47"/>
      <c r="L192" s="47"/>
      <c r="M192" s="47"/>
      <c r="N192" s="47"/>
    </row>
    <row r="193" spans="1:14" s="29" customFormat="1" ht="11.25">
      <c r="A193" s="47"/>
      <c r="B193" s="47"/>
      <c r="C193" s="47"/>
      <c r="D193" s="47"/>
      <c r="E193" s="47"/>
      <c r="F193" s="47"/>
      <c r="G193" s="47"/>
      <c r="H193" s="47"/>
      <c r="I193" s="47"/>
      <c r="J193" s="47"/>
      <c r="K193" s="47"/>
      <c r="L193" s="47"/>
      <c r="M193" s="47"/>
      <c r="N193" s="47"/>
    </row>
    <row r="194" spans="1:14" s="29" customFormat="1" ht="11.25">
      <c r="A194" s="47"/>
      <c r="B194" s="47"/>
      <c r="C194" s="47"/>
      <c r="D194" s="47"/>
      <c r="E194" s="47"/>
      <c r="F194" s="47"/>
      <c r="G194" s="47"/>
      <c r="H194" s="47"/>
      <c r="I194" s="47"/>
      <c r="J194" s="47"/>
      <c r="K194" s="47"/>
      <c r="L194" s="47"/>
      <c r="M194" s="47"/>
      <c r="N194" s="47"/>
    </row>
    <row r="195" spans="1:14" s="29" customFormat="1" ht="11.25">
      <c r="A195" s="47"/>
      <c r="B195" s="47"/>
      <c r="C195" s="47"/>
      <c r="D195" s="47"/>
      <c r="E195" s="47"/>
      <c r="F195" s="47"/>
      <c r="G195" s="47"/>
      <c r="H195" s="47"/>
      <c r="I195" s="47"/>
      <c r="J195" s="47"/>
      <c r="K195" s="47"/>
      <c r="L195" s="47"/>
      <c r="M195" s="47"/>
      <c r="N195" s="47"/>
    </row>
    <row r="196" spans="1:14" s="29" customFormat="1" ht="11.25">
      <c r="A196" s="47"/>
      <c r="B196" s="47"/>
      <c r="C196" s="47"/>
      <c r="D196" s="47"/>
      <c r="E196" s="47"/>
      <c r="F196" s="47"/>
      <c r="G196" s="47"/>
      <c r="H196" s="47"/>
      <c r="I196" s="47"/>
      <c r="J196" s="47"/>
      <c r="K196" s="47"/>
      <c r="L196" s="47"/>
      <c r="M196" s="47"/>
      <c r="N196" s="47"/>
    </row>
    <row r="197" spans="1:14" s="29" customFormat="1" ht="11.25">
      <c r="A197" s="47"/>
      <c r="B197" s="47"/>
      <c r="C197" s="47"/>
      <c r="D197" s="47"/>
      <c r="E197" s="47"/>
      <c r="F197" s="47"/>
      <c r="G197" s="47"/>
      <c r="H197" s="47"/>
      <c r="I197" s="47"/>
      <c r="J197" s="47"/>
      <c r="K197" s="47"/>
      <c r="L197" s="47"/>
      <c r="M197" s="47"/>
      <c r="N197" s="47"/>
    </row>
    <row r="198" spans="1:14" s="29" customFormat="1" ht="11.25">
      <c r="A198" s="47"/>
      <c r="B198" s="47"/>
      <c r="C198" s="47"/>
      <c r="D198" s="47"/>
      <c r="E198" s="47"/>
      <c r="F198" s="47"/>
      <c r="G198" s="47"/>
      <c r="H198" s="47"/>
      <c r="I198" s="47"/>
      <c r="J198" s="47"/>
      <c r="K198" s="47"/>
      <c r="L198" s="47"/>
      <c r="M198" s="47"/>
      <c r="N198" s="47"/>
    </row>
    <row r="199" spans="1:14" s="29" customFormat="1" ht="11.25">
      <c r="A199" s="47"/>
      <c r="B199" s="47"/>
      <c r="C199" s="47"/>
      <c r="D199" s="47"/>
      <c r="E199" s="47"/>
      <c r="F199" s="47"/>
      <c r="G199" s="47"/>
      <c r="H199" s="47"/>
      <c r="I199" s="47"/>
      <c r="J199" s="47"/>
      <c r="K199" s="47"/>
      <c r="L199" s="47"/>
      <c r="M199" s="47"/>
      <c r="N199" s="47"/>
    </row>
    <row r="200" spans="1:14" s="29" customFormat="1" ht="11.25">
      <c r="A200" s="47"/>
      <c r="B200" s="47"/>
      <c r="C200" s="47"/>
      <c r="D200" s="47"/>
      <c r="E200" s="47"/>
      <c r="F200" s="47"/>
      <c r="G200" s="47"/>
      <c r="H200" s="47"/>
      <c r="I200" s="47"/>
      <c r="J200" s="47"/>
      <c r="K200" s="47"/>
      <c r="L200" s="47"/>
      <c r="M200" s="47"/>
      <c r="N200" s="47"/>
    </row>
    <row r="201" spans="1:14" s="29" customFormat="1" ht="11.25">
      <c r="A201" s="47"/>
      <c r="B201" s="47"/>
      <c r="C201" s="47"/>
      <c r="D201" s="47"/>
      <c r="E201" s="47"/>
      <c r="F201" s="47"/>
      <c r="G201" s="47"/>
      <c r="H201" s="47"/>
      <c r="I201" s="47"/>
      <c r="J201" s="47"/>
      <c r="K201" s="47"/>
      <c r="L201" s="47"/>
      <c r="M201" s="47"/>
      <c r="N201" s="47"/>
    </row>
    <row r="202" spans="1:14" s="29" customFormat="1" ht="11.25">
      <c r="A202" s="47"/>
      <c r="B202" s="47"/>
      <c r="C202" s="47"/>
      <c r="D202" s="47"/>
      <c r="E202" s="47"/>
      <c r="F202" s="47"/>
      <c r="G202" s="47"/>
      <c r="H202" s="47"/>
      <c r="I202" s="47"/>
      <c r="J202" s="47"/>
      <c r="K202" s="47"/>
      <c r="L202" s="47"/>
      <c r="M202" s="47"/>
      <c r="N202" s="47"/>
    </row>
    <row r="203" spans="1:14" s="29" customFormat="1" ht="11.25">
      <c r="A203" s="47"/>
      <c r="B203" s="47"/>
      <c r="C203" s="47"/>
      <c r="D203" s="47"/>
      <c r="E203" s="47"/>
      <c r="F203" s="47"/>
      <c r="G203" s="47"/>
      <c r="H203" s="47"/>
      <c r="I203" s="47"/>
      <c r="J203" s="47"/>
      <c r="K203" s="47"/>
      <c r="L203" s="47"/>
      <c r="M203" s="47"/>
      <c r="N203" s="47"/>
    </row>
    <row r="204" spans="1:14" s="29" customFormat="1" ht="11.25">
      <c r="A204" s="47"/>
      <c r="B204" s="47"/>
      <c r="C204" s="47"/>
      <c r="D204" s="47"/>
      <c r="E204" s="47"/>
      <c r="F204" s="47"/>
      <c r="G204" s="47"/>
      <c r="H204" s="47"/>
      <c r="I204" s="47"/>
      <c r="J204" s="47"/>
      <c r="K204" s="47"/>
      <c r="L204" s="47"/>
      <c r="M204" s="47"/>
      <c r="N204" s="47"/>
    </row>
    <row r="205" spans="1:14" s="29" customFormat="1" ht="11.25">
      <c r="A205" s="47"/>
      <c r="B205" s="47"/>
      <c r="C205" s="47"/>
      <c r="D205" s="47"/>
      <c r="E205" s="47"/>
      <c r="F205" s="47"/>
      <c r="G205" s="47"/>
      <c r="H205" s="47"/>
      <c r="I205" s="47"/>
      <c r="J205" s="47"/>
      <c r="K205" s="47"/>
      <c r="L205" s="47"/>
      <c r="M205" s="47"/>
      <c r="N205" s="47"/>
    </row>
    <row r="206" spans="1:14" s="29" customFormat="1" ht="11.25">
      <c r="A206" s="47"/>
      <c r="B206" s="47"/>
      <c r="C206" s="47"/>
      <c r="D206" s="47"/>
      <c r="E206" s="47"/>
      <c r="F206" s="47"/>
      <c r="G206" s="47"/>
      <c r="H206" s="47"/>
      <c r="I206" s="47"/>
      <c r="J206" s="47"/>
      <c r="K206" s="47"/>
      <c r="L206" s="47"/>
      <c r="M206" s="47"/>
      <c r="N206" s="47"/>
    </row>
    <row r="207" s="29" customFormat="1" ht="11.25"/>
    <row r="208" s="29" customFormat="1" ht="11.25"/>
    <row r="209" s="29" customFormat="1" ht="11.25"/>
    <row r="210" s="29" customFormat="1" ht="11.25"/>
    <row r="211" s="29" customFormat="1" ht="11.25"/>
    <row r="212" s="29" customFormat="1" ht="11.25"/>
    <row r="213" s="29" customFormat="1" ht="11.25"/>
    <row r="214" s="29" customFormat="1" ht="11.25"/>
    <row r="215" s="29" customFormat="1" ht="11.25"/>
    <row r="216" s="29" customFormat="1" ht="11.25"/>
    <row r="217" s="29" customFormat="1" ht="11.25"/>
    <row r="218" s="29" customFormat="1" ht="11.25"/>
    <row r="219" s="29" customFormat="1" ht="11.25"/>
    <row r="220" s="29" customFormat="1" ht="11.25"/>
    <row r="221" s="29" customFormat="1" ht="11.25"/>
    <row r="222" s="29" customFormat="1" ht="11.25"/>
    <row r="223" s="29" customFormat="1" ht="11.25"/>
    <row r="224" s="29" customFormat="1" ht="11.25"/>
    <row r="225" s="29" customFormat="1" ht="11.25"/>
    <row r="226" s="29" customFormat="1" ht="11.25"/>
    <row r="227" s="29" customFormat="1" ht="11.25"/>
    <row r="228" s="29" customFormat="1" ht="11.25"/>
    <row r="229" s="29" customFormat="1" ht="11.25"/>
    <row r="230" s="29" customFormat="1" ht="11.25"/>
    <row r="231" s="29" customFormat="1" ht="11.25"/>
    <row r="232" s="29" customFormat="1" ht="11.25"/>
    <row r="233" s="29" customFormat="1" ht="11.25"/>
    <row r="234" s="29" customFormat="1" ht="11.25"/>
    <row r="235" s="29" customFormat="1" ht="11.25"/>
    <row r="236" s="29" customFormat="1" ht="11.25"/>
    <row r="237" s="29" customFormat="1" ht="11.25"/>
    <row r="238" s="29" customFormat="1" ht="11.25"/>
    <row r="239" s="29" customFormat="1" ht="11.25"/>
    <row r="240" s="29" customFormat="1" ht="11.25"/>
    <row r="241" s="29" customFormat="1" ht="11.25"/>
    <row r="242" s="29" customFormat="1" ht="11.25"/>
    <row r="243" s="29" customFormat="1" ht="11.25"/>
    <row r="244" s="29" customFormat="1" ht="11.25"/>
    <row r="245" s="29" customFormat="1" ht="11.25"/>
    <row r="246" s="29" customFormat="1" ht="11.25"/>
    <row r="247" s="29" customFormat="1" ht="11.25"/>
    <row r="248" s="29" customFormat="1" ht="11.25"/>
    <row r="249" s="29" customFormat="1" ht="11.25"/>
    <row r="250" s="29" customFormat="1" ht="11.25"/>
    <row r="251" s="29" customFormat="1" ht="11.25"/>
    <row r="252" s="29" customFormat="1" ht="11.25"/>
    <row r="253" s="29" customFormat="1" ht="11.25"/>
    <row r="254" s="29" customFormat="1" ht="11.25"/>
    <row r="255" s="29" customFormat="1" ht="11.25"/>
    <row r="256" s="29" customFormat="1" ht="11.25"/>
    <row r="257" s="29" customFormat="1" ht="11.25"/>
    <row r="258" s="29" customFormat="1" ht="11.25"/>
    <row r="259" s="29" customFormat="1" ht="11.25"/>
    <row r="260" s="29" customFormat="1" ht="11.25"/>
    <row r="261" s="29" customFormat="1" ht="11.25"/>
    <row r="262" s="29" customFormat="1" ht="11.25"/>
    <row r="263" s="29" customFormat="1" ht="11.25"/>
    <row r="264" s="29" customFormat="1" ht="11.25"/>
    <row r="265" s="29" customFormat="1" ht="11.25"/>
    <row r="266" s="29" customFormat="1" ht="11.25"/>
    <row r="267" s="29" customFormat="1" ht="11.25"/>
    <row r="268" s="29" customFormat="1" ht="11.25"/>
    <row r="269" s="29" customFormat="1" ht="11.25"/>
    <row r="270" s="29" customFormat="1" ht="11.25"/>
    <row r="271" s="29" customFormat="1" ht="11.25"/>
    <row r="272" s="29" customFormat="1" ht="11.25"/>
    <row r="273" s="29" customFormat="1" ht="11.25"/>
    <row r="274" s="29" customFormat="1" ht="11.25"/>
    <row r="275" s="29" customFormat="1" ht="11.25"/>
    <row r="276" s="29" customFormat="1" ht="11.25"/>
    <row r="277" s="29" customFormat="1" ht="11.25"/>
    <row r="278" s="29" customFormat="1" ht="11.25"/>
    <row r="279" s="29" customFormat="1" ht="11.25"/>
    <row r="280" s="29" customFormat="1" ht="11.25"/>
    <row r="281" s="29" customFormat="1" ht="11.25"/>
    <row r="282" s="29" customFormat="1" ht="11.25"/>
    <row r="283" s="29" customFormat="1" ht="11.25"/>
    <row r="284" s="29" customFormat="1" ht="11.25"/>
    <row r="285" s="29" customFormat="1" ht="11.25"/>
    <row r="286" s="29" customFormat="1" ht="11.25"/>
    <row r="287" s="29" customFormat="1" ht="11.25"/>
    <row r="288" s="29" customFormat="1" ht="11.25"/>
    <row r="289" s="29" customFormat="1" ht="11.25"/>
    <row r="290" s="29" customFormat="1" ht="11.25"/>
    <row r="291" s="29" customFormat="1" ht="11.25"/>
    <row r="292" s="29" customFormat="1" ht="11.25"/>
    <row r="293" s="29" customFormat="1" ht="11.25"/>
    <row r="294" s="29" customFormat="1" ht="11.25"/>
    <row r="295" s="29" customFormat="1" ht="11.25"/>
    <row r="296" s="29" customFormat="1" ht="11.25"/>
    <row r="297" s="29" customFormat="1" ht="11.25"/>
    <row r="298" s="29" customFormat="1" ht="11.25"/>
    <row r="299" s="29" customFormat="1" ht="11.25"/>
    <row r="300" s="29" customFormat="1" ht="11.25"/>
    <row r="301" s="29" customFormat="1" ht="11.25"/>
    <row r="302" s="29" customFormat="1" ht="11.25"/>
    <row r="303" s="29" customFormat="1" ht="11.25"/>
    <row r="304" s="29" customFormat="1" ht="11.25"/>
    <row r="305" s="29" customFormat="1" ht="11.25"/>
    <row r="306" s="29" customFormat="1" ht="11.25"/>
    <row r="307" s="29" customFormat="1" ht="11.25"/>
    <row r="308" s="29" customFormat="1" ht="11.25"/>
    <row r="309" s="29" customFormat="1" ht="11.25"/>
    <row r="310" s="29" customFormat="1" ht="11.25"/>
    <row r="311" s="29" customFormat="1" ht="11.25"/>
    <row r="312" s="29" customFormat="1" ht="11.25"/>
    <row r="313" s="29" customFormat="1" ht="11.25"/>
    <row r="314" s="29" customFormat="1" ht="11.25"/>
    <row r="315" s="29" customFormat="1" ht="11.25"/>
    <row r="316" s="29" customFormat="1" ht="11.25"/>
    <row r="317" s="29" customFormat="1" ht="11.25"/>
    <row r="318" s="29" customFormat="1" ht="11.25"/>
    <row r="319" s="29" customFormat="1" ht="11.25"/>
    <row r="320" s="29" customFormat="1" ht="11.25"/>
    <row r="321" s="29" customFormat="1" ht="11.25"/>
    <row r="322" s="29" customFormat="1" ht="11.25"/>
    <row r="323" s="29" customFormat="1" ht="11.25"/>
    <row r="324" s="29" customFormat="1" ht="11.25"/>
    <row r="325" s="29" customFormat="1" ht="11.25"/>
    <row r="326" s="29" customFormat="1" ht="11.25"/>
    <row r="327" s="29" customFormat="1" ht="11.25"/>
    <row r="328" s="29" customFormat="1" ht="11.25"/>
    <row r="329" s="29" customFormat="1" ht="11.25"/>
    <row r="330" s="29" customFormat="1" ht="11.25"/>
    <row r="331" s="29" customFormat="1" ht="11.25"/>
    <row r="332" s="29" customFormat="1" ht="11.25"/>
    <row r="333" s="29" customFormat="1" ht="11.25"/>
    <row r="334" s="29" customFormat="1" ht="11.25"/>
    <row r="335" s="29" customFormat="1" ht="11.25"/>
    <row r="336" s="29" customFormat="1" ht="11.25"/>
    <row r="337" s="29" customFormat="1" ht="11.25"/>
    <row r="338" s="29" customFormat="1" ht="11.25"/>
    <row r="339" s="29" customFormat="1" ht="11.25"/>
    <row r="340" s="29" customFormat="1" ht="11.25"/>
    <row r="341" s="29" customFormat="1" ht="11.25"/>
    <row r="342" s="29" customFormat="1" ht="11.25"/>
    <row r="343" s="29" customFormat="1" ht="11.25"/>
    <row r="344" s="29" customFormat="1" ht="11.25"/>
    <row r="345" s="29" customFormat="1" ht="11.25"/>
    <row r="346" s="29" customFormat="1" ht="11.25"/>
    <row r="347" s="29" customFormat="1" ht="11.25"/>
    <row r="348" s="29" customFormat="1" ht="11.25"/>
    <row r="349" s="29" customFormat="1" ht="11.25"/>
    <row r="350" s="29" customFormat="1" ht="11.25"/>
    <row r="351" s="29" customFormat="1" ht="11.25"/>
    <row r="352" s="29" customFormat="1" ht="11.25"/>
    <row r="353" s="29" customFormat="1" ht="11.25"/>
    <row r="354" s="29" customFormat="1" ht="11.25"/>
    <row r="355" s="29" customFormat="1" ht="11.25"/>
    <row r="356" s="29" customFormat="1" ht="11.25"/>
    <row r="357" s="29" customFormat="1" ht="11.25"/>
    <row r="358" s="29" customFormat="1" ht="11.25"/>
    <row r="359" s="29" customFormat="1" ht="11.25"/>
    <row r="360" s="29" customFormat="1" ht="11.25"/>
    <row r="361" s="29" customFormat="1" ht="11.25"/>
    <row r="362" s="29" customFormat="1" ht="11.25"/>
    <row r="363" s="29" customFormat="1" ht="11.25"/>
    <row r="364" s="29" customFormat="1" ht="11.25"/>
    <row r="365" s="29" customFormat="1" ht="11.25"/>
    <row r="366" s="29" customFormat="1" ht="11.25"/>
    <row r="367" s="29" customFormat="1" ht="11.25"/>
    <row r="368" s="29" customFormat="1" ht="11.25"/>
    <row r="369" s="29" customFormat="1" ht="11.25"/>
    <row r="370" s="29" customFormat="1" ht="11.25"/>
    <row r="371" s="29" customFormat="1" ht="11.25"/>
    <row r="372" s="29" customFormat="1" ht="11.25"/>
    <row r="373" s="29" customFormat="1" ht="11.25"/>
    <row r="374" s="29" customFormat="1" ht="11.25"/>
    <row r="375" s="29" customFormat="1" ht="11.25"/>
    <row r="376" s="29" customFormat="1" ht="11.25"/>
    <row r="377" s="29" customFormat="1" ht="11.25"/>
    <row r="378" s="29" customFormat="1" ht="11.25"/>
    <row r="379" s="29" customFormat="1" ht="11.25"/>
    <row r="380" s="29" customFormat="1" ht="11.25"/>
    <row r="381" s="29" customFormat="1" ht="11.25"/>
    <row r="382" s="29" customFormat="1" ht="11.25"/>
    <row r="383" s="29" customFormat="1" ht="11.25"/>
    <row r="384" s="29" customFormat="1" ht="11.25"/>
    <row r="385" s="29" customFormat="1" ht="11.25"/>
    <row r="386" s="29" customFormat="1" ht="11.25"/>
    <row r="387" s="29" customFormat="1" ht="11.25"/>
    <row r="388" s="29" customFormat="1" ht="11.25"/>
    <row r="389" s="29" customFormat="1" ht="11.25"/>
    <row r="390" s="29" customFormat="1" ht="11.25"/>
    <row r="391" s="29" customFormat="1" ht="11.25"/>
    <row r="392" s="29" customFormat="1" ht="11.25"/>
    <row r="393" s="29" customFormat="1" ht="11.25"/>
    <row r="394" s="29" customFormat="1" ht="11.25"/>
    <row r="395" s="29" customFormat="1" ht="11.25"/>
    <row r="396" s="29" customFormat="1" ht="11.25"/>
    <row r="397" s="29" customFormat="1" ht="11.25"/>
    <row r="398" s="29" customFormat="1" ht="11.25"/>
    <row r="399" s="29" customFormat="1" ht="11.25"/>
    <row r="400" s="29" customFormat="1" ht="11.25"/>
    <row r="401" s="29" customFormat="1" ht="11.25"/>
    <row r="402" s="29" customFormat="1" ht="11.25"/>
    <row r="403" s="29" customFormat="1" ht="11.25"/>
    <row r="404" s="29" customFormat="1" ht="11.25"/>
    <row r="405" s="29" customFormat="1" ht="11.25"/>
    <row r="406" s="29" customFormat="1" ht="11.25"/>
    <row r="407" s="29" customFormat="1" ht="11.25"/>
    <row r="408" s="29" customFormat="1" ht="11.25"/>
    <row r="409" s="29" customFormat="1" ht="11.25"/>
    <row r="410" s="29" customFormat="1" ht="11.25"/>
    <row r="411" s="29" customFormat="1" ht="11.25"/>
    <row r="412" s="29" customFormat="1" ht="11.25"/>
    <row r="413" s="29" customFormat="1" ht="11.25"/>
    <row r="414" s="29" customFormat="1" ht="11.25"/>
    <row r="415" s="29" customFormat="1" ht="11.25"/>
    <row r="416" s="29" customFormat="1" ht="11.25"/>
    <row r="417" s="29" customFormat="1" ht="11.25"/>
    <row r="418" s="29" customFormat="1" ht="11.25"/>
    <row r="419" s="29" customFormat="1" ht="11.25"/>
    <row r="420" s="29" customFormat="1" ht="11.25"/>
    <row r="421" s="29" customFormat="1" ht="11.25"/>
    <row r="422" s="29" customFormat="1" ht="11.25"/>
    <row r="423" s="29" customFormat="1" ht="11.25"/>
    <row r="424" s="29" customFormat="1" ht="11.25"/>
    <row r="425" s="29" customFormat="1" ht="11.25"/>
    <row r="426" s="29" customFormat="1" ht="11.25"/>
    <row r="427" s="29" customFormat="1" ht="11.25"/>
    <row r="428" s="29" customFormat="1" ht="11.25"/>
    <row r="429" s="29" customFormat="1" ht="11.25"/>
    <row r="430" s="29" customFormat="1" ht="11.25"/>
    <row r="431" s="29" customFormat="1" ht="11.25"/>
    <row r="432" s="29" customFormat="1" ht="11.25"/>
    <row r="433" s="29" customFormat="1" ht="11.25"/>
    <row r="434" s="29" customFormat="1" ht="11.25"/>
    <row r="435" s="29" customFormat="1" ht="11.25"/>
    <row r="436" s="29" customFormat="1" ht="11.25"/>
    <row r="437" s="29" customFormat="1" ht="11.25"/>
    <row r="438" s="29" customFormat="1" ht="11.25"/>
    <row r="439" s="29" customFormat="1" ht="11.25"/>
    <row r="440" s="29" customFormat="1" ht="11.25"/>
    <row r="441" s="29" customFormat="1" ht="11.25"/>
    <row r="442" s="29" customFormat="1" ht="11.25"/>
    <row r="443" s="29" customFormat="1" ht="11.25"/>
    <row r="444" s="29" customFormat="1" ht="11.25"/>
    <row r="445" s="29" customFormat="1" ht="11.25"/>
    <row r="446" s="29" customFormat="1" ht="11.25"/>
    <row r="447" s="29" customFormat="1" ht="11.25"/>
    <row r="448" s="29" customFormat="1" ht="11.25"/>
    <row r="449" s="29" customFormat="1" ht="11.25"/>
    <row r="450" s="29" customFormat="1" ht="11.25"/>
    <row r="451" s="29" customFormat="1" ht="11.25"/>
    <row r="452" s="29" customFormat="1" ht="11.25"/>
    <row r="453" s="29" customFormat="1" ht="11.25"/>
    <row r="454" s="29" customFormat="1" ht="11.25"/>
    <row r="455" s="29" customFormat="1" ht="11.25"/>
    <row r="456" s="29" customFormat="1" ht="11.25"/>
    <row r="457" s="29" customFormat="1" ht="11.25"/>
    <row r="458" s="29" customFormat="1" ht="11.25"/>
    <row r="459" s="29" customFormat="1" ht="11.25"/>
    <row r="460" s="29" customFormat="1" ht="11.25"/>
    <row r="461" s="29" customFormat="1" ht="11.25"/>
    <row r="462" s="29" customFormat="1" ht="11.25"/>
    <row r="463" s="29" customFormat="1" ht="11.25"/>
    <row r="464" s="29" customFormat="1" ht="11.25"/>
    <row r="465" s="29" customFormat="1" ht="11.25"/>
    <row r="466" s="29" customFormat="1" ht="11.25"/>
    <row r="467" s="29" customFormat="1" ht="11.25"/>
    <row r="468" s="29" customFormat="1" ht="11.25"/>
    <row r="469" s="29" customFormat="1" ht="11.25"/>
    <row r="470" s="29" customFormat="1" ht="11.25"/>
    <row r="471" s="29" customFormat="1" ht="11.25"/>
    <row r="472" s="29" customFormat="1" ht="11.25"/>
    <row r="473" s="29" customFormat="1" ht="11.25"/>
    <row r="474" s="29" customFormat="1" ht="11.25"/>
    <row r="475" s="29" customFormat="1" ht="11.25"/>
    <row r="476" s="29" customFormat="1" ht="11.25"/>
    <row r="477" s="29" customFormat="1" ht="11.25"/>
    <row r="478" s="29" customFormat="1" ht="11.25"/>
    <row r="479" s="29" customFormat="1" ht="11.25"/>
    <row r="480" s="29" customFormat="1" ht="11.25"/>
    <row r="481" s="29" customFormat="1" ht="11.25"/>
    <row r="482" s="29" customFormat="1" ht="11.25"/>
    <row r="483" s="29" customFormat="1" ht="11.25"/>
    <row r="484" s="29" customFormat="1" ht="11.25"/>
    <row r="485" s="29" customFormat="1" ht="11.25"/>
    <row r="486" s="29" customFormat="1" ht="11.25"/>
    <row r="487" s="29" customFormat="1" ht="11.25"/>
    <row r="488" s="29" customFormat="1" ht="11.25"/>
    <row r="489" s="29" customFormat="1" ht="11.25"/>
    <row r="490" s="29" customFormat="1" ht="11.25"/>
    <row r="491" s="29" customFormat="1" ht="11.25"/>
    <row r="492" s="29" customFormat="1" ht="11.25"/>
    <row r="493" s="29" customFormat="1" ht="11.25"/>
    <row r="494" s="29" customFormat="1" ht="11.25"/>
    <row r="495" s="29" customFormat="1" ht="11.25"/>
    <row r="496" s="29" customFormat="1" ht="11.25"/>
    <row r="497" s="29" customFormat="1" ht="11.25"/>
    <row r="498" s="29" customFormat="1" ht="11.25"/>
    <row r="499" s="29" customFormat="1" ht="11.25"/>
    <row r="500" s="29" customFormat="1" ht="11.25"/>
    <row r="501" s="29" customFormat="1" ht="11.25"/>
    <row r="502" s="29" customFormat="1" ht="11.25"/>
    <row r="503" s="29" customFormat="1" ht="11.25"/>
    <row r="504" s="29" customFormat="1" ht="11.25"/>
    <row r="505" s="29" customFormat="1" ht="11.25"/>
    <row r="506" s="29" customFormat="1" ht="11.25"/>
    <row r="507" s="29" customFormat="1" ht="11.25"/>
    <row r="508" s="29" customFormat="1" ht="11.25"/>
    <row r="509" s="29" customFormat="1" ht="11.25"/>
    <row r="510" s="29" customFormat="1" ht="11.25"/>
    <row r="511" s="29" customFormat="1" ht="11.25"/>
    <row r="512" s="29" customFormat="1" ht="11.25"/>
    <row r="513" s="29" customFormat="1" ht="11.25"/>
    <row r="514" s="29" customFormat="1" ht="11.25"/>
    <row r="515" s="29" customFormat="1" ht="11.25"/>
    <row r="516" s="29" customFormat="1" ht="11.25"/>
    <row r="517" s="29" customFormat="1" ht="11.25"/>
    <row r="518" s="29" customFormat="1" ht="11.25"/>
    <row r="519" s="29" customFormat="1" ht="11.25"/>
    <row r="520" s="29" customFormat="1" ht="11.25"/>
    <row r="521" s="29" customFormat="1" ht="11.25"/>
    <row r="522" s="29" customFormat="1" ht="11.25"/>
    <row r="523" s="29" customFormat="1" ht="11.25"/>
    <row r="524" s="29" customFormat="1" ht="11.25"/>
    <row r="525" s="29" customFormat="1" ht="11.25"/>
    <row r="526" s="29" customFormat="1" ht="11.25"/>
    <row r="527" s="29" customFormat="1" ht="11.25"/>
    <row r="528" s="29" customFormat="1" ht="11.25"/>
    <row r="529" s="29" customFormat="1" ht="11.25"/>
    <row r="530" s="29" customFormat="1" ht="11.25"/>
    <row r="531" s="29" customFormat="1" ht="11.25"/>
    <row r="532" s="29" customFormat="1" ht="11.25"/>
    <row r="533" s="29" customFormat="1" ht="11.25"/>
    <row r="534" s="29" customFormat="1" ht="11.25"/>
    <row r="535" s="29" customFormat="1" ht="11.25"/>
    <row r="536" s="29" customFormat="1" ht="11.25"/>
    <row r="537" s="29" customFormat="1" ht="11.25"/>
    <row r="538" s="29" customFormat="1" ht="11.25"/>
    <row r="539" s="29" customFormat="1" ht="11.25"/>
    <row r="540" s="29" customFormat="1" ht="11.25"/>
    <row r="541" s="29" customFormat="1" ht="11.25"/>
    <row r="542" s="29" customFormat="1" ht="11.25"/>
    <row r="543" s="29" customFormat="1" ht="11.25"/>
    <row r="544" s="29" customFormat="1" ht="11.25"/>
    <row r="545" s="29" customFormat="1" ht="11.25"/>
    <row r="546" s="29" customFormat="1" ht="11.25"/>
    <row r="547" s="29" customFormat="1" ht="11.25"/>
    <row r="548" s="29" customFormat="1" ht="11.25"/>
    <row r="549" s="29" customFormat="1" ht="11.25"/>
    <row r="550" s="29" customFormat="1" ht="11.25"/>
    <row r="551" s="29" customFormat="1" ht="11.25"/>
    <row r="552" s="29" customFormat="1" ht="11.25"/>
    <row r="553" s="29" customFormat="1" ht="11.25"/>
    <row r="554" s="29" customFormat="1" ht="11.25"/>
    <row r="555" s="29" customFormat="1" ht="11.25"/>
    <row r="556" s="29" customFormat="1" ht="11.25"/>
    <row r="557" s="29" customFormat="1" ht="11.25"/>
    <row r="558" s="29" customFormat="1" ht="11.25"/>
    <row r="559" s="29" customFormat="1" ht="11.25"/>
    <row r="560" s="29" customFormat="1" ht="11.25"/>
    <row r="561" s="29" customFormat="1" ht="11.25"/>
    <row r="562" s="29" customFormat="1" ht="11.25"/>
    <row r="563" s="29" customFormat="1" ht="11.25"/>
    <row r="564" s="29" customFormat="1" ht="11.25"/>
    <row r="565" s="29" customFormat="1" ht="11.25"/>
    <row r="566" s="29" customFormat="1" ht="11.25"/>
    <row r="567" s="29" customFormat="1" ht="11.25"/>
    <row r="568" s="29" customFormat="1" ht="11.25"/>
    <row r="569" s="29" customFormat="1" ht="11.25"/>
    <row r="570" s="29" customFormat="1" ht="11.25"/>
    <row r="571" s="29" customFormat="1" ht="11.25"/>
    <row r="572" s="29" customFormat="1" ht="11.25"/>
    <row r="573" s="29" customFormat="1" ht="11.25"/>
    <row r="574" s="29" customFormat="1" ht="11.25"/>
    <row r="575" s="29" customFormat="1" ht="11.25"/>
    <row r="576" s="29" customFormat="1" ht="11.25"/>
    <row r="577" s="29" customFormat="1" ht="11.25"/>
    <row r="578" s="29" customFormat="1" ht="11.25"/>
    <row r="579" s="29" customFormat="1" ht="11.25"/>
    <row r="580" s="29" customFormat="1" ht="11.25"/>
    <row r="581" s="29" customFormat="1" ht="11.25"/>
    <row r="582" s="29" customFormat="1" ht="11.25"/>
    <row r="583" s="29" customFormat="1" ht="11.25"/>
    <row r="584" s="29" customFormat="1" ht="11.25"/>
    <row r="585" s="29" customFormat="1" ht="11.25"/>
    <row r="586" s="29" customFormat="1" ht="11.25"/>
    <row r="587" s="29" customFormat="1" ht="11.25"/>
    <row r="588" s="29" customFormat="1" ht="11.25"/>
    <row r="589" s="29" customFormat="1" ht="11.25"/>
    <row r="590" s="29" customFormat="1" ht="11.25"/>
    <row r="591" s="29" customFormat="1" ht="11.25"/>
    <row r="592" s="29" customFormat="1" ht="11.25"/>
    <row r="593" s="29" customFormat="1" ht="11.25"/>
    <row r="594" s="29" customFormat="1" ht="11.25"/>
    <row r="595" s="29" customFormat="1" ht="11.25"/>
    <row r="596" s="29" customFormat="1" ht="11.25"/>
    <row r="597" s="29" customFormat="1" ht="11.25"/>
    <row r="598" s="29" customFormat="1" ht="11.25"/>
    <row r="599" s="29" customFormat="1" ht="11.25"/>
    <row r="600" s="29" customFormat="1" ht="11.25"/>
    <row r="601" s="29" customFormat="1" ht="11.25"/>
    <row r="602" s="29" customFormat="1" ht="11.25"/>
    <row r="603" s="29" customFormat="1" ht="11.25"/>
    <row r="604" s="29" customFormat="1" ht="11.25"/>
    <row r="605" s="29" customFormat="1" ht="11.25"/>
    <row r="606" s="29" customFormat="1" ht="11.25"/>
    <row r="607" s="29" customFormat="1" ht="11.25"/>
    <row r="608" s="29" customFormat="1" ht="11.25"/>
    <row r="609" s="29" customFormat="1" ht="11.25"/>
    <row r="610" s="29" customFormat="1" ht="11.25"/>
    <row r="611" s="29" customFormat="1" ht="11.25"/>
    <row r="612" s="29" customFormat="1" ht="11.25"/>
    <row r="613" s="29" customFormat="1" ht="11.25"/>
    <row r="614" s="29" customFormat="1" ht="11.25"/>
    <row r="615" s="29" customFormat="1" ht="11.25"/>
    <row r="616" s="29" customFormat="1" ht="11.25"/>
    <row r="617" s="29" customFormat="1" ht="11.25"/>
    <row r="618" s="29" customFormat="1" ht="11.25"/>
    <row r="619" s="29" customFormat="1" ht="11.25"/>
    <row r="620" s="29" customFormat="1" ht="11.25"/>
    <row r="621" s="29" customFormat="1" ht="11.25"/>
    <row r="622" s="29" customFormat="1" ht="11.25"/>
    <row r="623" s="29" customFormat="1" ht="11.25"/>
    <row r="624" s="29" customFormat="1" ht="11.25"/>
    <row r="625" s="29" customFormat="1" ht="11.25"/>
    <row r="626" s="29" customFormat="1" ht="11.25"/>
    <row r="627" s="29" customFormat="1" ht="11.25"/>
    <row r="628" s="29" customFormat="1" ht="11.25"/>
    <row r="629" s="29" customFormat="1" ht="11.25"/>
    <row r="630" s="29" customFormat="1" ht="11.25"/>
    <row r="631" s="29" customFormat="1" ht="11.25"/>
    <row r="632" s="29" customFormat="1" ht="11.25"/>
    <row r="633" s="29" customFormat="1" ht="11.25"/>
    <row r="634" s="29" customFormat="1" ht="11.25"/>
    <row r="635" s="29" customFormat="1" ht="11.25"/>
    <row r="636" s="29" customFormat="1" ht="11.25"/>
    <row r="637" s="29" customFormat="1" ht="11.25"/>
    <row r="638" s="29" customFormat="1" ht="11.25"/>
    <row r="639" s="29" customFormat="1" ht="11.25"/>
    <row r="640" s="29" customFormat="1" ht="11.25"/>
    <row r="641" s="29" customFormat="1" ht="11.25"/>
    <row r="642" s="29" customFormat="1" ht="11.25"/>
    <row r="643" s="29" customFormat="1" ht="11.25"/>
    <row r="644" s="29" customFormat="1" ht="11.25"/>
    <row r="645" s="29" customFormat="1" ht="11.25"/>
    <row r="646" s="29" customFormat="1" ht="11.25"/>
    <row r="647" s="29" customFormat="1" ht="11.25"/>
    <row r="648" s="29" customFormat="1" ht="11.25"/>
    <row r="649" s="29" customFormat="1" ht="11.25"/>
    <row r="650" s="29" customFormat="1" ht="11.25"/>
    <row r="651" s="29" customFormat="1" ht="11.25"/>
    <row r="652" s="29" customFormat="1" ht="11.25"/>
    <row r="653" s="29" customFormat="1" ht="11.25"/>
    <row r="654" s="29" customFormat="1" ht="11.25"/>
    <row r="655" s="29" customFormat="1" ht="11.25"/>
    <row r="656" s="29" customFormat="1" ht="11.25"/>
    <row r="657" s="29" customFormat="1" ht="11.25"/>
    <row r="658" s="29" customFormat="1" ht="11.25"/>
    <row r="659" s="29" customFormat="1" ht="11.25"/>
    <row r="660" s="29" customFormat="1" ht="11.25"/>
    <row r="661" s="29" customFormat="1" ht="11.25"/>
    <row r="662" s="29" customFormat="1" ht="11.25"/>
    <row r="663" s="29" customFormat="1" ht="11.25"/>
    <row r="664" s="29" customFormat="1" ht="11.25"/>
    <row r="665" s="29" customFormat="1" ht="11.25"/>
    <row r="666" s="29" customFormat="1" ht="11.25"/>
    <row r="667" s="29" customFormat="1" ht="11.25"/>
    <row r="668" s="29" customFormat="1" ht="11.25"/>
    <row r="669" s="29" customFormat="1" ht="11.25"/>
    <row r="670" s="29" customFormat="1" ht="11.25"/>
    <row r="671" s="29" customFormat="1" ht="11.25"/>
    <row r="672" s="29" customFormat="1" ht="11.25"/>
    <row r="673" s="29" customFormat="1" ht="11.25"/>
    <row r="674" s="29" customFormat="1" ht="11.25"/>
    <row r="675" s="29" customFormat="1" ht="11.25"/>
    <row r="676" s="29" customFormat="1" ht="11.25"/>
    <row r="677" s="29" customFormat="1" ht="11.25"/>
    <row r="678" s="29" customFormat="1" ht="11.25"/>
    <row r="679" s="29" customFormat="1" ht="11.25"/>
    <row r="680" s="29" customFormat="1" ht="11.25"/>
    <row r="681" s="29" customFormat="1" ht="11.25"/>
    <row r="682" s="29" customFormat="1" ht="11.25"/>
    <row r="683" s="29" customFormat="1" ht="11.25"/>
    <row r="684" s="29" customFormat="1" ht="11.25"/>
    <row r="685" s="29" customFormat="1" ht="11.25"/>
    <row r="686" s="29" customFormat="1" ht="11.25"/>
    <row r="687" s="29" customFormat="1" ht="11.25"/>
    <row r="688" s="29" customFormat="1" ht="11.25"/>
    <row r="689" s="29" customFormat="1" ht="11.25"/>
    <row r="690" s="29" customFormat="1" ht="11.25"/>
    <row r="691" s="29" customFormat="1" ht="11.25"/>
    <row r="692" s="29" customFormat="1" ht="11.25"/>
    <row r="693" s="29" customFormat="1" ht="11.25"/>
    <row r="694" s="29" customFormat="1" ht="11.25"/>
    <row r="695" s="29" customFormat="1" ht="11.25"/>
    <row r="696" s="29" customFormat="1" ht="11.25"/>
    <row r="697" s="29" customFormat="1" ht="11.25"/>
    <row r="698" s="29" customFormat="1" ht="11.25"/>
    <row r="699" s="29" customFormat="1" ht="11.25"/>
    <row r="700" s="29" customFormat="1" ht="11.25"/>
    <row r="701" s="29" customFormat="1" ht="11.25"/>
    <row r="702" s="29" customFormat="1" ht="11.25"/>
    <row r="703" s="29" customFormat="1" ht="11.25"/>
    <row r="704" s="29" customFormat="1" ht="11.25"/>
    <row r="705" s="29" customFormat="1" ht="11.25"/>
    <row r="706" s="29" customFormat="1" ht="11.25"/>
    <row r="707" s="29" customFormat="1" ht="11.25"/>
    <row r="708" s="29" customFormat="1" ht="11.25"/>
    <row r="709" s="29" customFormat="1" ht="11.25"/>
    <row r="710" s="29" customFormat="1" ht="11.25"/>
    <row r="711" s="29" customFormat="1" ht="11.25"/>
    <row r="712" s="29" customFormat="1" ht="11.25"/>
    <row r="713" s="29" customFormat="1" ht="11.25"/>
    <row r="714" s="29" customFormat="1" ht="11.25"/>
    <row r="715" s="29" customFormat="1" ht="11.25"/>
    <row r="716" s="29" customFormat="1" ht="11.25"/>
    <row r="717" s="29" customFormat="1" ht="11.25"/>
    <row r="718" s="29" customFormat="1" ht="11.25"/>
    <row r="719" s="29" customFormat="1" ht="11.25"/>
    <row r="720" s="29" customFormat="1" ht="11.25"/>
    <row r="721" s="29" customFormat="1" ht="11.25"/>
    <row r="722" s="29" customFormat="1" ht="11.25"/>
    <row r="723" s="29" customFormat="1" ht="11.25"/>
    <row r="724" s="29" customFormat="1" ht="11.25"/>
    <row r="725" s="29" customFormat="1" ht="11.25"/>
    <row r="726" s="29" customFormat="1" ht="11.25"/>
    <row r="727" s="29" customFormat="1" ht="11.25"/>
    <row r="728" s="29" customFormat="1" ht="11.25"/>
    <row r="729" s="29" customFormat="1" ht="11.25"/>
    <row r="730" s="29" customFormat="1" ht="11.25"/>
    <row r="731" s="29" customFormat="1" ht="11.25"/>
    <row r="732" s="29" customFormat="1" ht="11.25"/>
    <row r="733" s="29" customFormat="1" ht="11.25"/>
    <row r="734" s="29" customFormat="1" ht="11.25"/>
    <row r="735" s="29" customFormat="1" ht="11.25"/>
    <row r="736" s="29" customFormat="1" ht="11.25"/>
    <row r="737" s="29" customFormat="1" ht="11.25"/>
    <row r="738" s="29" customFormat="1" ht="11.25"/>
    <row r="739" s="29" customFormat="1" ht="11.25"/>
    <row r="740" s="29" customFormat="1" ht="11.25"/>
    <row r="741" s="29" customFormat="1" ht="11.25"/>
    <row r="742" s="29" customFormat="1" ht="11.25"/>
    <row r="743" s="29" customFormat="1" ht="11.25"/>
    <row r="744" s="29" customFormat="1" ht="11.25"/>
    <row r="745" s="29" customFormat="1" ht="11.25"/>
    <row r="746" s="29" customFormat="1" ht="11.25"/>
    <row r="747" s="29" customFormat="1" ht="11.25"/>
    <row r="748" s="29" customFormat="1" ht="11.25"/>
    <row r="749" s="29" customFormat="1" ht="11.25"/>
    <row r="750" s="29" customFormat="1" ht="11.25"/>
    <row r="751" s="29" customFormat="1" ht="11.25"/>
    <row r="752" s="29" customFormat="1" ht="11.25"/>
    <row r="753" s="29" customFormat="1" ht="11.25"/>
    <row r="754" s="29" customFormat="1" ht="11.25"/>
    <row r="755" s="29" customFormat="1" ht="11.25"/>
    <row r="756" s="29" customFormat="1" ht="11.25"/>
    <row r="757" s="29" customFormat="1" ht="11.25"/>
    <row r="758" s="29" customFormat="1" ht="11.25"/>
    <row r="759" s="29" customFormat="1" ht="11.25"/>
    <row r="760" s="29" customFormat="1" ht="11.25"/>
    <row r="761" s="29" customFormat="1" ht="11.25"/>
    <row r="762" s="29" customFormat="1" ht="11.25"/>
    <row r="763" s="29" customFormat="1" ht="11.25"/>
    <row r="764" s="29" customFormat="1" ht="11.25"/>
    <row r="765" s="29" customFormat="1" ht="11.25"/>
    <row r="766" s="29" customFormat="1" ht="11.25"/>
    <row r="767" s="29" customFormat="1" ht="11.25"/>
    <row r="768" s="29" customFormat="1" ht="11.25"/>
    <row r="769" s="29" customFormat="1" ht="11.25"/>
    <row r="770" s="29" customFormat="1" ht="11.25"/>
    <row r="771" s="29" customFormat="1" ht="11.25"/>
    <row r="772" s="29" customFormat="1" ht="11.25"/>
    <row r="773" s="29" customFormat="1" ht="11.25"/>
    <row r="774" s="29" customFormat="1" ht="11.25"/>
    <row r="775" s="29" customFormat="1" ht="11.25"/>
    <row r="776" s="29" customFormat="1" ht="11.25"/>
    <row r="777" s="29" customFormat="1" ht="11.25"/>
    <row r="778" s="29" customFormat="1" ht="11.25"/>
    <row r="779" s="29" customFormat="1" ht="11.25"/>
    <row r="780" s="29" customFormat="1" ht="11.25"/>
    <row r="781" s="29" customFormat="1" ht="11.25"/>
    <row r="782" s="29" customFormat="1" ht="11.25"/>
    <row r="783" s="29" customFormat="1" ht="11.25"/>
    <row r="784" s="29" customFormat="1" ht="11.25"/>
    <row r="785" s="29" customFormat="1" ht="11.25"/>
    <row r="786" s="29" customFormat="1" ht="11.25"/>
    <row r="787" s="29" customFormat="1" ht="11.25"/>
    <row r="788" s="29" customFormat="1" ht="11.25"/>
    <row r="789" s="29" customFormat="1" ht="11.25"/>
    <row r="790" s="29" customFormat="1" ht="11.25"/>
    <row r="791" s="29" customFormat="1" ht="11.25"/>
    <row r="792" s="29" customFormat="1" ht="11.25"/>
    <row r="793" s="29" customFormat="1" ht="11.25"/>
    <row r="794" s="29" customFormat="1" ht="11.25"/>
    <row r="795" s="29" customFormat="1" ht="11.25"/>
    <row r="796" s="29" customFormat="1" ht="11.25"/>
    <row r="797" s="29" customFormat="1" ht="11.25"/>
    <row r="798" s="29" customFormat="1" ht="11.25"/>
    <row r="799" s="29" customFormat="1" ht="11.25"/>
    <row r="800" s="29" customFormat="1" ht="11.25"/>
    <row r="801" s="29" customFormat="1" ht="11.25"/>
    <row r="802" s="29" customFormat="1" ht="11.25"/>
    <row r="803" s="29" customFormat="1" ht="11.25"/>
    <row r="804" s="29" customFormat="1" ht="11.25"/>
    <row r="805" s="29" customFormat="1" ht="11.25"/>
    <row r="806" s="29" customFormat="1" ht="11.25"/>
    <row r="807" s="29" customFormat="1" ht="11.25"/>
    <row r="808" s="29" customFormat="1" ht="11.25"/>
    <row r="809" s="29" customFormat="1" ht="11.25"/>
    <row r="810" s="29" customFormat="1" ht="11.25"/>
    <row r="811" s="29" customFormat="1" ht="11.25"/>
    <row r="812" s="29" customFormat="1" ht="11.25"/>
    <row r="813" s="29" customFormat="1" ht="11.25"/>
    <row r="814" s="29" customFormat="1" ht="11.25"/>
    <row r="815" s="29" customFormat="1" ht="11.25"/>
    <row r="816" s="29" customFormat="1" ht="11.25"/>
    <row r="817" s="29" customFormat="1" ht="11.25"/>
    <row r="818" s="29" customFormat="1" ht="11.25"/>
    <row r="819" s="29" customFormat="1" ht="11.25"/>
    <row r="820" s="29" customFormat="1" ht="11.25"/>
    <row r="821" s="29" customFormat="1" ht="11.25"/>
    <row r="822" s="29" customFormat="1" ht="11.25"/>
    <row r="823" s="29" customFormat="1" ht="11.25"/>
    <row r="824" s="29" customFormat="1" ht="11.25"/>
    <row r="825" s="29" customFormat="1" ht="11.25"/>
    <row r="826" s="29" customFormat="1" ht="11.25"/>
    <row r="827" s="29" customFormat="1" ht="11.25"/>
    <row r="828" s="29" customFormat="1" ht="11.25"/>
    <row r="829" s="29" customFormat="1" ht="11.25"/>
    <row r="830" s="29" customFormat="1" ht="11.25"/>
    <row r="831" s="29" customFormat="1" ht="11.25"/>
    <row r="832" s="29" customFormat="1" ht="11.25"/>
    <row r="833" s="29" customFormat="1" ht="11.25"/>
    <row r="834" s="29" customFormat="1" ht="11.25"/>
    <row r="835" s="29" customFormat="1" ht="11.25"/>
    <row r="836" s="29" customFormat="1" ht="11.25"/>
    <row r="837" s="29" customFormat="1" ht="11.25"/>
    <row r="838" s="29" customFormat="1" ht="11.25"/>
    <row r="839" s="29" customFormat="1" ht="11.25"/>
    <row r="840" s="29" customFormat="1" ht="11.25"/>
    <row r="841" s="29" customFormat="1" ht="11.25"/>
    <row r="842" s="29" customFormat="1" ht="11.25"/>
    <row r="843" s="29" customFormat="1" ht="11.25"/>
    <row r="844" s="29" customFormat="1" ht="11.25"/>
    <row r="845" s="29" customFormat="1" ht="11.25"/>
    <row r="846" s="29" customFormat="1" ht="11.25"/>
    <row r="847" s="29" customFormat="1" ht="11.25"/>
    <row r="848" s="29" customFormat="1" ht="11.25"/>
    <row r="849" s="29" customFormat="1" ht="11.25"/>
    <row r="850" s="29" customFormat="1" ht="11.25"/>
    <row r="851" s="29" customFormat="1" ht="11.25"/>
    <row r="852" s="29" customFormat="1" ht="11.25"/>
    <row r="853" s="29" customFormat="1" ht="11.25"/>
    <row r="854" s="29" customFormat="1" ht="11.25"/>
    <row r="855" s="29" customFormat="1" ht="11.25"/>
    <row r="856" s="29" customFormat="1" ht="11.25"/>
    <row r="857" s="29" customFormat="1" ht="11.25"/>
    <row r="858" s="29" customFormat="1" ht="11.25"/>
    <row r="859" s="29" customFormat="1" ht="11.25"/>
    <row r="860" s="29" customFormat="1" ht="11.25"/>
    <row r="861" s="29" customFormat="1" ht="11.25"/>
    <row r="862" s="29" customFormat="1" ht="11.25"/>
    <row r="863" s="29" customFormat="1" ht="11.25"/>
    <row r="864" s="29" customFormat="1" ht="11.25"/>
    <row r="865" s="29" customFormat="1" ht="11.25"/>
    <row r="866" s="29" customFormat="1" ht="11.25"/>
    <row r="867" s="29" customFormat="1" ht="11.25"/>
    <row r="868" s="29" customFormat="1" ht="11.25"/>
    <row r="869" s="29" customFormat="1" ht="11.25"/>
    <row r="870" s="29" customFormat="1" ht="11.25"/>
    <row r="871" s="29" customFormat="1" ht="11.25"/>
    <row r="872" s="29" customFormat="1" ht="11.25"/>
    <row r="873" s="29" customFormat="1" ht="11.25"/>
    <row r="874" s="29" customFormat="1" ht="11.25"/>
    <row r="875" s="29" customFormat="1" ht="11.25"/>
    <row r="876" s="29" customFormat="1" ht="11.25"/>
    <row r="877" s="29" customFormat="1" ht="11.25"/>
    <row r="878" s="29" customFormat="1" ht="11.25"/>
    <row r="879" s="29" customFormat="1" ht="11.25"/>
    <row r="880" s="29" customFormat="1" ht="11.25"/>
    <row r="881" s="29" customFormat="1" ht="11.25"/>
    <row r="882" s="29" customFormat="1" ht="11.25"/>
    <row r="883" s="29" customFormat="1" ht="11.25"/>
    <row r="884" s="29" customFormat="1" ht="11.25"/>
    <row r="885" s="29" customFormat="1" ht="11.25"/>
    <row r="886" s="29" customFormat="1" ht="11.25"/>
    <row r="887" s="29" customFormat="1" ht="11.25"/>
    <row r="888" s="29" customFormat="1" ht="11.25"/>
    <row r="889" s="29" customFormat="1" ht="11.25"/>
    <row r="890" s="29" customFormat="1" ht="11.25"/>
    <row r="891" s="29" customFormat="1" ht="11.25"/>
    <row r="892" s="29" customFormat="1" ht="11.25"/>
    <row r="893" s="29" customFormat="1" ht="11.25"/>
    <row r="894" s="29" customFormat="1" ht="11.25"/>
    <row r="895" s="29" customFormat="1" ht="11.25"/>
    <row r="896" s="29" customFormat="1" ht="11.25"/>
    <row r="897" s="29" customFormat="1" ht="11.25"/>
    <row r="898" s="29" customFormat="1" ht="11.25"/>
    <row r="899" s="29" customFormat="1" ht="11.25"/>
    <row r="900" s="29" customFormat="1" ht="11.25"/>
    <row r="901" s="29" customFormat="1" ht="11.25"/>
    <row r="902" s="29" customFormat="1" ht="11.25"/>
    <row r="903" s="29" customFormat="1" ht="11.25"/>
    <row r="904" s="29" customFormat="1" ht="11.25"/>
    <row r="905" s="29" customFormat="1" ht="11.25"/>
    <row r="906" s="29" customFormat="1" ht="11.25"/>
    <row r="907" s="29" customFormat="1" ht="11.25"/>
    <row r="908" s="29" customFormat="1" ht="11.25"/>
    <row r="909" s="29" customFormat="1" ht="11.25"/>
    <row r="910" s="29" customFormat="1" ht="11.25"/>
    <row r="911" s="29" customFormat="1" ht="11.25"/>
    <row r="912" s="29" customFormat="1" ht="11.25"/>
    <row r="913" s="29" customFormat="1" ht="11.25"/>
    <row r="914" s="29" customFormat="1" ht="11.25"/>
    <row r="915" s="29" customFormat="1" ht="11.25"/>
    <row r="916" s="29" customFormat="1" ht="11.25"/>
    <row r="917" s="29" customFormat="1" ht="11.25"/>
    <row r="918" s="29" customFormat="1" ht="11.25"/>
    <row r="919" s="29" customFormat="1" ht="11.25"/>
    <row r="920" s="29" customFormat="1" ht="11.25"/>
    <row r="921" s="29" customFormat="1" ht="11.25"/>
    <row r="922" s="29" customFormat="1" ht="11.25"/>
    <row r="923" s="29" customFormat="1" ht="11.25"/>
    <row r="924" s="29" customFormat="1" ht="11.25"/>
    <row r="925" s="29" customFormat="1" ht="11.25"/>
    <row r="926" s="29" customFormat="1" ht="11.25"/>
    <row r="927" s="29" customFormat="1" ht="11.25"/>
    <row r="928" s="29" customFormat="1" ht="11.25"/>
    <row r="929" s="29" customFormat="1" ht="11.25"/>
    <row r="930" s="29" customFormat="1" ht="11.25"/>
    <row r="931" s="29" customFormat="1" ht="11.25"/>
    <row r="932" s="29" customFormat="1" ht="11.25"/>
    <row r="933" s="29" customFormat="1" ht="11.25"/>
    <row r="934" s="29" customFormat="1" ht="11.25"/>
    <row r="935" s="29" customFormat="1" ht="11.25"/>
    <row r="936" s="29" customFormat="1" ht="11.25"/>
    <row r="937" s="29" customFormat="1" ht="11.25"/>
    <row r="938" s="29" customFormat="1" ht="11.25"/>
    <row r="939" s="29" customFormat="1" ht="11.25"/>
    <row r="940" s="29" customFormat="1" ht="11.25"/>
    <row r="941" s="29" customFormat="1" ht="11.25"/>
    <row r="942" s="29" customFormat="1" ht="11.25"/>
    <row r="943" s="29" customFormat="1" ht="11.25"/>
    <row r="944" s="29" customFormat="1" ht="11.25"/>
    <row r="945" s="29" customFormat="1" ht="11.25"/>
    <row r="946" s="29" customFormat="1" ht="11.25"/>
    <row r="947" s="29" customFormat="1" ht="11.25"/>
    <row r="948" s="29" customFormat="1" ht="11.25"/>
    <row r="949" s="29" customFormat="1" ht="11.25"/>
    <row r="950" s="29" customFormat="1" ht="11.25"/>
    <row r="951" s="29" customFormat="1" ht="11.25"/>
    <row r="952" s="29" customFormat="1" ht="11.25"/>
    <row r="953" s="29" customFormat="1" ht="11.25"/>
    <row r="954" s="29" customFormat="1" ht="11.25"/>
    <row r="955" s="29" customFormat="1" ht="11.25"/>
    <row r="956" s="29" customFormat="1" ht="11.25"/>
    <row r="957" s="29" customFormat="1" ht="11.25"/>
    <row r="958" s="29" customFormat="1" ht="11.25"/>
    <row r="959" s="29" customFormat="1" ht="11.25"/>
    <row r="960" s="29" customFormat="1" ht="11.25"/>
    <row r="961" s="29" customFormat="1" ht="11.25"/>
    <row r="962" s="29" customFormat="1" ht="11.25"/>
    <row r="963" s="29" customFormat="1" ht="11.25"/>
    <row r="964" s="29" customFormat="1" ht="11.25"/>
    <row r="965" s="29" customFormat="1" ht="11.25"/>
    <row r="966" s="29" customFormat="1" ht="11.25"/>
    <row r="967" s="29" customFormat="1" ht="11.25"/>
    <row r="968" s="29" customFormat="1" ht="11.25"/>
    <row r="969" s="29" customFormat="1" ht="11.25"/>
    <row r="970" s="29" customFormat="1" ht="11.25"/>
    <row r="971" s="29" customFormat="1" ht="11.25"/>
    <row r="972" s="29" customFormat="1" ht="11.25"/>
    <row r="973" s="29" customFormat="1" ht="11.25"/>
    <row r="974" s="29" customFormat="1" ht="11.25"/>
    <row r="975" s="29" customFormat="1" ht="11.25"/>
    <row r="976" s="29" customFormat="1" ht="11.25"/>
    <row r="977" s="29" customFormat="1" ht="11.25"/>
    <row r="978" s="29" customFormat="1" ht="11.25"/>
    <row r="979" s="29" customFormat="1" ht="11.25"/>
    <row r="980" s="29" customFormat="1" ht="11.25"/>
    <row r="981" s="29" customFormat="1" ht="11.25"/>
    <row r="982" s="29" customFormat="1" ht="11.25"/>
    <row r="983" s="29" customFormat="1" ht="11.25"/>
    <row r="984" s="29" customFormat="1" ht="11.25"/>
    <row r="985" s="29" customFormat="1" ht="11.25"/>
    <row r="986" s="29" customFormat="1" ht="11.25"/>
    <row r="987" s="29" customFormat="1" ht="11.25"/>
    <row r="988" s="29" customFormat="1" ht="11.25"/>
    <row r="989" s="29" customFormat="1" ht="11.25"/>
    <row r="990" s="29" customFormat="1" ht="11.25"/>
    <row r="991" s="29" customFormat="1" ht="11.25"/>
    <row r="992" s="29" customFormat="1" ht="11.25"/>
    <row r="993" s="29" customFormat="1" ht="11.25"/>
    <row r="994" s="29" customFormat="1" ht="11.25"/>
    <row r="995" s="29" customFormat="1" ht="11.25"/>
    <row r="996" s="29" customFormat="1" ht="11.25"/>
    <row r="997" s="29" customFormat="1" ht="11.25"/>
    <row r="998" s="29" customFormat="1" ht="11.25"/>
    <row r="999" s="29" customFormat="1" ht="11.25"/>
    <row r="1000" s="29" customFormat="1" ht="11.25"/>
    <row r="1001" s="29" customFormat="1" ht="11.25"/>
    <row r="1002" s="29" customFormat="1" ht="11.25"/>
    <row r="1003" s="29" customFormat="1" ht="11.25"/>
    <row r="1004" s="29" customFormat="1" ht="11.25"/>
    <row r="1005" s="29" customFormat="1" ht="11.25"/>
    <row r="1006" s="29" customFormat="1" ht="11.25"/>
    <row r="1007" s="29" customFormat="1" ht="11.25"/>
    <row r="1008" s="29" customFormat="1" ht="11.25"/>
    <row r="1009" s="29" customFormat="1" ht="11.25"/>
    <row r="1010" s="29" customFormat="1" ht="11.25"/>
    <row r="1011" s="29" customFormat="1" ht="11.25"/>
    <row r="1012" s="29" customFormat="1" ht="11.25"/>
    <row r="1013" s="29" customFormat="1" ht="11.25"/>
    <row r="1014" s="29" customFormat="1" ht="11.25"/>
    <row r="1015" s="29" customFormat="1" ht="11.25"/>
    <row r="1016" s="29" customFormat="1" ht="11.25"/>
    <row r="1017" s="29" customFormat="1" ht="11.25"/>
    <row r="1018" s="29" customFormat="1" ht="11.25"/>
    <row r="1019" s="29" customFormat="1" ht="11.25"/>
    <row r="1020" s="29" customFormat="1" ht="11.25"/>
    <row r="1021" s="29" customFormat="1" ht="11.25"/>
    <row r="1022" s="29" customFormat="1" ht="11.25"/>
    <row r="1023" s="29" customFormat="1" ht="11.25"/>
    <row r="1024" s="29" customFormat="1" ht="11.25"/>
    <row r="1025" s="29" customFormat="1" ht="11.25"/>
    <row r="1026" s="29" customFormat="1" ht="11.25"/>
    <row r="1027" s="29" customFormat="1" ht="11.25"/>
    <row r="1028" s="29" customFormat="1" ht="11.25"/>
    <row r="1029" s="29" customFormat="1" ht="11.25"/>
    <row r="1030" s="29" customFormat="1" ht="11.25"/>
    <row r="1031" s="29" customFormat="1" ht="11.25"/>
    <row r="1032" s="29" customFormat="1" ht="11.25"/>
    <row r="1033" s="29" customFormat="1" ht="11.25"/>
    <row r="1034" s="29" customFormat="1" ht="11.25"/>
    <row r="1035" s="29" customFormat="1" ht="11.25"/>
    <row r="1036" s="29" customFormat="1" ht="11.25"/>
    <row r="1037" s="29" customFormat="1" ht="11.25"/>
    <row r="1038" s="29" customFormat="1" ht="11.25"/>
    <row r="1039" s="29" customFormat="1" ht="11.25"/>
    <row r="1040" s="29" customFormat="1" ht="11.25"/>
    <row r="1041" s="29" customFormat="1" ht="11.25"/>
    <row r="1042" s="29" customFormat="1" ht="11.25"/>
    <row r="1043" s="29" customFormat="1" ht="11.25"/>
    <row r="1044" s="29" customFormat="1" ht="11.25"/>
    <row r="1045" s="29" customFormat="1" ht="11.25"/>
    <row r="1046" s="29" customFormat="1" ht="11.25"/>
    <row r="1047" s="29" customFormat="1" ht="11.25"/>
    <row r="1048" s="29" customFormat="1" ht="11.25"/>
    <row r="1049" s="29" customFormat="1" ht="11.25"/>
    <row r="1050" s="29" customFormat="1" ht="11.25"/>
    <row r="1051" s="29" customFormat="1" ht="11.25"/>
    <row r="1052" s="29" customFormat="1" ht="11.25"/>
    <row r="1053" s="29" customFormat="1" ht="11.25"/>
    <row r="1054" s="29" customFormat="1" ht="11.25"/>
    <row r="1055" s="29" customFormat="1" ht="11.25"/>
    <row r="1056" s="29" customFormat="1" ht="11.25"/>
    <row r="1057" s="29" customFormat="1" ht="11.25"/>
    <row r="1058" s="29" customFormat="1" ht="11.25"/>
    <row r="1059" s="29" customFormat="1" ht="11.25"/>
    <row r="1060" s="29" customFormat="1" ht="11.25"/>
    <row r="1061" s="29" customFormat="1" ht="11.25"/>
    <row r="1062" s="29" customFormat="1" ht="11.25"/>
    <row r="1063" s="29" customFormat="1" ht="11.25"/>
    <row r="1064" s="29" customFormat="1" ht="11.25"/>
    <row r="1065" s="29" customFormat="1" ht="11.25"/>
    <row r="1066" s="29" customFormat="1" ht="11.25"/>
    <row r="1067" s="29" customFormat="1" ht="11.25"/>
    <row r="1068" s="29" customFormat="1" ht="11.25"/>
    <row r="1069" s="29" customFormat="1" ht="11.25"/>
    <row r="1070" s="29" customFormat="1" ht="11.25"/>
    <row r="1071" s="29" customFormat="1" ht="11.25"/>
    <row r="1072" s="29" customFormat="1" ht="11.25"/>
    <row r="1073" s="29" customFormat="1" ht="11.25"/>
    <row r="1074" s="29" customFormat="1" ht="11.25"/>
    <row r="1075" s="29" customFormat="1" ht="11.25"/>
    <row r="1076" s="29" customFormat="1" ht="11.25"/>
    <row r="1077" s="29" customFormat="1" ht="11.25"/>
    <row r="1078" s="29" customFormat="1" ht="11.25"/>
    <row r="1079" s="29" customFormat="1" ht="11.25"/>
    <row r="1080" s="29" customFormat="1" ht="11.25"/>
    <row r="1081" s="29" customFormat="1" ht="11.25"/>
    <row r="1082" s="29" customFormat="1" ht="11.25"/>
    <row r="1083" s="29" customFormat="1" ht="11.25"/>
    <row r="1084" s="29" customFormat="1" ht="11.25"/>
    <row r="1085" s="29" customFormat="1" ht="11.25"/>
    <row r="1086" s="29" customFormat="1" ht="11.25"/>
    <row r="1087" s="29" customFormat="1" ht="11.25"/>
    <row r="1088" s="29" customFormat="1" ht="11.25"/>
    <row r="1089" s="29" customFormat="1" ht="11.25"/>
    <row r="1090" s="29" customFormat="1" ht="11.25"/>
    <row r="1091" s="29" customFormat="1" ht="11.25"/>
    <row r="1092" s="29" customFormat="1" ht="11.25"/>
    <row r="1093" s="29" customFormat="1" ht="11.25"/>
    <row r="1094" s="29" customFormat="1" ht="11.25"/>
    <row r="1095" s="29" customFormat="1" ht="11.25"/>
    <row r="1096" s="29" customFormat="1" ht="11.25"/>
    <row r="1097" s="29" customFormat="1" ht="11.25"/>
    <row r="1098" s="29" customFormat="1" ht="11.25"/>
    <row r="1099" s="29" customFormat="1" ht="11.25"/>
    <row r="1100" s="29" customFormat="1" ht="11.25"/>
    <row r="1101" s="29" customFormat="1" ht="11.25"/>
    <row r="1102" s="29" customFormat="1" ht="11.25"/>
    <row r="1103" s="29" customFormat="1" ht="11.25"/>
    <row r="1104" s="29" customFormat="1" ht="11.25"/>
    <row r="1105" s="29" customFormat="1" ht="11.25"/>
    <row r="1106" s="29" customFormat="1" ht="11.25"/>
    <row r="1107" s="29" customFormat="1" ht="11.25"/>
    <row r="1108" s="29" customFormat="1" ht="11.25"/>
    <row r="1109" s="29" customFormat="1" ht="11.25"/>
    <row r="1110" s="29" customFormat="1" ht="11.25"/>
    <row r="1111" s="29" customFormat="1" ht="11.25"/>
    <row r="1112" s="29" customFormat="1" ht="11.25"/>
    <row r="1113" s="29" customFormat="1" ht="11.25"/>
    <row r="1114" s="29" customFormat="1" ht="11.25"/>
    <row r="1115" s="29" customFormat="1" ht="11.25"/>
    <row r="1116" s="29" customFormat="1" ht="11.25"/>
    <row r="1117" s="29" customFormat="1" ht="11.25"/>
    <row r="1118" s="29" customFormat="1" ht="11.25"/>
    <row r="1119" s="29" customFormat="1" ht="11.25"/>
    <row r="1120" s="29" customFormat="1" ht="11.25"/>
    <row r="1121" s="29" customFormat="1" ht="11.25"/>
    <row r="1122" s="29" customFormat="1" ht="11.25"/>
    <row r="1123" s="29" customFormat="1" ht="11.25"/>
    <row r="1124" s="29" customFormat="1" ht="11.25"/>
    <row r="1125" s="29" customFormat="1" ht="11.25"/>
    <row r="1126" s="29" customFormat="1" ht="11.25"/>
    <row r="1127" s="29" customFormat="1" ht="11.25"/>
    <row r="1128" s="29" customFormat="1" ht="11.25"/>
    <row r="1129" s="29" customFormat="1" ht="11.25"/>
    <row r="1130" s="29" customFormat="1" ht="11.25"/>
    <row r="1131" s="29" customFormat="1" ht="11.25"/>
    <row r="1132" s="29" customFormat="1" ht="11.25"/>
    <row r="1133" s="29" customFormat="1" ht="11.25"/>
    <row r="1134" s="29" customFormat="1" ht="11.25"/>
    <row r="1135" s="29" customFormat="1" ht="11.25"/>
    <row r="1136" s="29" customFormat="1" ht="11.25"/>
    <row r="1137" s="29" customFormat="1" ht="11.25"/>
    <row r="1138" s="29" customFormat="1" ht="11.25"/>
    <row r="1139" s="29" customFormat="1" ht="11.25"/>
    <row r="1140" s="29" customFormat="1" ht="11.25"/>
    <row r="1141" s="29" customFormat="1" ht="11.25"/>
    <row r="1142" s="29" customFormat="1" ht="11.25"/>
    <row r="1143" s="29" customFormat="1" ht="11.25"/>
    <row r="1144" s="29" customFormat="1" ht="11.25"/>
    <row r="1145" s="29" customFormat="1" ht="11.25"/>
    <row r="1146" s="29" customFormat="1" ht="11.25"/>
    <row r="1147" s="29" customFormat="1" ht="11.25"/>
    <row r="1148" s="29" customFormat="1" ht="11.25"/>
    <row r="1149" s="29" customFormat="1" ht="11.25"/>
    <row r="1150" s="29" customFormat="1" ht="11.25"/>
    <row r="1151" s="29" customFormat="1" ht="11.25"/>
    <row r="1152" s="29" customFormat="1" ht="11.25"/>
    <row r="1153" s="29" customFormat="1" ht="11.25"/>
    <row r="1154" s="29" customFormat="1" ht="11.25"/>
    <row r="1155" s="29" customFormat="1" ht="11.25"/>
    <row r="1156" s="29" customFormat="1" ht="11.25"/>
    <row r="1157" s="29" customFormat="1" ht="11.25"/>
    <row r="1158" s="29" customFormat="1" ht="11.25"/>
    <row r="1159" s="29" customFormat="1" ht="11.25"/>
    <row r="1160" s="29" customFormat="1" ht="11.25"/>
    <row r="1161" s="29" customFormat="1" ht="11.25"/>
    <row r="1162" s="29" customFormat="1" ht="11.25"/>
    <row r="1163" s="29" customFormat="1" ht="11.25"/>
    <row r="1164" s="29" customFormat="1" ht="11.25"/>
    <row r="1165" s="29" customFormat="1" ht="11.25"/>
    <row r="1166" s="29" customFormat="1" ht="11.25"/>
    <row r="1167" s="29" customFormat="1" ht="11.25"/>
    <row r="1168" s="29" customFormat="1" ht="11.25"/>
    <row r="1169" s="29" customFormat="1" ht="11.25"/>
    <row r="1170" s="29" customFormat="1" ht="11.25"/>
    <row r="1171" s="29" customFormat="1" ht="11.25"/>
    <row r="1172" s="29" customFormat="1" ht="11.25"/>
    <row r="1173" s="29" customFormat="1" ht="11.25"/>
    <row r="1174" s="29" customFormat="1" ht="11.25"/>
    <row r="1175" s="29" customFormat="1" ht="11.25"/>
    <row r="1176" s="29" customFormat="1" ht="11.25"/>
    <row r="1177" s="29" customFormat="1" ht="11.25"/>
    <row r="1178" s="29" customFormat="1" ht="11.25"/>
    <row r="1179" s="29" customFormat="1" ht="11.25"/>
    <row r="1180" s="29" customFormat="1" ht="11.25"/>
    <row r="1181" s="29" customFormat="1" ht="11.25"/>
    <row r="1182" s="29" customFormat="1" ht="11.25"/>
    <row r="1183" s="29" customFormat="1" ht="11.25"/>
    <row r="1184" s="29" customFormat="1" ht="11.25"/>
    <row r="1185" s="29" customFormat="1" ht="11.25"/>
    <row r="1186" s="29" customFormat="1" ht="11.25"/>
    <row r="1187" s="29" customFormat="1" ht="11.25"/>
    <row r="1188" s="29" customFormat="1" ht="11.25"/>
    <row r="1189" s="29" customFormat="1" ht="11.25"/>
    <row r="1190" s="29" customFormat="1" ht="11.25"/>
    <row r="1191" s="29" customFormat="1" ht="11.25"/>
    <row r="1192" s="29" customFormat="1" ht="11.25"/>
    <row r="1193" s="29" customFormat="1" ht="11.25"/>
    <row r="1194" s="29" customFormat="1" ht="11.25"/>
    <row r="1195" s="29" customFormat="1" ht="11.25"/>
    <row r="1196" s="29" customFormat="1" ht="11.25"/>
    <row r="1197" s="29" customFormat="1" ht="11.25"/>
    <row r="1198" s="29" customFormat="1" ht="11.25"/>
    <row r="1199" s="29" customFormat="1" ht="11.25"/>
    <row r="1200" s="29" customFormat="1" ht="11.25"/>
    <row r="1201" s="29" customFormat="1" ht="11.25"/>
    <row r="1202" s="29" customFormat="1" ht="11.25"/>
    <row r="1203" s="29" customFormat="1" ht="11.25"/>
    <row r="1204" s="29" customFormat="1" ht="11.25"/>
    <row r="1205" s="29" customFormat="1" ht="11.25"/>
    <row r="1206" s="29" customFormat="1" ht="11.25"/>
    <row r="1207" s="29" customFormat="1" ht="11.25"/>
    <row r="1208" s="29" customFormat="1" ht="11.25"/>
    <row r="1209" s="29" customFormat="1" ht="11.25"/>
    <row r="1210" s="29" customFormat="1" ht="11.25"/>
    <row r="1211" s="29" customFormat="1" ht="11.25"/>
    <row r="1212" s="29" customFormat="1" ht="11.25"/>
    <row r="1213" s="29" customFormat="1" ht="11.25"/>
    <row r="1214" s="29" customFormat="1" ht="11.25"/>
    <row r="1215" s="29" customFormat="1" ht="11.25"/>
    <row r="1216" s="29" customFormat="1" ht="11.25"/>
    <row r="1217" s="29" customFormat="1" ht="11.25"/>
    <row r="1218" s="29" customFormat="1" ht="11.25"/>
    <row r="1219" s="29" customFormat="1" ht="11.25"/>
    <row r="1220" s="29" customFormat="1" ht="11.25"/>
    <row r="1221" s="29" customFormat="1" ht="11.25"/>
    <row r="1222" s="29" customFormat="1" ht="11.25"/>
    <row r="1223" s="29" customFormat="1" ht="11.25"/>
    <row r="1224" s="29" customFormat="1" ht="11.25"/>
    <row r="1225" s="29" customFormat="1" ht="11.25"/>
    <row r="1226" s="29" customFormat="1" ht="11.25"/>
    <row r="1227" s="29" customFormat="1" ht="11.25"/>
    <row r="1228" s="29" customFormat="1" ht="11.25"/>
    <row r="1229" s="29" customFormat="1" ht="11.25"/>
    <row r="1230" s="29" customFormat="1" ht="11.25"/>
    <row r="1231" s="29" customFormat="1" ht="11.25"/>
    <row r="1232" s="29" customFormat="1" ht="11.25"/>
    <row r="1233" s="29" customFormat="1" ht="11.25"/>
    <row r="1234" s="29" customFormat="1" ht="11.25"/>
    <row r="1235" s="29" customFormat="1" ht="11.25"/>
    <row r="1236" s="29" customFormat="1" ht="11.25"/>
    <row r="1237" s="29" customFormat="1" ht="11.25"/>
    <row r="1238" s="29" customFormat="1" ht="11.25"/>
    <row r="1239" s="29" customFormat="1" ht="11.25"/>
    <row r="1240" s="29" customFormat="1" ht="11.25"/>
    <row r="1241" s="29" customFormat="1" ht="11.25"/>
    <row r="1242" s="29" customFormat="1" ht="11.25"/>
    <row r="1243" s="29" customFormat="1" ht="11.25"/>
    <row r="1244" s="29" customFormat="1" ht="11.25"/>
    <row r="1245" s="29" customFormat="1" ht="11.25"/>
    <row r="1246" s="29" customFormat="1" ht="11.25"/>
    <row r="1247" s="29" customFormat="1" ht="11.25"/>
    <row r="1248" s="29" customFormat="1" ht="11.25"/>
    <row r="1249" s="29" customFormat="1" ht="11.25"/>
    <row r="1250" s="29" customFormat="1" ht="11.25"/>
    <row r="1251" s="29" customFormat="1" ht="11.25"/>
    <row r="1252" s="29" customFormat="1" ht="11.25"/>
    <row r="1253" s="29" customFormat="1" ht="11.25"/>
    <row r="1254" s="29" customFormat="1" ht="11.25"/>
    <row r="1255" s="29" customFormat="1" ht="11.25"/>
    <row r="1256" s="29" customFormat="1" ht="11.25"/>
    <row r="1257" s="29" customFormat="1" ht="11.25"/>
    <row r="1258" s="29" customFormat="1" ht="11.25"/>
    <row r="1259" s="29" customFormat="1" ht="11.25"/>
    <row r="1260" s="29" customFormat="1" ht="11.25"/>
    <row r="1261" s="29" customFormat="1" ht="11.25"/>
    <row r="1262" s="29" customFormat="1" ht="11.25"/>
    <row r="1263" s="29" customFormat="1" ht="11.25"/>
    <row r="1264" s="29" customFormat="1" ht="11.25"/>
    <row r="1265" s="29" customFormat="1" ht="11.25"/>
    <row r="1266" s="29" customFormat="1" ht="11.25"/>
    <row r="1267" s="29" customFormat="1" ht="11.25"/>
    <row r="1268" s="29" customFormat="1" ht="11.25"/>
    <row r="1269" s="29" customFormat="1" ht="11.25"/>
    <row r="1270" s="29" customFormat="1" ht="11.25"/>
    <row r="1271" s="29" customFormat="1" ht="11.25"/>
    <row r="1272" s="29" customFormat="1" ht="11.25"/>
  </sheetData>
  <printOptions horizontalCentered="1"/>
  <pageMargins left="0.417" right="0.417" top="0.5" bottom="0.5" header="0" footer="0"/>
  <pageSetup horizontalDpi="300" verticalDpi="300" orientation="portrait" scale="95"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Q73"/>
  <sheetViews>
    <sheetView workbookViewId="0" topLeftCell="A1">
      <selection activeCell="A1" sqref="A1"/>
    </sheetView>
  </sheetViews>
  <sheetFormatPr defaultColWidth="9.7109375" defaultRowHeight="12.75"/>
  <cols>
    <col min="1" max="1" width="6.00390625" style="89" customWidth="1"/>
    <col min="2" max="2" width="1.7109375" style="89" customWidth="1"/>
    <col min="3" max="3" width="7.421875" style="89" customWidth="1"/>
    <col min="4" max="4" width="1.8515625" style="89" customWidth="1"/>
    <col min="5" max="5" width="8.421875" style="89" customWidth="1"/>
    <col min="6" max="6" width="9.7109375" style="89" customWidth="1"/>
    <col min="7" max="7" width="8.28125" style="89" customWidth="1"/>
    <col min="8" max="8" width="9.28125" style="89" customWidth="1"/>
    <col min="9" max="9" width="7.8515625" style="89" customWidth="1"/>
    <col min="10" max="10" width="8.140625" style="89" customWidth="1"/>
    <col min="11" max="11" width="9.140625" style="89" customWidth="1"/>
    <col min="12" max="12" width="1.57421875" style="89" customWidth="1"/>
    <col min="13" max="13" width="8.28125" style="89" customWidth="1"/>
    <col min="14" max="14" width="8.57421875" style="89" customWidth="1"/>
    <col min="15" max="15" width="1.7109375" style="89" customWidth="1"/>
    <col min="16" max="16" width="6.140625" style="89" customWidth="1"/>
    <col min="17" max="17" width="14.7109375" style="89" customWidth="1"/>
    <col min="18" max="18" width="7.7109375" style="89" customWidth="1"/>
    <col min="19" max="16384" width="9.7109375" style="89" customWidth="1"/>
  </cols>
  <sheetData>
    <row r="1" spans="1:15" ht="12">
      <c r="A1" s="86" t="s">
        <v>160</v>
      </c>
      <c r="B1" s="86"/>
      <c r="C1" s="87"/>
      <c r="D1" s="87"/>
      <c r="E1" s="87"/>
      <c r="F1" s="87"/>
      <c r="G1" s="87"/>
      <c r="H1" s="87"/>
      <c r="I1" s="87"/>
      <c r="J1" s="87"/>
      <c r="K1" s="87"/>
      <c r="L1" s="87"/>
      <c r="M1" s="87"/>
      <c r="N1" s="87"/>
      <c r="O1" s="88"/>
    </row>
    <row r="2" spans="1:15" ht="12">
      <c r="A2" s="90"/>
      <c r="B2" s="90"/>
      <c r="C2" s="91"/>
      <c r="D2" s="92"/>
      <c r="E2" s="93"/>
      <c r="F2" s="93"/>
      <c r="G2" s="93"/>
      <c r="H2" s="93" t="s">
        <v>85</v>
      </c>
      <c r="I2" s="94"/>
      <c r="J2" s="94"/>
      <c r="K2" s="93"/>
      <c r="L2" s="90"/>
      <c r="M2" s="90"/>
      <c r="N2" s="90"/>
      <c r="O2" s="95" t="s">
        <v>11</v>
      </c>
    </row>
    <row r="3" spans="1:15" ht="12">
      <c r="A3" s="96" t="s">
        <v>86</v>
      </c>
      <c r="B3" s="97"/>
      <c r="C3" s="98" t="s">
        <v>87</v>
      </c>
      <c r="D3" s="98"/>
      <c r="E3" s="90"/>
      <c r="F3" s="97" t="s">
        <v>88</v>
      </c>
      <c r="G3" s="97" t="s">
        <v>89</v>
      </c>
      <c r="H3" s="97" t="s">
        <v>90</v>
      </c>
      <c r="I3" s="97" t="s">
        <v>91</v>
      </c>
      <c r="J3" s="97" t="s">
        <v>92</v>
      </c>
      <c r="K3" s="97" t="s">
        <v>93</v>
      </c>
      <c r="L3" s="97"/>
      <c r="M3" s="97" t="s">
        <v>91</v>
      </c>
      <c r="N3" s="97" t="s">
        <v>94</v>
      </c>
      <c r="O3" s="95"/>
    </row>
    <row r="4" spans="1:15" ht="12">
      <c r="A4" s="99" t="s">
        <v>95</v>
      </c>
      <c r="B4" s="99"/>
      <c r="C4" s="100" t="s">
        <v>96</v>
      </c>
      <c r="D4" s="100"/>
      <c r="E4" s="100" t="s">
        <v>97</v>
      </c>
      <c r="F4" s="100" t="s">
        <v>98</v>
      </c>
      <c r="G4" s="100" t="s">
        <v>99</v>
      </c>
      <c r="H4" s="100" t="s">
        <v>100</v>
      </c>
      <c r="I4" s="100" t="s">
        <v>101</v>
      </c>
      <c r="J4" s="100" t="s">
        <v>102</v>
      </c>
      <c r="K4" s="100" t="s">
        <v>103</v>
      </c>
      <c r="L4" s="100"/>
      <c r="M4" s="100" t="s">
        <v>104</v>
      </c>
      <c r="N4" s="100" t="s">
        <v>105</v>
      </c>
      <c r="O4" s="101" t="s">
        <v>11</v>
      </c>
    </row>
    <row r="5" spans="1:14" ht="12">
      <c r="A5" s="102"/>
      <c r="B5" s="102"/>
      <c r="C5" s="102"/>
      <c r="D5" s="102"/>
      <c r="E5" s="102"/>
      <c r="F5" s="102"/>
      <c r="G5" s="102"/>
      <c r="H5" s="90" t="s">
        <v>106</v>
      </c>
      <c r="I5" s="102"/>
      <c r="J5" s="102"/>
      <c r="K5" s="102"/>
      <c r="L5" s="102"/>
      <c r="M5" s="102"/>
      <c r="N5" s="102"/>
    </row>
    <row r="6" spans="1:14" ht="3" customHeight="1">
      <c r="A6" s="102"/>
      <c r="B6" s="102"/>
      <c r="C6" s="102"/>
      <c r="D6" s="102"/>
      <c r="E6" s="102"/>
      <c r="F6" s="102"/>
      <c r="G6" s="102"/>
      <c r="H6" s="90" t="s">
        <v>11</v>
      </c>
      <c r="I6" s="102"/>
      <c r="J6" s="102"/>
      <c r="K6" s="102"/>
      <c r="L6" s="102"/>
      <c r="M6" s="102"/>
      <c r="N6" s="102"/>
    </row>
    <row r="7" spans="1:14" ht="9.75" customHeight="1">
      <c r="A7" s="103">
        <v>1977</v>
      </c>
      <c r="B7" s="103"/>
      <c r="C7" s="104">
        <v>117171</v>
      </c>
      <c r="D7" s="104"/>
      <c r="E7" s="104">
        <f>+F7+G7+H7+I7+J7+K7</f>
        <v>171902</v>
      </c>
      <c r="F7" s="104">
        <v>36947</v>
      </c>
      <c r="G7" s="104">
        <v>32783</v>
      </c>
      <c r="H7" s="104">
        <v>79949</v>
      </c>
      <c r="I7" s="104">
        <v>14597</v>
      </c>
      <c r="J7" s="104">
        <f>2797+2474</f>
        <v>5271</v>
      </c>
      <c r="K7" s="104">
        <v>2355</v>
      </c>
      <c r="L7" s="104"/>
      <c r="M7" s="104">
        <v>28424</v>
      </c>
      <c r="N7" s="104">
        <v>37837</v>
      </c>
    </row>
    <row r="8" spans="1:14" ht="9.75" customHeight="1">
      <c r="A8" s="103">
        <v>1978</v>
      </c>
      <c r="B8" s="103"/>
      <c r="C8" s="104">
        <v>112336</v>
      </c>
      <c r="D8" s="104"/>
      <c r="E8" s="104">
        <f>+F8+G8+H8+I8+J8+K8</f>
        <v>174274</v>
      </c>
      <c r="F8" s="104">
        <v>37839</v>
      </c>
      <c r="G8" s="104">
        <v>33243</v>
      </c>
      <c r="H8" s="104">
        <v>79539</v>
      </c>
      <c r="I8" s="104">
        <v>15406</v>
      </c>
      <c r="J8" s="104">
        <f>2660+2127</f>
        <v>4787</v>
      </c>
      <c r="K8" s="104">
        <v>3460</v>
      </c>
      <c r="L8" s="104"/>
      <c r="M8" s="104">
        <v>38963</v>
      </c>
      <c r="N8" s="104">
        <v>40741</v>
      </c>
    </row>
    <row r="9" spans="1:14" ht="9.75" customHeight="1">
      <c r="A9" s="103">
        <v>1979</v>
      </c>
      <c r="B9" s="103"/>
      <c r="C9" s="104">
        <v>115109</v>
      </c>
      <c r="D9" s="104"/>
      <c r="E9" s="104">
        <f>+F9+G9+H9+I9+J9+K9</f>
        <v>166104</v>
      </c>
      <c r="F9" s="104">
        <v>38276</v>
      </c>
      <c r="G9" s="104">
        <v>30784</v>
      </c>
      <c r="H9" s="104">
        <v>74320</v>
      </c>
      <c r="I9" s="104">
        <v>14420</v>
      </c>
      <c r="J9" s="104">
        <f>2479+2251</f>
        <v>4730</v>
      </c>
      <c r="K9" s="104">
        <v>3574</v>
      </c>
      <c r="L9" s="104"/>
      <c r="M9" s="104">
        <v>25202</v>
      </c>
      <c r="N9" s="104">
        <v>36032</v>
      </c>
    </row>
    <row r="10" spans="1:14" ht="3" customHeight="1">
      <c r="A10" s="103"/>
      <c r="B10" s="103"/>
      <c r="C10" s="104"/>
      <c r="D10" s="104"/>
      <c r="E10" s="104"/>
      <c r="F10" s="104"/>
      <c r="G10" s="104"/>
      <c r="H10" s="104"/>
      <c r="I10" s="104"/>
      <c r="J10" s="104"/>
      <c r="K10" s="104"/>
      <c r="L10" s="104"/>
      <c r="M10" s="104"/>
      <c r="N10" s="104"/>
    </row>
    <row r="11" spans="1:14" ht="9.75" customHeight="1">
      <c r="A11" s="103">
        <v>1980</v>
      </c>
      <c r="B11" s="103"/>
      <c r="C11" s="104">
        <v>98066</v>
      </c>
      <c r="D11" s="104"/>
      <c r="E11" s="104">
        <f aca="true" t="shared" si="0" ref="E11:E20">+F11+G11+H11+I11+J11+K11</f>
        <v>153230</v>
      </c>
      <c r="F11" s="104">
        <v>37894</v>
      </c>
      <c r="G11" s="104">
        <v>28222</v>
      </c>
      <c r="H11" s="104">
        <v>67208</v>
      </c>
      <c r="I11" s="104">
        <v>13673</v>
      </c>
      <c r="J11" s="104">
        <f>2054+1993</f>
        <v>4047</v>
      </c>
      <c r="K11" s="104">
        <v>2186</v>
      </c>
      <c r="L11" s="104"/>
      <c r="M11" s="104">
        <v>22992</v>
      </c>
      <c r="N11" s="104">
        <v>29617</v>
      </c>
    </row>
    <row r="12" spans="1:14" ht="9.75" customHeight="1">
      <c r="A12" s="103">
        <v>1981</v>
      </c>
      <c r="B12" s="103"/>
      <c r="C12" s="104">
        <v>111976</v>
      </c>
      <c r="D12" s="104"/>
      <c r="E12" s="104">
        <f t="shared" si="0"/>
        <v>172328</v>
      </c>
      <c r="F12" s="104">
        <v>39344</v>
      </c>
      <c r="G12" s="104">
        <v>29875</v>
      </c>
      <c r="H12" s="104">
        <v>79829</v>
      </c>
      <c r="I12" s="104">
        <v>16812</v>
      </c>
      <c r="J12" s="104">
        <f>2469+1700</f>
        <v>4169</v>
      </c>
      <c r="K12" s="104">
        <v>2299</v>
      </c>
      <c r="L12" s="104"/>
      <c r="M12" s="104">
        <v>23976</v>
      </c>
      <c r="N12" s="104">
        <v>32343</v>
      </c>
    </row>
    <row r="13" spans="1:14" ht="9.75" customHeight="1">
      <c r="A13" s="103">
        <v>1982</v>
      </c>
      <c r="B13" s="103"/>
      <c r="C13" s="104">
        <v>120232</v>
      </c>
      <c r="D13" s="104"/>
      <c r="E13" s="104">
        <f t="shared" si="0"/>
        <v>170891</v>
      </c>
      <c r="F13" s="104">
        <v>40650</v>
      </c>
      <c r="G13" s="104">
        <v>27720</v>
      </c>
      <c r="H13" s="104">
        <v>76013</v>
      </c>
      <c r="I13" s="104">
        <v>17290</v>
      </c>
      <c r="J13" s="104">
        <f>2743+1839</f>
        <v>4582</v>
      </c>
      <c r="K13" s="104">
        <v>4636</v>
      </c>
      <c r="L13" s="104"/>
      <c r="M13" s="104">
        <v>25721</v>
      </c>
      <c r="N13" s="104">
        <v>38287</v>
      </c>
    </row>
    <row r="14" spans="1:14" ht="9.75" customHeight="1">
      <c r="A14" s="103">
        <v>1983</v>
      </c>
      <c r="B14" s="103"/>
      <c r="C14" s="104">
        <v>107295</v>
      </c>
      <c r="D14" s="104"/>
      <c r="E14" s="104">
        <f t="shared" si="0"/>
        <v>171229</v>
      </c>
      <c r="F14" s="104">
        <v>43311</v>
      </c>
      <c r="G14" s="104">
        <v>26754</v>
      </c>
      <c r="H14" s="104">
        <v>74350</v>
      </c>
      <c r="I14" s="104">
        <v>19655</v>
      </c>
      <c r="J14" s="104">
        <f>2137+1994</f>
        <v>4131</v>
      </c>
      <c r="K14" s="104">
        <v>3028</v>
      </c>
      <c r="L14" s="104"/>
      <c r="M14" s="104">
        <v>24604</v>
      </c>
      <c r="N14" s="104">
        <v>30601</v>
      </c>
    </row>
    <row r="15" spans="1:14" ht="9.75" customHeight="1">
      <c r="A15" s="103">
        <v>1984</v>
      </c>
      <c r="B15" s="103"/>
      <c r="C15" s="104">
        <v>113187</v>
      </c>
      <c r="D15" s="104"/>
      <c r="E15" s="104">
        <f t="shared" si="0"/>
        <v>185680</v>
      </c>
      <c r="F15" s="104">
        <v>42339</v>
      </c>
      <c r="G15" s="104">
        <v>27845</v>
      </c>
      <c r="H15" s="104">
        <v>87350</v>
      </c>
      <c r="I15" s="104">
        <v>20322</v>
      </c>
      <c r="J15" s="104">
        <f>2589+1834</f>
        <v>4423</v>
      </c>
      <c r="K15" s="104">
        <v>3401</v>
      </c>
      <c r="L15" s="104"/>
      <c r="M15" s="104">
        <v>27414</v>
      </c>
      <c r="N15" s="104">
        <v>35758</v>
      </c>
    </row>
    <row r="16" spans="1:14" ht="9.75" customHeight="1">
      <c r="A16" s="103">
        <v>1985</v>
      </c>
      <c r="B16" s="103"/>
      <c r="C16" s="104">
        <v>125006</v>
      </c>
      <c r="D16" s="104"/>
      <c r="E16" s="104">
        <f t="shared" si="0"/>
        <v>192842</v>
      </c>
      <c r="F16" s="104">
        <v>42217</v>
      </c>
      <c r="G16" s="104">
        <v>29958</v>
      </c>
      <c r="H16" s="104">
        <v>94741</v>
      </c>
      <c r="I16" s="104">
        <v>17856</v>
      </c>
      <c r="J16" s="104">
        <f>2971+1610</f>
        <v>4581</v>
      </c>
      <c r="K16" s="104">
        <v>3489</v>
      </c>
      <c r="L16" s="104"/>
      <c r="M16" s="104">
        <v>27993</v>
      </c>
      <c r="N16" s="104">
        <v>60768</v>
      </c>
    </row>
    <row r="17" spans="1:14" ht="9.75" customHeight="1">
      <c r="A17" s="103">
        <v>1986</v>
      </c>
      <c r="B17" s="103"/>
      <c r="C17" s="104">
        <v>109331</v>
      </c>
      <c r="D17" s="104"/>
      <c r="E17" s="104">
        <f t="shared" si="0"/>
        <v>193117</v>
      </c>
      <c r="F17" s="104">
        <v>45814</v>
      </c>
      <c r="G17" s="104">
        <v>28445</v>
      </c>
      <c r="H17" s="104">
        <v>96244</v>
      </c>
      <c r="I17" s="104">
        <v>15708</v>
      </c>
      <c r="J17" s="104">
        <f>2790+1308</f>
        <v>4098</v>
      </c>
      <c r="K17" s="104">
        <v>2808</v>
      </c>
      <c r="L17" s="104"/>
      <c r="M17" s="104">
        <v>24692</v>
      </c>
      <c r="N17" s="104">
        <v>34603</v>
      </c>
    </row>
    <row r="18" spans="1:14" ht="9.75" customHeight="1">
      <c r="A18" s="103">
        <v>1987</v>
      </c>
      <c r="B18" s="103"/>
      <c r="C18" s="104">
        <v>129097</v>
      </c>
      <c r="D18" s="104"/>
      <c r="E18" s="104">
        <f t="shared" si="0"/>
        <v>197837</v>
      </c>
      <c r="F18" s="104">
        <v>40593</v>
      </c>
      <c r="G18" s="104">
        <v>30823</v>
      </c>
      <c r="H18" s="104">
        <v>101377</v>
      </c>
      <c r="I18" s="104">
        <v>18305</v>
      </c>
      <c r="J18" s="104">
        <f>2958+1597</f>
        <v>4555</v>
      </c>
      <c r="K18" s="104">
        <v>2184</v>
      </c>
      <c r="L18" s="104"/>
      <c r="M18" s="104">
        <v>24831</v>
      </c>
      <c r="N18" s="104">
        <v>37555</v>
      </c>
    </row>
    <row r="19" spans="1:14" ht="9.75" customHeight="1">
      <c r="A19" s="103">
        <v>1988</v>
      </c>
      <c r="B19" s="103"/>
      <c r="C19" s="104">
        <v>108348</v>
      </c>
      <c r="D19" s="104"/>
      <c r="E19" s="104">
        <f t="shared" si="0"/>
        <v>192737</v>
      </c>
      <c r="F19" s="104">
        <v>44539</v>
      </c>
      <c r="G19" s="104">
        <v>28786</v>
      </c>
      <c r="H19" s="104">
        <v>95466</v>
      </c>
      <c r="I19" s="104">
        <v>17558</v>
      </c>
      <c r="J19" s="104">
        <f>2941+2031</f>
        <v>4972</v>
      </c>
      <c r="K19" s="104">
        <v>1416</v>
      </c>
      <c r="L19" s="104"/>
      <c r="M19" s="104">
        <v>24476</v>
      </c>
      <c r="N19" s="104">
        <v>30877</v>
      </c>
    </row>
    <row r="20" spans="1:14" ht="9.75" customHeight="1">
      <c r="A20" s="103">
        <v>1989</v>
      </c>
      <c r="B20" s="103"/>
      <c r="C20" s="104">
        <v>113932</v>
      </c>
      <c r="D20" s="104"/>
      <c r="E20" s="104">
        <f t="shared" si="0"/>
        <v>200726</v>
      </c>
      <c r="F20" s="104">
        <v>43071</v>
      </c>
      <c r="G20" s="104">
        <v>32187</v>
      </c>
      <c r="H20" s="104">
        <v>100459</v>
      </c>
      <c r="I20" s="104">
        <v>19115</v>
      </c>
      <c r="J20" s="104">
        <f>3138+1858</f>
        <v>4996</v>
      </c>
      <c r="K20" s="104">
        <v>898</v>
      </c>
      <c r="L20" s="104"/>
      <c r="M20" s="104">
        <v>25088</v>
      </c>
      <c r="N20" s="104">
        <v>30696</v>
      </c>
    </row>
    <row r="21" spans="1:14" ht="3" customHeight="1">
      <c r="A21" s="103"/>
      <c r="B21" s="103"/>
      <c r="C21" s="104"/>
      <c r="D21" s="104"/>
      <c r="E21" s="104"/>
      <c r="F21" s="104"/>
      <c r="G21" s="104"/>
      <c r="H21" s="104"/>
      <c r="I21" s="104"/>
      <c r="J21" s="104"/>
      <c r="K21" s="104"/>
      <c r="L21" s="104"/>
      <c r="M21" s="104"/>
      <c r="N21" s="104"/>
    </row>
    <row r="22" spans="1:14" ht="9.75" customHeight="1">
      <c r="A22" s="103">
        <v>1990</v>
      </c>
      <c r="B22" s="103"/>
      <c r="C22" s="104">
        <v>119545</v>
      </c>
      <c r="D22" s="104"/>
      <c r="E22" s="104">
        <f aca="true" t="shared" si="1" ref="E22:E31">+F22+G22+H22+I22+J22+K22</f>
        <v>221997</v>
      </c>
      <c r="F22" s="104">
        <v>44489</v>
      </c>
      <c r="G22" s="104">
        <v>38838</v>
      </c>
      <c r="H22" s="104">
        <v>108455</v>
      </c>
      <c r="I22" s="104">
        <v>23915</v>
      </c>
      <c r="J22" s="104">
        <f>2526+2075</f>
        <v>4601</v>
      </c>
      <c r="K22" s="104">
        <v>1699</v>
      </c>
      <c r="L22" s="104"/>
      <c r="M22" s="104">
        <v>26290</v>
      </c>
      <c r="N22" s="104">
        <v>34278</v>
      </c>
    </row>
    <row r="23" spans="1:14" ht="9.75" customHeight="1">
      <c r="A23" s="103">
        <v>1991</v>
      </c>
      <c r="B23" s="103"/>
      <c r="C23" s="104">
        <v>126953</v>
      </c>
      <c r="D23" s="104"/>
      <c r="E23" s="104">
        <f t="shared" si="1"/>
        <v>226560</v>
      </c>
      <c r="F23" s="104">
        <v>45850</v>
      </c>
      <c r="G23" s="104">
        <v>40395</v>
      </c>
      <c r="H23" s="104">
        <v>111128</v>
      </c>
      <c r="I23" s="104">
        <v>23097</v>
      </c>
      <c r="J23" s="104">
        <f>2465+1886</f>
        <v>4351</v>
      </c>
      <c r="K23" s="104">
        <v>1739</v>
      </c>
      <c r="L23" s="104"/>
      <c r="M23" s="104">
        <v>25685</v>
      </c>
      <c r="N23" s="104">
        <v>38424</v>
      </c>
    </row>
    <row r="24" spans="1:14" ht="9.75" customHeight="1">
      <c r="A24" s="103">
        <v>1992</v>
      </c>
      <c r="B24" s="103"/>
      <c r="C24" s="104">
        <v>127106</v>
      </c>
      <c r="D24" s="104"/>
      <c r="E24" s="104">
        <f t="shared" si="1"/>
        <v>228922</v>
      </c>
      <c r="F24" s="104">
        <v>48455</v>
      </c>
      <c r="G24" s="104">
        <v>38078</v>
      </c>
      <c r="H24" s="104">
        <v>112496</v>
      </c>
      <c r="I24" s="104">
        <v>23016</v>
      </c>
      <c r="J24" s="104">
        <f>2710+2557</f>
        <v>5267</v>
      </c>
      <c r="K24" s="104">
        <v>1610</v>
      </c>
      <c r="L24" s="104"/>
      <c r="M24" s="104">
        <v>29609</v>
      </c>
      <c r="N24" s="104">
        <v>39730</v>
      </c>
    </row>
    <row r="25" spans="1:14" ht="9.75" customHeight="1">
      <c r="A25" s="103">
        <v>1993</v>
      </c>
      <c r="B25" s="103"/>
      <c r="C25" s="104">
        <v>125379</v>
      </c>
      <c r="D25" s="104"/>
      <c r="E25" s="104">
        <f t="shared" si="1"/>
        <v>242087</v>
      </c>
      <c r="F25" s="104">
        <v>48987</v>
      </c>
      <c r="G25" s="104">
        <v>40795</v>
      </c>
      <c r="H25" s="104">
        <v>121087</v>
      </c>
      <c r="I25" s="104">
        <v>25190</v>
      </c>
      <c r="J25" s="104">
        <f>1879+2458</f>
        <v>4337</v>
      </c>
      <c r="K25" s="104">
        <v>1691</v>
      </c>
      <c r="L25" s="104"/>
      <c r="M25" s="104">
        <v>26751</v>
      </c>
      <c r="N25" s="104">
        <v>36132</v>
      </c>
    </row>
    <row r="26" spans="1:14" ht="9.75" customHeight="1">
      <c r="A26" s="103">
        <v>1994</v>
      </c>
      <c r="B26" s="103"/>
      <c r="C26" s="104">
        <v>136106</v>
      </c>
      <c r="D26" s="104"/>
      <c r="E26" s="104">
        <f t="shared" si="1"/>
        <v>261258</v>
      </c>
      <c r="F26" s="104">
        <v>49299</v>
      </c>
      <c r="G26" s="104">
        <v>41381</v>
      </c>
      <c r="H26" s="104">
        <v>136531</v>
      </c>
      <c r="I26" s="104">
        <v>26362</v>
      </c>
      <c r="J26" s="104">
        <v>5509</v>
      </c>
      <c r="K26" s="104">
        <v>2176</v>
      </c>
      <c r="L26" s="104"/>
      <c r="M26" s="104">
        <v>28815</v>
      </c>
      <c r="N26" s="104">
        <v>43246</v>
      </c>
    </row>
    <row r="27" spans="1:14" ht="9.75" customHeight="1">
      <c r="A27" s="103">
        <v>1995</v>
      </c>
      <c r="B27" s="103"/>
      <c r="C27" s="104">
        <v>124875</v>
      </c>
      <c r="D27" s="104"/>
      <c r="E27" s="104">
        <f t="shared" si="1"/>
        <v>255846</v>
      </c>
      <c r="F27" s="104">
        <v>47284</v>
      </c>
      <c r="G27" s="104">
        <v>45065</v>
      </c>
      <c r="H27" s="104">
        <v>129029</v>
      </c>
      <c r="I27" s="104">
        <v>27073</v>
      </c>
      <c r="J27" s="104">
        <v>5727</v>
      </c>
      <c r="K27" s="104">
        <v>1668</v>
      </c>
      <c r="L27" s="104"/>
      <c r="M27" s="104">
        <v>28993</v>
      </c>
      <c r="N27" s="104">
        <v>35385</v>
      </c>
    </row>
    <row r="28" spans="1:14" ht="9.75" customHeight="1">
      <c r="A28" s="103">
        <v>1996</v>
      </c>
      <c r="B28" s="103"/>
      <c r="C28" s="104">
        <v>131446</v>
      </c>
      <c r="D28" s="104"/>
      <c r="E28" s="104">
        <f t="shared" si="1"/>
        <v>283935</v>
      </c>
      <c r="F28" s="104">
        <v>48305</v>
      </c>
      <c r="G28" s="104">
        <v>54261</v>
      </c>
      <c r="H28" s="104">
        <v>145489</v>
      </c>
      <c r="I28" s="104">
        <v>28972</v>
      </c>
      <c r="J28" s="104">
        <v>4952</v>
      </c>
      <c r="K28" s="104">
        <v>1956</v>
      </c>
      <c r="L28" s="104"/>
      <c r="M28" s="104">
        <v>36414</v>
      </c>
      <c r="N28" s="104">
        <v>47459</v>
      </c>
    </row>
    <row r="29" spans="1:14" ht="9.75" customHeight="1">
      <c r="A29" s="103">
        <v>1997</v>
      </c>
      <c r="B29" s="103"/>
      <c r="C29" s="104">
        <v>131670</v>
      </c>
      <c r="D29" s="104"/>
      <c r="E29" s="104">
        <f t="shared" si="1"/>
        <v>268352</v>
      </c>
      <c r="F29" s="104">
        <v>48130</v>
      </c>
      <c r="G29" s="104">
        <v>48389</v>
      </c>
      <c r="H29" s="104">
        <v>131628</v>
      </c>
      <c r="I29" s="104">
        <v>33397</v>
      </c>
      <c r="J29" s="104">
        <v>5497</v>
      </c>
      <c r="K29" s="104">
        <v>1311</v>
      </c>
      <c r="L29" s="104"/>
      <c r="M29" s="104">
        <v>29411</v>
      </c>
      <c r="N29" s="104">
        <v>37658</v>
      </c>
    </row>
    <row r="30" spans="1:14" ht="9.75" customHeight="1">
      <c r="A30" s="103">
        <v>1998</v>
      </c>
      <c r="B30" s="103"/>
      <c r="C30" s="104">
        <v>125413</v>
      </c>
      <c r="D30" s="104"/>
      <c r="E30" s="104">
        <f t="shared" si="1"/>
        <v>281169</v>
      </c>
      <c r="F30" s="104">
        <v>51471</v>
      </c>
      <c r="G30" s="104">
        <v>56665</v>
      </c>
      <c r="H30" s="104">
        <v>142933</v>
      </c>
      <c r="I30" s="104">
        <v>23821</v>
      </c>
      <c r="J30" s="104">
        <v>4694</v>
      </c>
      <c r="K30" s="104">
        <v>1585</v>
      </c>
      <c r="L30" s="104"/>
      <c r="M30" s="104">
        <v>27970</v>
      </c>
      <c r="N30" s="104">
        <v>41220</v>
      </c>
    </row>
    <row r="31" spans="1:14" ht="9.75" customHeight="1">
      <c r="A31" s="103">
        <v>1999</v>
      </c>
      <c r="B31" s="103"/>
      <c r="C31" s="104">
        <v>134443</v>
      </c>
      <c r="D31" s="104"/>
      <c r="E31" s="104">
        <f t="shared" si="1"/>
        <v>274057</v>
      </c>
      <c r="F31" s="104">
        <v>52792</v>
      </c>
      <c r="G31" s="104">
        <v>51697</v>
      </c>
      <c r="H31" s="104">
        <v>139958</v>
      </c>
      <c r="I31" s="104">
        <v>22595</v>
      </c>
      <c r="J31" s="104">
        <v>5705</v>
      </c>
      <c r="K31" s="104">
        <v>1310</v>
      </c>
      <c r="L31" s="104"/>
      <c r="M31" s="104">
        <v>28617</v>
      </c>
      <c r="N31" s="104">
        <v>41100</v>
      </c>
    </row>
    <row r="32" spans="1:14" ht="3" customHeight="1">
      <c r="A32" s="103"/>
      <c r="B32" s="103"/>
      <c r="C32" s="104"/>
      <c r="D32" s="104"/>
      <c r="E32" s="104"/>
      <c r="F32" s="104"/>
      <c r="G32" s="104"/>
      <c r="H32" s="104"/>
      <c r="I32" s="104"/>
      <c r="J32" s="104"/>
      <c r="K32" s="104"/>
      <c r="L32" s="104"/>
      <c r="M32" s="104"/>
      <c r="N32" s="104"/>
    </row>
    <row r="33" spans="1:17" ht="9.75" customHeight="1">
      <c r="A33" s="103" t="s">
        <v>107</v>
      </c>
      <c r="B33" s="103"/>
      <c r="C33" s="104">
        <v>141500</v>
      </c>
      <c r="D33" s="104"/>
      <c r="E33" s="104">
        <f>+F33+G33+H33+I33+J33+K33</f>
        <v>283915</v>
      </c>
      <c r="F33" s="104">
        <v>52050</v>
      </c>
      <c r="G33" s="104">
        <v>56250</v>
      </c>
      <c r="H33" s="104">
        <v>141675</v>
      </c>
      <c r="I33" s="104">
        <v>26605</v>
      </c>
      <c r="J33" s="104">
        <v>5500</v>
      </c>
      <c r="K33" s="104">
        <v>1835</v>
      </c>
      <c r="L33" s="104"/>
      <c r="M33" s="104">
        <v>34135</v>
      </c>
      <c r="N33" s="104">
        <v>56535</v>
      </c>
      <c r="Q33" s="105"/>
    </row>
    <row r="34" spans="1:15" ht="13.5" customHeight="1">
      <c r="A34" s="106" t="s">
        <v>108</v>
      </c>
      <c r="B34" s="107"/>
      <c r="C34" s="108"/>
      <c r="D34" s="108"/>
      <c r="E34" s="108"/>
      <c r="F34" s="108"/>
      <c r="G34" s="108"/>
      <c r="H34" s="108"/>
      <c r="I34" s="108"/>
      <c r="J34" s="108"/>
      <c r="K34" s="108"/>
      <c r="L34" s="108"/>
      <c r="M34" s="109"/>
      <c r="N34" s="110"/>
      <c r="O34" s="111"/>
    </row>
    <row r="35" spans="1:15" ht="10.5" customHeight="1">
      <c r="A35" s="112" t="s">
        <v>109</v>
      </c>
      <c r="B35" s="113"/>
      <c r="C35" s="114"/>
      <c r="D35" s="114"/>
      <c r="E35" s="114"/>
      <c r="F35" s="114"/>
      <c r="G35" s="114"/>
      <c r="H35" s="114"/>
      <c r="I35" s="114"/>
      <c r="J35" s="114"/>
      <c r="K35" s="114"/>
      <c r="L35" s="114"/>
      <c r="M35" s="115"/>
      <c r="N35" s="116"/>
      <c r="O35" s="117"/>
    </row>
    <row r="36" spans="1:14" ht="13.5" customHeight="1">
      <c r="A36" s="118" t="s">
        <v>13</v>
      </c>
      <c r="B36" s="118"/>
      <c r="C36" s="102"/>
      <c r="D36" s="102"/>
      <c r="E36" s="102"/>
      <c r="F36" s="102"/>
      <c r="G36" s="102"/>
      <c r="H36" s="102"/>
      <c r="I36" s="102"/>
      <c r="J36" s="102"/>
      <c r="K36" s="102"/>
      <c r="L36" s="102"/>
      <c r="M36" s="119" t="s">
        <v>11</v>
      </c>
      <c r="N36" s="102"/>
    </row>
    <row r="38" ht="13.5" customHeight="1">
      <c r="G38" s="120"/>
    </row>
    <row r="39" spans="1:2" ht="13.5" customHeight="1">
      <c r="A39" s="120"/>
      <c r="B39" s="120"/>
    </row>
    <row r="40" spans="1:5" ht="13.5" customHeight="1">
      <c r="A40" s="121"/>
      <c r="B40" s="121"/>
      <c r="E40" s="120"/>
    </row>
    <row r="41" ht="13.5" customHeight="1">
      <c r="H41" s="120"/>
    </row>
    <row r="48" spans="1:14" ht="12">
      <c r="A48" s="121"/>
      <c r="B48" s="121"/>
      <c r="M48" s="122"/>
      <c r="N48" s="122"/>
    </row>
    <row r="49" spans="1:14" ht="12">
      <c r="A49" s="121"/>
      <c r="B49" s="121"/>
      <c r="M49" s="122"/>
      <c r="N49" s="122"/>
    </row>
    <row r="50" spans="1:14" ht="12">
      <c r="A50" s="121"/>
      <c r="B50" s="121"/>
      <c r="M50" s="122"/>
      <c r="N50" s="122"/>
    </row>
    <row r="51" spans="1:14" ht="12">
      <c r="A51" s="121"/>
      <c r="B51" s="121"/>
      <c r="M51" s="122"/>
      <c r="N51" s="122"/>
    </row>
    <row r="52" spans="1:14" ht="12">
      <c r="A52" s="121"/>
      <c r="B52" s="121"/>
      <c r="M52" s="122"/>
      <c r="N52" s="122"/>
    </row>
    <row r="53" spans="1:14" ht="12">
      <c r="A53" s="121"/>
      <c r="B53" s="121"/>
      <c r="M53" s="122"/>
      <c r="N53" s="122"/>
    </row>
    <row r="54" spans="1:14" ht="12">
      <c r="A54" s="121"/>
      <c r="B54" s="121"/>
      <c r="M54" s="122"/>
      <c r="N54" s="122"/>
    </row>
    <row r="55" spans="1:14" ht="12">
      <c r="A55" s="121"/>
      <c r="B55" s="121"/>
      <c r="M55" s="122"/>
      <c r="N55" s="122"/>
    </row>
    <row r="56" spans="1:14" ht="12">
      <c r="A56" s="121"/>
      <c r="B56" s="121"/>
      <c r="M56" s="122"/>
      <c r="N56" s="122"/>
    </row>
    <row r="57" spans="1:14" ht="12">
      <c r="A57" s="121"/>
      <c r="B57" s="121"/>
      <c r="M57" s="122"/>
      <c r="N57" s="122"/>
    </row>
    <row r="58" spans="1:14" ht="12">
      <c r="A58" s="121"/>
      <c r="B58" s="121"/>
      <c r="M58" s="122"/>
      <c r="N58" s="122"/>
    </row>
    <row r="59" spans="1:14" ht="12">
      <c r="A59" s="121"/>
      <c r="B59" s="121"/>
      <c r="M59" s="122"/>
      <c r="N59" s="122"/>
    </row>
    <row r="60" spans="1:14" ht="12">
      <c r="A60" s="121"/>
      <c r="B60" s="121"/>
      <c r="M60" s="122"/>
      <c r="N60" s="122"/>
    </row>
    <row r="61" spans="1:14" ht="12">
      <c r="A61" s="121"/>
      <c r="B61" s="121"/>
      <c r="M61" s="122"/>
      <c r="N61" s="122"/>
    </row>
    <row r="62" spans="1:14" ht="12">
      <c r="A62" s="121"/>
      <c r="B62" s="121"/>
      <c r="M62" s="122"/>
      <c r="N62" s="122"/>
    </row>
    <row r="63" spans="1:14" ht="12">
      <c r="A63" s="121"/>
      <c r="B63" s="121"/>
      <c r="C63" s="122"/>
      <c r="D63" s="122"/>
      <c r="E63" s="122"/>
      <c r="F63" s="122"/>
      <c r="G63" s="122"/>
      <c r="H63" s="122"/>
      <c r="I63" s="122"/>
      <c r="J63" s="122"/>
      <c r="K63" s="122"/>
      <c r="L63" s="122"/>
      <c r="M63" s="122"/>
      <c r="N63" s="122"/>
    </row>
    <row r="64" spans="1:14" ht="12">
      <c r="A64" s="121"/>
      <c r="B64" s="121"/>
      <c r="C64" s="122"/>
      <c r="D64" s="122"/>
      <c r="E64" s="122"/>
      <c r="F64" s="122"/>
      <c r="G64" s="122"/>
      <c r="H64" s="122"/>
      <c r="I64" s="122"/>
      <c r="J64" s="122"/>
      <c r="K64" s="122"/>
      <c r="L64" s="122"/>
      <c r="M64" s="122"/>
      <c r="N64" s="122"/>
    </row>
    <row r="65" spans="1:14" ht="12">
      <c r="A65" s="121"/>
      <c r="B65" s="121"/>
      <c r="M65" s="122"/>
      <c r="N65" s="122"/>
    </row>
    <row r="66" spans="1:14" ht="12">
      <c r="A66" s="121"/>
      <c r="B66" s="121"/>
      <c r="M66" s="122"/>
      <c r="N66" s="122"/>
    </row>
    <row r="67" spans="1:14" ht="12">
      <c r="A67" s="121"/>
      <c r="B67" s="121"/>
      <c r="M67" s="122"/>
      <c r="N67" s="122"/>
    </row>
    <row r="68" spans="13:14" ht="12">
      <c r="M68" s="122"/>
      <c r="N68" s="122"/>
    </row>
    <row r="69" ht="12">
      <c r="M69" s="122"/>
    </row>
    <row r="73" spans="1:2" ht="12">
      <c r="A73" s="121"/>
      <c r="B73" s="121"/>
    </row>
  </sheetData>
  <printOptions horizontalCentered="1"/>
  <pageMargins left="0.417" right="0.417" top="0.667" bottom="0.667" header="0" footer="0"/>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transitionEvaluation="1"/>
  <dimension ref="A1:Y20"/>
  <sheetViews>
    <sheetView showGridLines="0" workbookViewId="0" topLeftCell="A1">
      <selection activeCell="E26" sqref="E26"/>
    </sheetView>
  </sheetViews>
  <sheetFormatPr defaultColWidth="9.7109375" defaultRowHeight="12.75"/>
  <cols>
    <col min="1" max="1" width="11.28125" style="54" customWidth="1"/>
    <col min="2" max="4" width="10.7109375" style="54" customWidth="1"/>
    <col min="5" max="5" width="12.140625" style="54" customWidth="1"/>
    <col min="6" max="9" width="10.7109375" style="54" customWidth="1"/>
    <col min="10" max="14" width="9.7109375" style="54" customWidth="1"/>
    <col min="15" max="15" width="2.7109375" style="54" customWidth="1"/>
    <col min="16" max="16" width="9.7109375" style="54" customWidth="1"/>
    <col min="17" max="17" width="2.7109375" style="54" customWidth="1"/>
    <col min="18" max="18" width="9.7109375" style="54" customWidth="1"/>
    <col min="19" max="19" width="2.7109375" style="54" customWidth="1"/>
    <col min="20" max="20" width="9.7109375" style="54" customWidth="1"/>
    <col min="21" max="21" width="2.7109375" style="54" customWidth="1"/>
    <col min="22" max="16384" width="9.7109375" style="54" customWidth="1"/>
  </cols>
  <sheetData>
    <row r="1" spans="1:9" ht="12.75" customHeight="1">
      <c r="A1" s="50" t="s">
        <v>191</v>
      </c>
      <c r="B1" s="51"/>
      <c r="C1" s="52"/>
      <c r="D1" s="52"/>
      <c r="E1" s="53"/>
      <c r="F1" s="53"/>
      <c r="G1" s="53"/>
      <c r="H1" s="53"/>
      <c r="I1" s="53"/>
    </row>
    <row r="2" spans="1:9" ht="12.75" customHeight="1">
      <c r="A2" s="55" t="s">
        <v>53</v>
      </c>
      <c r="B2" s="56">
        <v>1993</v>
      </c>
      <c r="C2" s="57">
        <v>1994</v>
      </c>
      <c r="D2" s="57">
        <v>1995</v>
      </c>
      <c r="E2" s="58">
        <v>1996</v>
      </c>
      <c r="F2" s="58">
        <v>1997</v>
      </c>
      <c r="G2" s="58">
        <v>1998</v>
      </c>
      <c r="H2" s="58">
        <v>1999</v>
      </c>
      <c r="I2" s="58">
        <v>2000</v>
      </c>
    </row>
    <row r="3" spans="1:9" ht="12.75" customHeight="1">
      <c r="A3" s="53"/>
      <c r="B3" s="59" t="s">
        <v>54</v>
      </c>
      <c r="C3" s="60"/>
      <c r="D3" s="59"/>
      <c r="E3" s="59"/>
      <c r="F3" s="59"/>
      <c r="G3" s="59"/>
      <c r="H3" s="59"/>
      <c r="I3" s="59"/>
    </row>
    <row r="4" spans="1:9" ht="4.5" customHeight="1">
      <c r="A4" s="53"/>
      <c r="B4" s="53"/>
      <c r="C4" s="53"/>
      <c r="D4" s="53"/>
      <c r="E4" s="53"/>
      <c r="F4" s="61"/>
      <c r="G4" s="61"/>
      <c r="H4" s="61"/>
      <c r="I4" s="61"/>
    </row>
    <row r="5" spans="1:9" ht="10.5" customHeight="1">
      <c r="A5" s="62" t="s">
        <v>55</v>
      </c>
      <c r="B5" s="63">
        <v>557.472</v>
      </c>
      <c r="C5" s="63">
        <v>572.811</v>
      </c>
      <c r="D5" s="63">
        <v>677.189</v>
      </c>
      <c r="E5" s="63">
        <v>694.212</v>
      </c>
      <c r="F5" s="63">
        <v>520.555</v>
      </c>
      <c r="G5" s="63">
        <v>545.663</v>
      </c>
      <c r="H5" s="63">
        <v>597.442</v>
      </c>
      <c r="I5" s="63">
        <v>597.77</v>
      </c>
    </row>
    <row r="6" spans="1:9" ht="10.5" customHeight="1">
      <c r="A6" s="62" t="s">
        <v>56</v>
      </c>
      <c r="B6" s="63">
        <v>407.272</v>
      </c>
      <c r="C6" s="63">
        <v>443.747</v>
      </c>
      <c r="D6" s="63">
        <v>446.144</v>
      </c>
      <c r="E6" s="63">
        <v>408.596</v>
      </c>
      <c r="F6" s="63">
        <v>414.261</v>
      </c>
      <c r="G6" s="63">
        <v>410.915</v>
      </c>
      <c r="H6" s="63">
        <v>442.477</v>
      </c>
      <c r="I6" s="63">
        <v>408.058</v>
      </c>
    </row>
    <row r="7" spans="1:9" ht="10.5" customHeight="1">
      <c r="A7" s="62" t="s">
        <v>57</v>
      </c>
      <c r="B7" s="63">
        <v>180.693</v>
      </c>
      <c r="C7" s="63">
        <v>171.643</v>
      </c>
      <c r="D7" s="63">
        <v>171.925</v>
      </c>
      <c r="E7" s="63">
        <v>192.55100000000002</v>
      </c>
      <c r="F7" s="63">
        <v>153.014</v>
      </c>
      <c r="G7" s="63">
        <v>144.331</v>
      </c>
      <c r="H7" s="63">
        <v>172.425</v>
      </c>
      <c r="I7" s="63">
        <v>175.704</v>
      </c>
    </row>
    <row r="8" spans="1:9" ht="10.5" customHeight="1">
      <c r="A8" s="62" t="s">
        <v>58</v>
      </c>
      <c r="B8" s="63">
        <v>120.115</v>
      </c>
      <c r="C8" s="63">
        <v>134.098</v>
      </c>
      <c r="D8" s="63">
        <v>137.599</v>
      </c>
      <c r="E8" s="63">
        <v>151.546</v>
      </c>
      <c r="F8" s="63">
        <v>136.03900000000002</v>
      </c>
      <c r="G8" s="63">
        <v>149.767</v>
      </c>
      <c r="H8" s="63">
        <v>140.642</v>
      </c>
      <c r="I8" s="63">
        <v>176.017</v>
      </c>
    </row>
    <row r="9" spans="1:9" ht="10.5" customHeight="1">
      <c r="A9" s="62" t="s">
        <v>59</v>
      </c>
      <c r="B9" s="63">
        <v>121.732</v>
      </c>
      <c r="C9" s="63">
        <v>128.52</v>
      </c>
      <c r="D9" s="63">
        <v>133.767</v>
      </c>
      <c r="E9" s="63">
        <v>151.674</v>
      </c>
      <c r="F9" s="63">
        <v>130.083</v>
      </c>
      <c r="G9" s="63">
        <v>125.13</v>
      </c>
      <c r="H9" s="63">
        <v>124.758</v>
      </c>
      <c r="I9" s="63">
        <v>135.69</v>
      </c>
    </row>
    <row r="10" spans="1:9" ht="10.5" customHeight="1">
      <c r="A10" s="62" t="s">
        <v>60</v>
      </c>
      <c r="B10" s="63">
        <v>100.956</v>
      </c>
      <c r="C10" s="63">
        <v>131.187</v>
      </c>
      <c r="D10" s="63">
        <v>103.619</v>
      </c>
      <c r="E10" s="63">
        <v>125.562</v>
      </c>
      <c r="F10" s="63">
        <v>111.017</v>
      </c>
      <c r="G10" s="63">
        <v>126.656</v>
      </c>
      <c r="H10" s="63">
        <v>129.766</v>
      </c>
      <c r="I10" s="63">
        <v>112.19</v>
      </c>
    </row>
    <row r="11" spans="1:9" ht="10.5" customHeight="1">
      <c r="A11" s="62" t="s">
        <v>61</v>
      </c>
      <c r="B11" s="63">
        <v>92.994</v>
      </c>
      <c r="C11" s="63">
        <v>93.115</v>
      </c>
      <c r="D11" s="63">
        <v>97.068</v>
      </c>
      <c r="E11" s="63">
        <v>96.502</v>
      </c>
      <c r="F11" s="63">
        <v>91.494</v>
      </c>
      <c r="G11" s="63">
        <v>103.979</v>
      </c>
      <c r="H11" s="63">
        <v>89.744</v>
      </c>
      <c r="I11" s="63">
        <v>114.772</v>
      </c>
    </row>
    <row r="12" spans="1:9" ht="10.5" customHeight="1">
      <c r="A12" s="62" t="s">
        <v>62</v>
      </c>
      <c r="B12" s="63">
        <v>87.912</v>
      </c>
      <c r="C12" s="63">
        <v>92.971</v>
      </c>
      <c r="D12" s="63">
        <v>85.354</v>
      </c>
      <c r="E12" s="63">
        <v>106.596</v>
      </c>
      <c r="F12" s="63">
        <v>84.667</v>
      </c>
      <c r="G12" s="63">
        <v>105.822</v>
      </c>
      <c r="H12" s="63">
        <v>93.123</v>
      </c>
      <c r="I12" s="63">
        <v>114.901</v>
      </c>
    </row>
    <row r="13" spans="1:23" ht="10.5" customHeight="1">
      <c r="A13" s="62" t="s">
        <v>63</v>
      </c>
      <c r="B13" s="63">
        <v>102.391</v>
      </c>
      <c r="C13" s="63">
        <v>86.854</v>
      </c>
      <c r="D13" s="63">
        <v>81.428</v>
      </c>
      <c r="E13" s="63">
        <v>94.642</v>
      </c>
      <c r="F13" s="63">
        <v>69.505</v>
      </c>
      <c r="G13" s="63">
        <v>82.60300000000001</v>
      </c>
      <c r="H13" s="63">
        <v>105.562</v>
      </c>
      <c r="I13" s="63">
        <v>91.537</v>
      </c>
      <c r="N13" s="64"/>
      <c r="P13" s="64"/>
      <c r="R13" s="64"/>
      <c r="T13" s="64"/>
      <c r="V13" s="64"/>
      <c r="W13" s="64"/>
    </row>
    <row r="14" spans="1:25" ht="12" customHeight="1">
      <c r="A14" s="62" t="s">
        <v>64</v>
      </c>
      <c r="B14" s="63">
        <v>85.96</v>
      </c>
      <c r="C14" s="63">
        <v>79.329</v>
      </c>
      <c r="D14" s="63">
        <v>80.081</v>
      </c>
      <c r="E14" s="63">
        <v>126.165</v>
      </c>
      <c r="F14" s="63">
        <v>109.761</v>
      </c>
      <c r="G14" s="63">
        <v>128.329</v>
      </c>
      <c r="H14" s="63">
        <v>126.221</v>
      </c>
      <c r="I14" s="63">
        <v>87.679</v>
      </c>
      <c r="N14" s="64"/>
      <c r="O14" s="64"/>
      <c r="P14" s="64"/>
      <c r="Q14" s="64"/>
      <c r="R14" s="64"/>
      <c r="S14" s="64"/>
      <c r="T14" s="64"/>
      <c r="U14" s="64"/>
      <c r="V14" s="64"/>
      <c r="W14" s="64"/>
      <c r="X14" s="64"/>
      <c r="Y14" s="64"/>
    </row>
    <row r="15" spans="1:9" ht="10.5" customHeight="1">
      <c r="A15" s="62" t="s">
        <v>65</v>
      </c>
      <c r="B15" s="63">
        <v>110.295</v>
      </c>
      <c r="C15" s="63">
        <v>130.639</v>
      </c>
      <c r="D15" s="63">
        <v>114.465</v>
      </c>
      <c r="E15" s="63">
        <v>121.566</v>
      </c>
      <c r="F15" s="63">
        <v>68.965</v>
      </c>
      <c r="G15" s="63">
        <v>103.723</v>
      </c>
      <c r="H15" s="63">
        <v>105.444</v>
      </c>
      <c r="I15" s="63">
        <v>100.243</v>
      </c>
    </row>
    <row r="16" spans="1:9" ht="10.5" customHeight="1">
      <c r="A16" s="62" t="s">
        <v>66</v>
      </c>
      <c r="B16" s="63">
        <f aca="true" t="shared" si="0" ref="B16:I16">B18-SUM(B5:B15)</f>
        <v>329.471</v>
      </c>
      <c r="C16" s="63">
        <f t="shared" si="0"/>
        <v>355.6420000000003</v>
      </c>
      <c r="D16" s="63">
        <f t="shared" si="0"/>
        <v>362.95700000000033</v>
      </c>
      <c r="E16" s="63">
        <f t="shared" si="0"/>
        <v>332.49900000000025</v>
      </c>
      <c r="F16" s="63">
        <f t="shared" si="0"/>
        <v>349.62600000000043</v>
      </c>
      <c r="G16" s="63">
        <f t="shared" si="0"/>
        <v>360.4350000000002</v>
      </c>
      <c r="H16" s="63">
        <f t="shared" si="0"/>
        <v>324.4540000000002</v>
      </c>
      <c r="I16" s="63">
        <f t="shared" si="0"/>
        <v>354.80099999999993</v>
      </c>
    </row>
    <row r="17" spans="1:9" ht="4.5" customHeight="1">
      <c r="A17" s="53"/>
      <c r="B17" s="63"/>
      <c r="C17" s="63"/>
      <c r="D17" s="63"/>
      <c r="E17" s="65"/>
      <c r="F17" s="65"/>
      <c r="G17" s="65"/>
      <c r="H17" s="65"/>
      <c r="I17" s="65"/>
    </row>
    <row r="18" spans="1:9" ht="12.75" customHeight="1">
      <c r="A18" s="66" t="s">
        <v>67</v>
      </c>
      <c r="B18" s="67">
        <v>2297.263</v>
      </c>
      <c r="C18" s="67">
        <v>2420.556</v>
      </c>
      <c r="D18" s="67">
        <v>2491.596</v>
      </c>
      <c r="E18" s="67">
        <v>2602.111</v>
      </c>
      <c r="F18" s="67">
        <v>2238.987</v>
      </c>
      <c r="G18" s="67">
        <v>2387.353</v>
      </c>
      <c r="H18" s="67">
        <v>2452.058</v>
      </c>
      <c r="I18" s="67">
        <v>2469.362</v>
      </c>
    </row>
    <row r="19" spans="1:9" ht="12">
      <c r="A19" s="68" t="s">
        <v>68</v>
      </c>
      <c r="B19" s="69"/>
      <c r="C19" s="70"/>
      <c r="D19" s="71"/>
      <c r="E19" s="71"/>
      <c r="F19" s="71"/>
      <c r="G19" s="71"/>
      <c r="H19" s="71"/>
      <c r="I19" s="71"/>
    </row>
    <row r="20" spans="3:5" ht="12">
      <c r="C20" s="64"/>
      <c r="D20" s="64"/>
      <c r="E20" s="64"/>
    </row>
  </sheetData>
  <printOptions horizontalCentered="1"/>
  <pageMargins left="0.417" right="0.417" top="0.5" bottom="0" header="0" footer="0"/>
  <pageSetup horizontalDpi="200" verticalDpi="200" orientation="portrait" scale="95" r:id="rId1"/>
</worksheet>
</file>

<file path=xl/worksheets/sheet5.xml><?xml version="1.0" encoding="utf-8"?>
<worksheet xmlns="http://schemas.openxmlformats.org/spreadsheetml/2006/main" xmlns:r="http://schemas.openxmlformats.org/officeDocument/2006/relationships">
  <sheetPr transitionEvaluation="1"/>
  <dimension ref="A1:O85"/>
  <sheetViews>
    <sheetView workbookViewId="0" topLeftCell="A1">
      <selection activeCell="A1" sqref="A1"/>
    </sheetView>
  </sheetViews>
  <sheetFormatPr defaultColWidth="9.7109375" defaultRowHeight="12.75"/>
  <cols>
    <col min="1" max="1" width="6.421875" style="89" customWidth="1"/>
    <col min="2" max="12" width="7.421875" style="89" customWidth="1"/>
    <col min="13" max="13" width="7.00390625" style="89" customWidth="1"/>
    <col min="14" max="14" width="7.421875" style="89" customWidth="1"/>
    <col min="15" max="15" width="6.7109375" style="89" customWidth="1"/>
    <col min="16" max="16384" width="9.7109375" style="89" customWidth="1"/>
  </cols>
  <sheetData>
    <row r="1" spans="1:14" ht="12" customHeight="1">
      <c r="A1" s="86" t="s">
        <v>161</v>
      </c>
      <c r="B1" s="87"/>
      <c r="C1" s="87"/>
      <c r="D1" s="87"/>
      <c r="E1" s="87"/>
      <c r="F1" s="87"/>
      <c r="G1" s="87"/>
      <c r="H1" s="87"/>
      <c r="I1" s="87"/>
      <c r="J1" s="87"/>
      <c r="K1" s="87"/>
      <c r="L1" s="87"/>
      <c r="M1" s="87"/>
      <c r="N1" s="87"/>
    </row>
    <row r="2" spans="1:14" ht="12" customHeight="1">
      <c r="A2" s="102"/>
      <c r="B2" s="102"/>
      <c r="C2" s="102"/>
      <c r="D2" s="102"/>
      <c r="E2" s="102"/>
      <c r="F2" s="102"/>
      <c r="G2" s="102"/>
      <c r="H2" s="102"/>
      <c r="I2" s="102"/>
      <c r="J2" s="102"/>
      <c r="K2" s="102"/>
      <c r="L2" s="102"/>
      <c r="M2" s="102"/>
      <c r="N2" s="123" t="s">
        <v>110</v>
      </c>
    </row>
    <row r="3" spans="1:14" ht="12" customHeight="1">
      <c r="A3" s="99" t="s">
        <v>14</v>
      </c>
      <c r="B3" s="124" t="s">
        <v>111</v>
      </c>
      <c r="C3" s="124" t="s">
        <v>112</v>
      </c>
      <c r="D3" s="124" t="s">
        <v>113</v>
      </c>
      <c r="E3" s="124" t="s">
        <v>114</v>
      </c>
      <c r="F3" s="124" t="s">
        <v>115</v>
      </c>
      <c r="G3" s="124" t="s">
        <v>116</v>
      </c>
      <c r="H3" s="124" t="s">
        <v>51</v>
      </c>
      <c r="I3" s="124" t="s">
        <v>117</v>
      </c>
      <c r="J3" s="124" t="s">
        <v>118</v>
      </c>
      <c r="K3" s="124" t="s">
        <v>52</v>
      </c>
      <c r="L3" s="124" t="s">
        <v>119</v>
      </c>
      <c r="M3" s="124" t="s">
        <v>120</v>
      </c>
      <c r="N3" s="124" t="s">
        <v>72</v>
      </c>
    </row>
    <row r="4" spans="1:14" ht="12" customHeight="1">
      <c r="A4" s="102"/>
      <c r="B4" s="102"/>
      <c r="C4" s="102"/>
      <c r="D4" s="102"/>
      <c r="E4" s="102"/>
      <c r="F4" s="102"/>
      <c r="G4" s="90" t="s">
        <v>121</v>
      </c>
      <c r="H4" s="102"/>
      <c r="I4" s="102"/>
      <c r="J4" s="102"/>
      <c r="K4" s="102"/>
      <c r="L4" s="102"/>
      <c r="M4" s="102"/>
      <c r="N4" s="102"/>
    </row>
    <row r="5" ht="9.75" customHeight="1">
      <c r="A5" s="125" t="s">
        <v>122</v>
      </c>
    </row>
    <row r="6" spans="1:14" ht="9" customHeight="1">
      <c r="A6" s="126" t="s">
        <v>123</v>
      </c>
      <c r="B6" s="127" t="s">
        <v>124</v>
      </c>
      <c r="C6" s="127" t="s">
        <v>124</v>
      </c>
      <c r="D6" s="127" t="s">
        <v>124</v>
      </c>
      <c r="E6" s="127" t="s">
        <v>124</v>
      </c>
      <c r="F6" s="127" t="s">
        <v>124</v>
      </c>
      <c r="G6" s="127" t="s">
        <v>124</v>
      </c>
      <c r="H6" s="127">
        <v>13.3</v>
      </c>
      <c r="I6" s="127">
        <v>12</v>
      </c>
      <c r="J6" s="127">
        <v>7.24</v>
      </c>
      <c r="K6" s="127">
        <v>5.65</v>
      </c>
      <c r="L6" s="127">
        <v>5.21</v>
      </c>
      <c r="M6" s="127">
        <v>5.29</v>
      </c>
      <c r="N6" s="127">
        <v>7.54</v>
      </c>
    </row>
    <row r="7" spans="1:14" ht="9" customHeight="1">
      <c r="A7" s="126" t="s">
        <v>125</v>
      </c>
      <c r="B7" s="127">
        <v>5.74</v>
      </c>
      <c r="C7" s="127">
        <v>5.99</v>
      </c>
      <c r="D7" s="127">
        <v>6.39</v>
      </c>
      <c r="E7" s="127">
        <v>7.08</v>
      </c>
      <c r="F7" s="127">
        <v>8.48</v>
      </c>
      <c r="G7" s="127">
        <v>8.54</v>
      </c>
      <c r="H7" s="127">
        <v>6.57</v>
      </c>
      <c r="I7" s="127">
        <v>3.88</v>
      </c>
      <c r="J7" s="127">
        <v>3.07</v>
      </c>
      <c r="K7" s="127">
        <v>3.05</v>
      </c>
      <c r="L7" s="127">
        <v>3.34</v>
      </c>
      <c r="M7" s="127">
        <v>2.84</v>
      </c>
      <c r="N7" s="127">
        <v>4.16</v>
      </c>
    </row>
    <row r="8" spans="1:14" ht="9" customHeight="1">
      <c r="A8" s="126" t="s">
        <v>126</v>
      </c>
      <c r="B8" s="127">
        <v>2.71</v>
      </c>
      <c r="C8" s="127">
        <v>2.69</v>
      </c>
      <c r="D8" s="127">
        <v>3.11</v>
      </c>
      <c r="E8" s="127">
        <v>4.24</v>
      </c>
      <c r="F8" s="127">
        <v>4.92</v>
      </c>
      <c r="G8" s="127">
        <v>6.07</v>
      </c>
      <c r="H8" s="127">
        <v>8.53</v>
      </c>
      <c r="I8" s="127">
        <v>7.42</v>
      </c>
      <c r="J8" s="127">
        <v>6.34</v>
      </c>
      <c r="K8" s="127">
        <v>5.88</v>
      </c>
      <c r="L8" s="127">
        <v>5.64</v>
      </c>
      <c r="M8" s="127">
        <v>5.62</v>
      </c>
      <c r="N8" s="127">
        <v>6.39</v>
      </c>
    </row>
    <row r="9" spans="1:14" ht="9" customHeight="1">
      <c r="A9" s="126" t="s">
        <v>127</v>
      </c>
      <c r="B9" s="127">
        <v>5.71</v>
      </c>
      <c r="C9" s="127">
        <v>5.84</v>
      </c>
      <c r="D9" s="127">
        <v>6.07</v>
      </c>
      <c r="E9" s="127">
        <v>7.3</v>
      </c>
      <c r="F9" s="127">
        <v>9.8</v>
      </c>
      <c r="G9" s="127">
        <v>8.89</v>
      </c>
      <c r="H9" s="127">
        <v>8.7</v>
      </c>
      <c r="I9" s="127">
        <v>5.24</v>
      </c>
      <c r="J9" s="127">
        <v>4.55</v>
      </c>
      <c r="K9" s="127">
        <v>4.24</v>
      </c>
      <c r="L9" s="127">
        <v>3.79</v>
      </c>
      <c r="M9" s="127">
        <v>3.52</v>
      </c>
      <c r="N9" s="127">
        <v>5.08</v>
      </c>
    </row>
    <row r="10" spans="1:14" ht="9" customHeight="1">
      <c r="A10" s="126" t="s">
        <v>128</v>
      </c>
      <c r="B10" s="127">
        <v>3.7</v>
      </c>
      <c r="C10" s="127">
        <v>3.74</v>
      </c>
      <c r="D10" s="127">
        <v>4.02</v>
      </c>
      <c r="E10" s="127">
        <v>4.11</v>
      </c>
      <c r="F10" s="127">
        <v>4.62</v>
      </c>
      <c r="G10" s="127">
        <v>4.3</v>
      </c>
      <c r="H10" s="127">
        <v>5.28</v>
      </c>
      <c r="I10" s="127">
        <v>5.91</v>
      </c>
      <c r="J10" s="127">
        <v>4.55</v>
      </c>
      <c r="K10" s="127">
        <v>4.3</v>
      </c>
      <c r="L10" s="127">
        <v>5.72</v>
      </c>
      <c r="M10" s="127">
        <v>5.79</v>
      </c>
      <c r="N10" s="127">
        <v>8.24</v>
      </c>
    </row>
    <row r="11" spans="1:14" ht="9" customHeight="1">
      <c r="A11" s="126" t="s">
        <v>129</v>
      </c>
      <c r="B11" s="127">
        <v>6.24</v>
      </c>
      <c r="C11" s="127">
        <v>6.43</v>
      </c>
      <c r="D11" s="127">
        <v>7.34</v>
      </c>
      <c r="E11" s="127">
        <v>8.33</v>
      </c>
      <c r="F11" s="127">
        <v>8.78</v>
      </c>
      <c r="G11" s="127">
        <v>8.61</v>
      </c>
      <c r="H11" s="127">
        <v>10.6</v>
      </c>
      <c r="I11" s="127">
        <v>7.58</v>
      </c>
      <c r="J11" s="127">
        <v>5.06</v>
      </c>
      <c r="K11" s="127">
        <v>5.03</v>
      </c>
      <c r="L11" s="127">
        <v>6.32</v>
      </c>
      <c r="M11" s="127">
        <v>6.81</v>
      </c>
      <c r="N11" s="127">
        <v>10.8</v>
      </c>
    </row>
    <row r="12" spans="1:14" ht="3" customHeight="1">
      <c r="A12" s="103"/>
      <c r="B12" s="127"/>
      <c r="C12" s="127"/>
      <c r="D12" s="127"/>
      <c r="E12" s="127"/>
      <c r="F12" s="127"/>
      <c r="G12" s="127"/>
      <c r="H12" s="127"/>
      <c r="I12" s="127"/>
      <c r="J12" s="127"/>
      <c r="K12" s="127"/>
      <c r="L12" s="127"/>
      <c r="M12" s="127"/>
      <c r="N12" s="127"/>
    </row>
    <row r="13" spans="1:14" ht="9" customHeight="1">
      <c r="A13" s="126" t="s">
        <v>130</v>
      </c>
      <c r="B13" s="127">
        <v>7.36</v>
      </c>
      <c r="C13" s="127">
        <v>7.71</v>
      </c>
      <c r="D13" s="127">
        <v>9.17</v>
      </c>
      <c r="E13" s="127">
        <v>10.3</v>
      </c>
      <c r="F13" s="127">
        <v>9.32</v>
      </c>
      <c r="G13" s="127">
        <v>8.96</v>
      </c>
      <c r="H13" s="127">
        <v>9.5</v>
      </c>
      <c r="I13" s="127">
        <v>8.09</v>
      </c>
      <c r="J13" s="127">
        <v>5.36</v>
      </c>
      <c r="K13" s="127">
        <v>4.73</v>
      </c>
      <c r="L13" s="127">
        <v>5.24</v>
      </c>
      <c r="M13" s="127">
        <v>5.46</v>
      </c>
      <c r="N13" s="127">
        <v>8.01</v>
      </c>
    </row>
    <row r="14" spans="1:14" ht="9" customHeight="1">
      <c r="A14" s="126" t="s">
        <v>131</v>
      </c>
      <c r="B14" s="127">
        <v>5.66</v>
      </c>
      <c r="C14" s="127">
        <v>5.53</v>
      </c>
      <c r="D14" s="127">
        <v>6.15</v>
      </c>
      <c r="E14" s="127">
        <v>7.03</v>
      </c>
      <c r="F14" s="127">
        <v>7.98</v>
      </c>
      <c r="G14" s="127">
        <v>7.51</v>
      </c>
      <c r="H14" s="127">
        <v>7.95</v>
      </c>
      <c r="I14" s="127">
        <v>5.39</v>
      </c>
      <c r="J14" s="127">
        <v>4.51</v>
      </c>
      <c r="K14" s="127">
        <v>4.06</v>
      </c>
      <c r="L14" s="127">
        <v>3.99</v>
      </c>
      <c r="M14" s="127">
        <v>4.29</v>
      </c>
      <c r="N14" s="127">
        <v>5.65</v>
      </c>
    </row>
    <row r="15" spans="1:14" ht="9" customHeight="1">
      <c r="A15" s="126" t="s">
        <v>132</v>
      </c>
      <c r="B15" s="127">
        <v>3.79</v>
      </c>
      <c r="C15" s="127">
        <v>4.06</v>
      </c>
      <c r="D15" s="127">
        <v>5.56</v>
      </c>
      <c r="E15" s="127">
        <v>6.39</v>
      </c>
      <c r="F15" s="127">
        <v>5.18</v>
      </c>
      <c r="G15" s="127">
        <v>5.82</v>
      </c>
      <c r="H15" s="127">
        <v>8.52</v>
      </c>
      <c r="I15" s="127">
        <v>9.23</v>
      </c>
      <c r="J15" s="127">
        <v>6.27</v>
      </c>
      <c r="K15" s="127">
        <v>5.73</v>
      </c>
      <c r="L15" s="127">
        <v>5.56</v>
      </c>
      <c r="M15" s="127">
        <v>5.43</v>
      </c>
      <c r="N15" s="127">
        <v>6.76</v>
      </c>
    </row>
    <row r="16" spans="1:14" ht="9" customHeight="1">
      <c r="A16" s="126" t="s">
        <v>133</v>
      </c>
      <c r="B16" s="127">
        <v>5.59</v>
      </c>
      <c r="C16" s="127">
        <v>5.95</v>
      </c>
      <c r="D16" s="127">
        <v>6.73</v>
      </c>
      <c r="E16" s="127">
        <v>8.91</v>
      </c>
      <c r="F16" s="127">
        <v>8.36</v>
      </c>
      <c r="G16" s="127">
        <v>7.95</v>
      </c>
      <c r="H16" s="127">
        <v>9.11</v>
      </c>
      <c r="I16" s="127">
        <v>7.96</v>
      </c>
      <c r="J16" s="127">
        <v>6.94</v>
      </c>
      <c r="K16" s="127">
        <v>6.79</v>
      </c>
      <c r="L16" s="127">
        <v>8.25</v>
      </c>
      <c r="M16" s="127">
        <v>7.51</v>
      </c>
      <c r="N16" s="127">
        <v>7.96</v>
      </c>
    </row>
    <row r="17" spans="1:14" ht="9" customHeight="1">
      <c r="A17" s="126" t="s">
        <v>134</v>
      </c>
      <c r="B17" s="127">
        <v>7.14</v>
      </c>
      <c r="C17" s="127">
        <v>8.03</v>
      </c>
      <c r="D17" s="127">
        <v>10.6</v>
      </c>
      <c r="E17" s="127">
        <v>7.9</v>
      </c>
      <c r="F17" s="127">
        <v>8.58</v>
      </c>
      <c r="G17" s="127">
        <v>8.14</v>
      </c>
      <c r="H17" s="127">
        <v>8.9</v>
      </c>
      <c r="I17" s="127">
        <v>8.63</v>
      </c>
      <c r="J17" s="127">
        <v>5.58</v>
      </c>
      <c r="K17" s="127">
        <v>4.95</v>
      </c>
      <c r="L17" s="127">
        <v>5.08</v>
      </c>
      <c r="M17" s="127">
        <v>5.03</v>
      </c>
      <c r="N17" s="127">
        <v>6.87</v>
      </c>
    </row>
    <row r="18" spans="1:15" ht="9" customHeight="1">
      <c r="A18" s="126" t="s">
        <v>135</v>
      </c>
      <c r="B18" s="127">
        <v>4.7</v>
      </c>
      <c r="C18" s="127">
        <v>5.43</v>
      </c>
      <c r="D18" s="127">
        <v>5.84</v>
      </c>
      <c r="E18" s="127">
        <v>5.97</v>
      </c>
      <c r="F18" s="127">
        <v>7.26</v>
      </c>
      <c r="G18" s="127">
        <v>9.85</v>
      </c>
      <c r="H18" s="127">
        <v>10.7</v>
      </c>
      <c r="I18" s="127">
        <v>9.63</v>
      </c>
      <c r="J18" s="127">
        <v>9.31</v>
      </c>
      <c r="K18" s="127">
        <v>8</v>
      </c>
      <c r="L18" s="127">
        <v>7.87</v>
      </c>
      <c r="M18" s="127">
        <v>7.54</v>
      </c>
      <c r="N18" s="127">
        <v>8.87</v>
      </c>
      <c r="O18" s="128"/>
    </row>
    <row r="19" spans="1:15" ht="9" customHeight="1">
      <c r="A19" s="126" t="s">
        <v>136</v>
      </c>
      <c r="B19" s="127">
        <v>7.99</v>
      </c>
      <c r="C19" s="127">
        <v>8.52</v>
      </c>
      <c r="D19" s="127">
        <v>8.86</v>
      </c>
      <c r="E19" s="127">
        <v>9.01</v>
      </c>
      <c r="F19" s="127">
        <v>9.78</v>
      </c>
      <c r="G19" s="127">
        <v>10.5</v>
      </c>
      <c r="H19" s="127">
        <v>9.74</v>
      </c>
      <c r="I19" s="127">
        <v>7.06</v>
      </c>
      <c r="J19" s="127">
        <v>5.82</v>
      </c>
      <c r="K19" s="127">
        <v>5.31</v>
      </c>
      <c r="L19" s="127">
        <v>4.02</v>
      </c>
      <c r="M19" s="127">
        <v>3.73</v>
      </c>
      <c r="N19" s="127">
        <v>5.05</v>
      </c>
      <c r="O19" s="128"/>
    </row>
    <row r="20" spans="1:15" ht="9" customHeight="1">
      <c r="A20" s="126" t="s">
        <v>137</v>
      </c>
      <c r="B20" s="127">
        <v>3.21</v>
      </c>
      <c r="C20" s="127">
        <v>3.82</v>
      </c>
      <c r="D20" s="127">
        <v>3.46</v>
      </c>
      <c r="E20" s="127">
        <v>3.92</v>
      </c>
      <c r="F20" s="127">
        <v>4.6</v>
      </c>
      <c r="G20" s="127">
        <v>5.34</v>
      </c>
      <c r="H20" s="127">
        <v>7.02</v>
      </c>
      <c r="I20" s="127">
        <v>9.04</v>
      </c>
      <c r="J20" s="127">
        <v>7.02</v>
      </c>
      <c r="K20" s="127">
        <v>6.65</v>
      </c>
      <c r="L20" s="127">
        <v>6.07</v>
      </c>
      <c r="M20" s="127">
        <v>6.05</v>
      </c>
      <c r="N20" s="127">
        <v>6.65</v>
      </c>
      <c r="O20" s="128"/>
    </row>
    <row r="21" spans="1:15" ht="9" customHeight="1">
      <c r="A21" s="126" t="s">
        <v>138</v>
      </c>
      <c r="B21" s="127">
        <v>5.76</v>
      </c>
      <c r="C21" s="127">
        <v>6.81</v>
      </c>
      <c r="D21" s="127">
        <v>7.54</v>
      </c>
      <c r="E21" s="127">
        <v>6.84</v>
      </c>
      <c r="F21" s="127">
        <v>7.29</v>
      </c>
      <c r="G21" s="127">
        <v>7.24</v>
      </c>
      <c r="H21" s="127">
        <v>6.99</v>
      </c>
      <c r="I21" s="127">
        <v>6.74</v>
      </c>
      <c r="J21" s="127">
        <v>6.31</v>
      </c>
      <c r="K21" s="127">
        <v>5.44</v>
      </c>
      <c r="L21" s="127">
        <v>5.46</v>
      </c>
      <c r="M21" s="127">
        <v>5.62</v>
      </c>
      <c r="N21" s="127">
        <v>6.94</v>
      </c>
      <c r="O21" s="128"/>
    </row>
    <row r="22" spans="1:15" ht="9" customHeight="1">
      <c r="A22" s="126" t="s">
        <v>139</v>
      </c>
      <c r="B22" s="127">
        <v>6.07</v>
      </c>
      <c r="C22" s="127">
        <v>6.93</v>
      </c>
      <c r="D22" s="127">
        <v>7.5</v>
      </c>
      <c r="E22" s="127">
        <v>8.39</v>
      </c>
      <c r="F22" s="127">
        <v>7.89</v>
      </c>
      <c r="G22" s="127">
        <v>9.09</v>
      </c>
      <c r="H22" s="127">
        <v>9.85</v>
      </c>
      <c r="I22" s="127">
        <v>9.88</v>
      </c>
      <c r="J22" s="127">
        <v>6.94</v>
      </c>
      <c r="K22" s="127">
        <v>6</v>
      </c>
      <c r="L22" s="127">
        <v>6.57</v>
      </c>
      <c r="M22" s="127">
        <v>6.22</v>
      </c>
      <c r="N22" s="127">
        <v>6.94</v>
      </c>
      <c r="O22" s="128"/>
    </row>
    <row r="23" spans="1:15" ht="3" customHeight="1">
      <c r="A23" s="126"/>
      <c r="B23" s="127"/>
      <c r="C23" s="127"/>
      <c r="D23" s="127"/>
      <c r="E23" s="127"/>
      <c r="F23" s="127"/>
      <c r="G23" s="127"/>
      <c r="H23" s="127"/>
      <c r="I23" s="127"/>
      <c r="J23" s="127"/>
      <c r="K23" s="127"/>
      <c r="L23" s="127"/>
      <c r="M23" s="127"/>
      <c r="N23" s="127"/>
      <c r="O23" s="128"/>
    </row>
    <row r="24" spans="1:15" ht="9" customHeight="1">
      <c r="A24" s="126" t="s">
        <v>140</v>
      </c>
      <c r="B24" s="127">
        <v>6.32</v>
      </c>
      <c r="C24" s="127">
        <v>6.71</v>
      </c>
      <c r="D24" s="127">
        <v>6.77</v>
      </c>
      <c r="E24" s="127">
        <v>7.05</v>
      </c>
      <c r="F24" s="127">
        <v>7.17</v>
      </c>
      <c r="G24" s="127">
        <v>7.32</v>
      </c>
      <c r="H24" s="127">
        <v>9.49</v>
      </c>
      <c r="I24" s="127">
        <v>8</v>
      </c>
      <c r="J24" s="127">
        <v>4.89</v>
      </c>
      <c r="K24" s="127">
        <v>4.24</v>
      </c>
      <c r="L24" s="127">
        <v>3.72</v>
      </c>
      <c r="M24" s="127">
        <v>3.96</v>
      </c>
      <c r="N24" s="127">
        <v>5.39</v>
      </c>
      <c r="O24" s="128"/>
    </row>
    <row r="25" spans="1:15" ht="9" customHeight="1">
      <c r="A25" s="126" t="s">
        <v>141</v>
      </c>
      <c r="B25" s="127">
        <v>3.71</v>
      </c>
      <c r="C25" s="127">
        <v>4.63</v>
      </c>
      <c r="D25" s="127">
        <v>5.95</v>
      </c>
      <c r="E25" s="127">
        <v>6</v>
      </c>
      <c r="F25" s="127">
        <v>8.78</v>
      </c>
      <c r="G25" s="127">
        <v>9.14</v>
      </c>
      <c r="H25" s="127"/>
      <c r="I25" s="127"/>
      <c r="J25" s="127"/>
      <c r="K25" s="127"/>
      <c r="L25" s="127"/>
      <c r="M25" s="127"/>
      <c r="N25" s="127"/>
      <c r="O25" s="128"/>
    </row>
    <row r="26" spans="1:14" ht="3" customHeight="1">
      <c r="A26" s="126"/>
      <c r="B26" s="127"/>
      <c r="C26" s="127"/>
      <c r="D26" s="127"/>
      <c r="E26" s="127"/>
      <c r="F26" s="127"/>
      <c r="G26" s="127"/>
      <c r="H26" s="129"/>
      <c r="I26" s="129"/>
      <c r="J26" s="129"/>
      <c r="K26" s="129"/>
      <c r="L26" s="129"/>
      <c r="M26" s="129"/>
      <c r="N26" s="129"/>
    </row>
    <row r="27" spans="1:14" ht="9.75" customHeight="1">
      <c r="A27" s="130" t="s">
        <v>142</v>
      </c>
      <c r="B27" s="127"/>
      <c r="C27" s="127"/>
      <c r="D27" s="127"/>
      <c r="E27" s="127"/>
      <c r="F27" s="127"/>
      <c r="G27" s="127"/>
      <c r="H27" s="129"/>
      <c r="I27" s="129"/>
      <c r="J27" s="129"/>
      <c r="K27" s="129"/>
      <c r="L27" s="129"/>
      <c r="M27" s="129"/>
      <c r="N27" s="129"/>
    </row>
    <row r="28" spans="1:14" ht="9" customHeight="1">
      <c r="A28" s="126" t="s">
        <v>123</v>
      </c>
      <c r="B28" s="127" t="s">
        <v>124</v>
      </c>
      <c r="C28" s="127" t="s">
        <v>124</v>
      </c>
      <c r="D28" s="127" t="s">
        <v>124</v>
      </c>
      <c r="E28" s="127" t="s">
        <v>124</v>
      </c>
      <c r="F28" s="127" t="s">
        <v>124</v>
      </c>
      <c r="G28" s="127" t="s">
        <v>124</v>
      </c>
      <c r="H28" s="127">
        <v>5.08</v>
      </c>
      <c r="I28" s="127">
        <v>4.37</v>
      </c>
      <c r="J28" s="127">
        <v>4.04</v>
      </c>
      <c r="K28" s="127">
        <v>3.95</v>
      </c>
      <c r="L28" s="127">
        <v>4</v>
      </c>
      <c r="M28" s="127">
        <v>4.35</v>
      </c>
      <c r="N28" s="127">
        <v>4.32</v>
      </c>
    </row>
    <row r="29" spans="1:14" ht="9" customHeight="1">
      <c r="A29" s="126" t="s">
        <v>125</v>
      </c>
      <c r="B29" s="127">
        <v>4.59</v>
      </c>
      <c r="C29" s="127">
        <v>4.43</v>
      </c>
      <c r="D29" s="127">
        <v>4.54</v>
      </c>
      <c r="E29" s="127">
        <v>4.49</v>
      </c>
      <c r="F29" s="127">
        <v>4.71</v>
      </c>
      <c r="G29" s="127">
        <v>4.65</v>
      </c>
      <c r="H29" s="127">
        <v>4.34</v>
      </c>
      <c r="I29" s="127">
        <v>3.84</v>
      </c>
      <c r="J29" s="127">
        <v>3.8</v>
      </c>
      <c r="K29" s="127">
        <v>3.67</v>
      </c>
      <c r="L29" s="127">
        <v>3.66</v>
      </c>
      <c r="M29" s="127">
        <v>3.77</v>
      </c>
      <c r="N29" s="127">
        <v>3.77</v>
      </c>
    </row>
    <row r="30" spans="1:14" ht="9" customHeight="1">
      <c r="A30" s="126" t="s">
        <v>126</v>
      </c>
      <c r="B30" s="127">
        <v>3.63</v>
      </c>
      <c r="C30" s="127">
        <v>3.88</v>
      </c>
      <c r="D30" s="127">
        <v>3.61</v>
      </c>
      <c r="E30" s="127">
        <v>3.53</v>
      </c>
      <c r="F30" s="127">
        <v>3.93</v>
      </c>
      <c r="G30" s="127">
        <v>3.94</v>
      </c>
      <c r="H30" s="127">
        <v>4.58</v>
      </c>
      <c r="I30" s="127">
        <v>4.01</v>
      </c>
      <c r="J30" s="127">
        <v>3.71</v>
      </c>
      <c r="K30" s="127">
        <v>3.86</v>
      </c>
      <c r="L30" s="127">
        <v>3.99</v>
      </c>
      <c r="M30" s="127">
        <v>4.03</v>
      </c>
      <c r="N30" s="127">
        <v>4.07</v>
      </c>
    </row>
    <row r="31" spans="1:14" ht="9" customHeight="1">
      <c r="A31" s="126" t="s">
        <v>127</v>
      </c>
      <c r="B31" s="127">
        <v>4.17</v>
      </c>
      <c r="C31" s="127">
        <v>4.09</v>
      </c>
      <c r="D31" s="127">
        <v>4.13</v>
      </c>
      <c r="E31" s="127">
        <v>4.31</v>
      </c>
      <c r="F31" s="127">
        <v>5.28</v>
      </c>
      <c r="G31" s="127">
        <v>5.16</v>
      </c>
      <c r="H31" s="127">
        <v>4.84</v>
      </c>
      <c r="I31" s="127">
        <v>3.86</v>
      </c>
      <c r="J31" s="127">
        <v>3.66</v>
      </c>
      <c r="K31" s="127">
        <v>3.62</v>
      </c>
      <c r="L31" s="127">
        <v>3.5</v>
      </c>
      <c r="M31" s="127">
        <v>3.75</v>
      </c>
      <c r="N31" s="127">
        <v>3.85</v>
      </c>
    </row>
    <row r="32" spans="1:14" ht="9" customHeight="1">
      <c r="A32" s="126" t="s">
        <v>128</v>
      </c>
      <c r="B32" s="127">
        <v>3.71</v>
      </c>
      <c r="C32" s="127">
        <v>3.73</v>
      </c>
      <c r="D32" s="127">
        <v>3.92</v>
      </c>
      <c r="E32" s="127">
        <v>3.8</v>
      </c>
      <c r="F32" s="127">
        <v>3.82</v>
      </c>
      <c r="G32" s="127">
        <v>3.61</v>
      </c>
      <c r="H32" s="127">
        <v>4.29</v>
      </c>
      <c r="I32" s="127">
        <v>4.34</v>
      </c>
      <c r="J32" s="127">
        <v>3.71</v>
      </c>
      <c r="K32" s="127">
        <v>3.82</v>
      </c>
      <c r="L32" s="127">
        <v>4.84</v>
      </c>
      <c r="M32" s="127">
        <v>4.74</v>
      </c>
      <c r="N32" s="127">
        <v>4.39</v>
      </c>
    </row>
    <row r="33" spans="1:14" ht="9" customHeight="1">
      <c r="A33" s="126" t="s">
        <v>129</v>
      </c>
      <c r="B33" s="127">
        <v>4.68</v>
      </c>
      <c r="C33" s="127">
        <v>4.74</v>
      </c>
      <c r="D33" s="127">
        <v>5.08</v>
      </c>
      <c r="E33" s="127">
        <v>5.42</v>
      </c>
      <c r="F33" s="127">
        <v>5.99</v>
      </c>
      <c r="G33" s="127">
        <v>5.32</v>
      </c>
      <c r="H33" s="127">
        <v>5.1</v>
      </c>
      <c r="I33" s="127">
        <v>4.62</v>
      </c>
      <c r="J33" s="127">
        <v>4.15</v>
      </c>
      <c r="K33" s="127">
        <v>4.4</v>
      </c>
      <c r="L33" s="127">
        <v>5.09</v>
      </c>
      <c r="M33" s="127">
        <v>5.48</v>
      </c>
      <c r="N33" s="127">
        <v>5.09</v>
      </c>
    </row>
    <row r="34" spans="1:14" ht="3" customHeight="1">
      <c r="A34" s="103"/>
      <c r="B34" s="127"/>
      <c r="C34" s="127"/>
      <c r="D34" s="127"/>
      <c r="E34" s="127"/>
      <c r="F34" s="127"/>
      <c r="G34" s="127"/>
      <c r="H34" s="127"/>
      <c r="I34" s="127"/>
      <c r="J34" s="127"/>
      <c r="K34" s="127"/>
      <c r="L34" s="127"/>
      <c r="M34" s="127"/>
      <c r="N34" s="127"/>
    </row>
    <row r="35" spans="1:14" ht="9" customHeight="1">
      <c r="A35" s="126" t="s">
        <v>130</v>
      </c>
      <c r="B35" s="127">
        <v>5.37</v>
      </c>
      <c r="C35" s="127">
        <v>5.66</v>
      </c>
      <c r="D35" s="127">
        <v>5.7</v>
      </c>
      <c r="E35" s="127">
        <v>5.46</v>
      </c>
      <c r="F35" s="127">
        <v>5.15</v>
      </c>
      <c r="G35" s="127">
        <v>5.98</v>
      </c>
      <c r="H35" s="127">
        <v>5.38</v>
      </c>
      <c r="I35" s="127">
        <v>5.15</v>
      </c>
      <c r="J35" s="127">
        <v>4.63</v>
      </c>
      <c r="K35" s="127">
        <v>4.42</v>
      </c>
      <c r="L35" s="127">
        <v>4.75</v>
      </c>
      <c r="M35" s="127">
        <v>5.03</v>
      </c>
      <c r="N35" s="127">
        <v>4.8</v>
      </c>
    </row>
    <row r="36" spans="1:14" ht="9" customHeight="1">
      <c r="A36" s="126" t="s">
        <v>131</v>
      </c>
      <c r="B36" s="127">
        <v>5.04</v>
      </c>
      <c r="C36" s="127">
        <v>4.99</v>
      </c>
      <c r="D36" s="127">
        <v>5.14</v>
      </c>
      <c r="E36" s="127">
        <v>6</v>
      </c>
      <c r="F36" s="127">
        <v>7.05</v>
      </c>
      <c r="G36" s="127">
        <v>5.55</v>
      </c>
      <c r="H36" s="127">
        <v>5.41</v>
      </c>
      <c r="I36" s="127">
        <v>5.01</v>
      </c>
      <c r="J36" s="127">
        <v>4.43</v>
      </c>
      <c r="K36" s="127">
        <v>4.09</v>
      </c>
      <c r="L36" s="127">
        <v>4.08</v>
      </c>
      <c r="M36" s="127">
        <v>4.48</v>
      </c>
      <c r="N36" s="127">
        <v>4.55</v>
      </c>
    </row>
    <row r="37" spans="1:14" ht="9" customHeight="1">
      <c r="A37" s="126" t="s">
        <v>132</v>
      </c>
      <c r="B37" s="127">
        <v>4.34</v>
      </c>
      <c r="C37" s="127">
        <v>4.06</v>
      </c>
      <c r="D37" s="127">
        <v>3.96</v>
      </c>
      <c r="E37" s="127">
        <v>4.17</v>
      </c>
      <c r="F37" s="127">
        <v>3.71</v>
      </c>
      <c r="G37" s="127">
        <v>3.93</v>
      </c>
      <c r="H37" s="127">
        <v>3.9</v>
      </c>
      <c r="I37" s="127">
        <v>5.05</v>
      </c>
      <c r="J37" s="127">
        <v>4.56</v>
      </c>
      <c r="K37" s="127">
        <v>4.32</v>
      </c>
      <c r="L37" s="127">
        <v>4.43</v>
      </c>
      <c r="M37" s="127">
        <v>4.77</v>
      </c>
      <c r="N37" s="127">
        <v>4.79</v>
      </c>
    </row>
    <row r="38" spans="1:14" ht="9" customHeight="1">
      <c r="A38" s="126" t="s">
        <v>133</v>
      </c>
      <c r="B38" s="127">
        <v>4.86</v>
      </c>
      <c r="C38" s="127">
        <v>4.88</v>
      </c>
      <c r="D38" s="127">
        <v>5.14</v>
      </c>
      <c r="E38" s="127">
        <v>6.33</v>
      </c>
      <c r="F38" s="127">
        <v>7.09</v>
      </c>
      <c r="G38" s="127">
        <v>5.37</v>
      </c>
      <c r="H38" s="127">
        <v>5.4</v>
      </c>
      <c r="I38" s="127">
        <v>4.97</v>
      </c>
      <c r="J38" s="127">
        <v>4.55</v>
      </c>
      <c r="K38" s="127">
        <v>4.56</v>
      </c>
      <c r="L38" s="127">
        <v>4.75</v>
      </c>
      <c r="M38" s="127">
        <v>5.04</v>
      </c>
      <c r="N38" s="127">
        <v>4.96</v>
      </c>
    </row>
    <row r="39" spans="1:14" ht="9" customHeight="1">
      <c r="A39" s="126" t="s">
        <v>134</v>
      </c>
      <c r="B39" s="127">
        <v>5.08</v>
      </c>
      <c r="C39" s="127">
        <v>5.12</v>
      </c>
      <c r="D39" s="127">
        <v>5.43</v>
      </c>
      <c r="E39" s="127">
        <v>4.96</v>
      </c>
      <c r="F39" s="127">
        <v>4.79</v>
      </c>
      <c r="G39" s="127">
        <v>5.5</v>
      </c>
      <c r="H39" s="127">
        <v>4.95</v>
      </c>
      <c r="I39" s="127">
        <v>4.91</v>
      </c>
      <c r="J39" s="127">
        <v>4.8</v>
      </c>
      <c r="K39" s="127">
        <v>4.51</v>
      </c>
      <c r="L39" s="127">
        <v>4.56</v>
      </c>
      <c r="M39" s="127">
        <v>4.75</v>
      </c>
      <c r="N39" s="127">
        <v>4.83</v>
      </c>
    </row>
    <row r="40" spans="1:14" ht="9" customHeight="1">
      <c r="A40" s="126" t="s">
        <v>135</v>
      </c>
      <c r="B40" s="127">
        <v>4.89</v>
      </c>
      <c r="C40" s="127">
        <v>4.9</v>
      </c>
      <c r="D40" s="127">
        <v>4.8</v>
      </c>
      <c r="E40" s="127">
        <v>4.76</v>
      </c>
      <c r="F40" s="127">
        <v>4.82</v>
      </c>
      <c r="G40" s="127">
        <v>5.07</v>
      </c>
      <c r="H40" s="127">
        <v>5.8</v>
      </c>
      <c r="I40" s="127">
        <v>4.98</v>
      </c>
      <c r="J40" s="127">
        <v>4.9</v>
      </c>
      <c r="K40" s="127">
        <v>4.65</v>
      </c>
      <c r="L40" s="127">
        <v>5.37</v>
      </c>
      <c r="M40" s="127">
        <v>5.39</v>
      </c>
      <c r="N40" s="127">
        <v>5.21</v>
      </c>
    </row>
    <row r="41" spans="1:14" ht="9" customHeight="1">
      <c r="A41" s="126" t="s">
        <v>136</v>
      </c>
      <c r="B41" s="127">
        <v>5.42</v>
      </c>
      <c r="C41" s="127">
        <v>5.44</v>
      </c>
      <c r="D41" s="127">
        <v>5.71</v>
      </c>
      <c r="E41" s="127">
        <v>5.87</v>
      </c>
      <c r="F41" s="127">
        <v>6.59</v>
      </c>
      <c r="G41" s="127">
        <v>6.47</v>
      </c>
      <c r="H41" s="127">
        <v>5.92</v>
      </c>
      <c r="I41" s="127">
        <v>4.91</v>
      </c>
      <c r="J41" s="127">
        <v>4.67</v>
      </c>
      <c r="K41" s="127">
        <v>4.67</v>
      </c>
      <c r="L41" s="127">
        <v>4.67</v>
      </c>
      <c r="M41" s="127">
        <v>4.77</v>
      </c>
      <c r="N41" s="127">
        <v>4.82</v>
      </c>
    </row>
    <row r="42" spans="1:14" ht="9" customHeight="1">
      <c r="A42" s="126" t="s">
        <v>137</v>
      </c>
      <c r="B42" s="127">
        <v>4.98</v>
      </c>
      <c r="C42" s="127">
        <v>4.9</v>
      </c>
      <c r="D42" s="127">
        <v>5.11</v>
      </c>
      <c r="E42" s="127">
        <v>5.02</v>
      </c>
      <c r="F42" s="127">
        <v>6.04</v>
      </c>
      <c r="G42" s="127">
        <v>5.04</v>
      </c>
      <c r="H42" s="127">
        <v>4.33</v>
      </c>
      <c r="I42" s="127">
        <v>4.81</v>
      </c>
      <c r="J42" s="127">
        <v>4.61</v>
      </c>
      <c r="K42" s="127">
        <v>4.6</v>
      </c>
      <c r="L42" s="127">
        <v>4.71</v>
      </c>
      <c r="M42" s="127">
        <v>4.96</v>
      </c>
      <c r="N42" s="127">
        <v>5</v>
      </c>
    </row>
    <row r="43" spans="1:14" ht="9" customHeight="1">
      <c r="A43" s="126" t="s">
        <v>138</v>
      </c>
      <c r="B43" s="127">
        <v>5.06</v>
      </c>
      <c r="C43" s="127">
        <v>5.25</v>
      </c>
      <c r="D43" s="127">
        <v>5.24</v>
      </c>
      <c r="E43" s="127">
        <v>5.49</v>
      </c>
      <c r="F43" s="127">
        <v>5.97</v>
      </c>
      <c r="G43" s="127">
        <v>5.58</v>
      </c>
      <c r="H43" s="127">
        <v>5.04</v>
      </c>
      <c r="I43" s="127">
        <v>4.93</v>
      </c>
      <c r="J43" s="127">
        <v>4.49</v>
      </c>
      <c r="K43" s="127">
        <v>4.28</v>
      </c>
      <c r="L43" s="127">
        <v>4.52</v>
      </c>
      <c r="M43" s="127">
        <v>5.07</v>
      </c>
      <c r="N43" s="127">
        <v>4.86</v>
      </c>
    </row>
    <row r="44" spans="1:14" ht="9" customHeight="1">
      <c r="A44" s="126" t="s">
        <v>139</v>
      </c>
      <c r="B44" s="127">
        <v>5.11</v>
      </c>
      <c r="C44" s="127">
        <v>4.94</v>
      </c>
      <c r="D44" s="127">
        <v>5.07</v>
      </c>
      <c r="E44" s="127">
        <v>5.29</v>
      </c>
      <c r="F44" s="127">
        <v>5.37</v>
      </c>
      <c r="G44" s="127">
        <v>5.3</v>
      </c>
      <c r="H44" s="127">
        <v>5.28</v>
      </c>
      <c r="I44" s="127">
        <v>4.58</v>
      </c>
      <c r="J44" s="127">
        <v>4.61</v>
      </c>
      <c r="K44" s="127">
        <v>4.64</v>
      </c>
      <c r="L44" s="127">
        <v>4.97</v>
      </c>
      <c r="M44" s="127">
        <v>4.86</v>
      </c>
      <c r="N44" s="127">
        <v>4.99</v>
      </c>
    </row>
    <row r="45" spans="1:14" ht="3" customHeight="1">
      <c r="A45" s="126"/>
      <c r="B45" s="127"/>
      <c r="C45" s="127"/>
      <c r="D45" s="127"/>
      <c r="E45" s="127"/>
      <c r="F45" s="127"/>
      <c r="G45" s="127"/>
      <c r="H45" s="127"/>
      <c r="I45" s="127"/>
      <c r="J45" s="127"/>
      <c r="K45" s="127"/>
      <c r="L45" s="127"/>
      <c r="M45" s="127"/>
      <c r="N45" s="127"/>
    </row>
    <row r="46" spans="1:14" ht="9" customHeight="1">
      <c r="A46" s="126" t="s">
        <v>140</v>
      </c>
      <c r="B46" s="127">
        <v>5.24</v>
      </c>
      <c r="C46" s="127">
        <v>5.31</v>
      </c>
      <c r="D46" s="127">
        <v>5.26</v>
      </c>
      <c r="E46" s="127">
        <v>5.44</v>
      </c>
      <c r="F46" s="127">
        <v>5.42</v>
      </c>
      <c r="G46" s="127">
        <v>5.33</v>
      </c>
      <c r="H46" s="127">
        <v>4.85</v>
      </c>
      <c r="I46" s="127">
        <v>4.52</v>
      </c>
      <c r="J46" s="127">
        <v>4.36</v>
      </c>
      <c r="K46" s="127">
        <v>4.29</v>
      </c>
      <c r="L46" s="127">
        <v>4.69</v>
      </c>
      <c r="M46" s="127">
        <v>4.83</v>
      </c>
      <c r="N46" s="127">
        <v>4.61</v>
      </c>
    </row>
    <row r="47" spans="1:14" ht="9" customHeight="1">
      <c r="A47" s="126" t="s">
        <v>141</v>
      </c>
      <c r="B47" s="127">
        <v>5.11</v>
      </c>
      <c r="C47" s="127">
        <v>5.16</v>
      </c>
      <c r="D47" s="127">
        <v>5.17</v>
      </c>
      <c r="E47" s="127">
        <v>5.4</v>
      </c>
      <c r="F47" s="127">
        <v>5.43</v>
      </c>
      <c r="G47" s="127">
        <v>5.19</v>
      </c>
      <c r="H47" s="127"/>
      <c r="I47" s="127"/>
      <c r="J47" s="127"/>
      <c r="K47" s="127"/>
      <c r="L47" s="127"/>
      <c r="M47" s="127"/>
      <c r="N47" s="127"/>
    </row>
    <row r="48" spans="1:14" ht="3" customHeight="1">
      <c r="A48" s="126"/>
      <c r="B48" s="127"/>
      <c r="C48" s="127"/>
      <c r="D48" s="127"/>
      <c r="E48" s="127"/>
      <c r="F48" s="127"/>
      <c r="G48" s="127"/>
      <c r="H48" s="129"/>
      <c r="I48" s="129"/>
      <c r="J48" s="129"/>
      <c r="K48" s="129"/>
      <c r="L48" s="129"/>
      <c r="M48" s="129"/>
      <c r="N48" s="129"/>
    </row>
    <row r="49" spans="1:14" ht="9.75" customHeight="1">
      <c r="A49" s="130" t="s">
        <v>143</v>
      </c>
      <c r="B49" s="127"/>
      <c r="C49" s="127"/>
      <c r="D49" s="127"/>
      <c r="E49" s="127"/>
      <c r="F49" s="127"/>
      <c r="G49" s="127"/>
      <c r="H49" s="129"/>
      <c r="I49" s="129"/>
      <c r="J49" s="129"/>
      <c r="K49" s="129"/>
      <c r="L49" s="129"/>
      <c r="M49" s="129"/>
      <c r="N49" s="129"/>
    </row>
    <row r="50" spans="1:14" ht="9" customHeight="1">
      <c r="A50" s="126" t="s">
        <v>144</v>
      </c>
      <c r="B50" s="127">
        <v>3.09</v>
      </c>
      <c r="C50" s="127">
        <v>2.77</v>
      </c>
      <c r="D50" s="127">
        <v>2.94</v>
      </c>
      <c r="E50" s="127">
        <v>2.82</v>
      </c>
      <c r="F50" s="127">
        <v>3.08</v>
      </c>
      <c r="G50" s="127">
        <v>3</v>
      </c>
      <c r="H50" s="127">
        <v>3.41</v>
      </c>
      <c r="I50" s="127">
        <v>3.61</v>
      </c>
      <c r="J50" s="127">
        <v>3.23</v>
      </c>
      <c r="K50" s="127">
        <v>3.14</v>
      </c>
      <c r="L50" s="127">
        <v>3.35</v>
      </c>
      <c r="M50" s="127">
        <v>3.51</v>
      </c>
      <c r="N50" s="127">
        <v>3.44</v>
      </c>
    </row>
    <row r="51" spans="1:14" ht="3" customHeight="1">
      <c r="A51" s="103"/>
      <c r="B51" s="127"/>
      <c r="C51" s="127"/>
      <c r="D51" s="127"/>
      <c r="E51" s="127"/>
      <c r="F51" s="127"/>
      <c r="G51" s="127"/>
      <c r="H51" s="127"/>
      <c r="I51" s="127"/>
      <c r="J51" s="127"/>
      <c r="K51" s="127"/>
      <c r="L51" s="127"/>
      <c r="M51" s="127"/>
      <c r="N51" s="127"/>
    </row>
    <row r="52" spans="1:14" ht="9" customHeight="1">
      <c r="A52" s="126" t="s">
        <v>145</v>
      </c>
      <c r="B52" s="127">
        <v>3.44</v>
      </c>
      <c r="C52" s="127">
        <v>3.37</v>
      </c>
      <c r="D52" s="127">
        <v>3.23</v>
      </c>
      <c r="E52" s="127">
        <v>3.21</v>
      </c>
      <c r="F52" s="127">
        <v>3.75</v>
      </c>
      <c r="G52" s="127">
        <v>4.35</v>
      </c>
      <c r="H52" s="127">
        <v>6.19</v>
      </c>
      <c r="I52" s="127">
        <v>7.77</v>
      </c>
      <c r="J52" s="127">
        <v>6.02</v>
      </c>
      <c r="K52" s="127">
        <v>4.42</v>
      </c>
      <c r="L52" s="127">
        <v>5.47</v>
      </c>
      <c r="M52" s="127">
        <v>6.63</v>
      </c>
      <c r="N52" s="127">
        <v>6.55</v>
      </c>
    </row>
    <row r="53" spans="1:14" ht="9" customHeight="1">
      <c r="A53" s="126" t="s">
        <v>146</v>
      </c>
      <c r="B53" s="127">
        <v>7.38</v>
      </c>
      <c r="C53" s="127">
        <v>7.51</v>
      </c>
      <c r="D53" s="127">
        <v>8.12</v>
      </c>
      <c r="E53" s="127">
        <v>8.41</v>
      </c>
      <c r="F53" s="127">
        <v>8.22</v>
      </c>
      <c r="G53" s="127">
        <v>9.13</v>
      </c>
      <c r="H53" s="127">
        <v>9.67</v>
      </c>
      <c r="I53" s="127">
        <v>7.06</v>
      </c>
      <c r="J53" s="127">
        <v>4.84</v>
      </c>
      <c r="K53" s="127">
        <v>4.01</v>
      </c>
      <c r="L53" s="127">
        <v>4.44</v>
      </c>
      <c r="M53" s="127">
        <v>4.65</v>
      </c>
      <c r="N53" s="127">
        <v>5.42</v>
      </c>
    </row>
    <row r="54" spans="1:14" ht="9" customHeight="1">
      <c r="A54" s="126" t="s">
        <v>147</v>
      </c>
      <c r="B54" s="127">
        <v>4.71</v>
      </c>
      <c r="C54" s="127">
        <v>4.78</v>
      </c>
      <c r="D54" s="127">
        <v>5.03</v>
      </c>
      <c r="E54" s="127">
        <v>5.59</v>
      </c>
      <c r="F54" s="127">
        <v>6.21</v>
      </c>
      <c r="G54" s="127">
        <v>7.11</v>
      </c>
      <c r="H54" s="127">
        <v>6.52</v>
      </c>
      <c r="I54" s="127">
        <v>5.8</v>
      </c>
      <c r="J54" s="127">
        <v>4.25</v>
      </c>
      <c r="K54" s="127">
        <v>3.78</v>
      </c>
      <c r="L54" s="127">
        <v>3.73</v>
      </c>
      <c r="M54" s="127">
        <v>3.71</v>
      </c>
      <c r="N54" s="127">
        <v>4.45</v>
      </c>
    </row>
    <row r="55" spans="1:14" ht="9" customHeight="1">
      <c r="A55" s="126" t="s">
        <v>148</v>
      </c>
      <c r="B55" s="127">
        <v>3.53</v>
      </c>
      <c r="C55" s="127">
        <v>3.69</v>
      </c>
      <c r="D55" s="127">
        <v>4.07</v>
      </c>
      <c r="E55" s="127">
        <v>4.65</v>
      </c>
      <c r="F55" s="127">
        <v>5.52</v>
      </c>
      <c r="G55" s="127">
        <v>5.33</v>
      </c>
      <c r="H55" s="127">
        <v>6.36</v>
      </c>
      <c r="I55" s="127">
        <v>7.03</v>
      </c>
      <c r="J55" s="127">
        <v>4.94</v>
      </c>
      <c r="K55" s="127">
        <v>4.14</v>
      </c>
      <c r="L55" s="127">
        <v>4.87</v>
      </c>
      <c r="M55" s="127">
        <v>5.46</v>
      </c>
      <c r="N55" s="127">
        <v>5.82</v>
      </c>
    </row>
    <row r="56" spans="1:14" ht="9" customHeight="1">
      <c r="A56" s="126" t="s">
        <v>123</v>
      </c>
      <c r="B56" s="127">
        <v>6.43</v>
      </c>
      <c r="C56" s="127">
        <v>6.29</v>
      </c>
      <c r="D56" s="127">
        <v>6.55</v>
      </c>
      <c r="E56" s="127">
        <v>6.69</v>
      </c>
      <c r="F56" s="127">
        <v>7.04</v>
      </c>
      <c r="G56" s="127">
        <v>7.52</v>
      </c>
      <c r="H56" s="127">
        <v>9.72</v>
      </c>
      <c r="I56" s="127">
        <v>8.75</v>
      </c>
      <c r="J56" s="127">
        <v>4.87</v>
      </c>
      <c r="K56" s="127">
        <v>4.26</v>
      </c>
      <c r="L56" s="127">
        <v>4.6</v>
      </c>
      <c r="M56" s="127">
        <v>4.9</v>
      </c>
      <c r="N56" s="127">
        <v>5.69</v>
      </c>
    </row>
    <row r="57" spans="1:14" ht="9" customHeight="1">
      <c r="A57" s="126" t="s">
        <v>125</v>
      </c>
      <c r="B57" s="127">
        <v>5.22</v>
      </c>
      <c r="C57" s="127">
        <v>5.31</v>
      </c>
      <c r="D57" s="127">
        <v>5.4</v>
      </c>
      <c r="E57" s="127">
        <v>5.8</v>
      </c>
      <c r="F57" s="127">
        <v>6.44</v>
      </c>
      <c r="G57" s="127">
        <v>6.67</v>
      </c>
      <c r="H57" s="127">
        <v>5.84</v>
      </c>
      <c r="I57" s="127">
        <v>3.83</v>
      </c>
      <c r="J57" s="127">
        <v>3.56</v>
      </c>
      <c r="K57" s="127">
        <v>3.51</v>
      </c>
      <c r="L57" s="127">
        <v>3.46</v>
      </c>
      <c r="M57" s="127">
        <v>3.26</v>
      </c>
      <c r="N57" s="127">
        <v>3.92</v>
      </c>
    </row>
    <row r="58" spans="1:14" ht="9" customHeight="1">
      <c r="A58" s="126" t="s">
        <v>126</v>
      </c>
      <c r="B58" s="127">
        <v>3.12</v>
      </c>
      <c r="C58" s="127">
        <v>3.35</v>
      </c>
      <c r="D58" s="127">
        <v>3.5</v>
      </c>
      <c r="E58" s="127">
        <v>3.99</v>
      </c>
      <c r="F58" s="127">
        <v>4.39</v>
      </c>
      <c r="G58" s="127">
        <v>4.79</v>
      </c>
      <c r="H58" s="127">
        <v>6.91</v>
      </c>
      <c r="I58" s="127">
        <v>5.68</v>
      </c>
      <c r="J58" s="127">
        <v>4.28</v>
      </c>
      <c r="K58" s="127">
        <v>4.2</v>
      </c>
      <c r="L58" s="127">
        <v>4.63</v>
      </c>
      <c r="M58" s="127">
        <v>4.78</v>
      </c>
      <c r="N58" s="127">
        <v>5.03</v>
      </c>
    </row>
    <row r="59" spans="1:14" ht="9" customHeight="1">
      <c r="A59" s="126" t="s">
        <v>127</v>
      </c>
      <c r="B59" s="127">
        <v>5.01</v>
      </c>
      <c r="C59" s="127">
        <v>4.93</v>
      </c>
      <c r="D59" s="127">
        <v>5.05</v>
      </c>
      <c r="E59" s="127">
        <v>5.66</v>
      </c>
      <c r="F59" s="127">
        <v>7.23</v>
      </c>
      <c r="G59" s="127">
        <v>6.94</v>
      </c>
      <c r="H59" s="127">
        <v>7.06</v>
      </c>
      <c r="I59" s="127">
        <v>4.52</v>
      </c>
      <c r="J59" s="127">
        <v>3.89</v>
      </c>
      <c r="K59" s="127">
        <v>3.74</v>
      </c>
      <c r="L59" s="127">
        <v>3.62</v>
      </c>
      <c r="M59" s="127">
        <v>3.63</v>
      </c>
      <c r="N59" s="127">
        <v>4.38</v>
      </c>
    </row>
    <row r="60" spans="1:14" ht="9" customHeight="1">
      <c r="A60" s="126" t="s">
        <v>128</v>
      </c>
      <c r="B60" s="127">
        <v>3.7</v>
      </c>
      <c r="C60" s="127">
        <v>3.74</v>
      </c>
      <c r="D60" s="127">
        <v>4.02</v>
      </c>
      <c r="E60" s="127">
        <v>4.11</v>
      </c>
      <c r="F60" s="127">
        <v>4.62</v>
      </c>
      <c r="G60" s="127">
        <v>4.3</v>
      </c>
      <c r="H60" s="127">
        <v>5.28</v>
      </c>
      <c r="I60" s="127">
        <v>5.91</v>
      </c>
      <c r="J60" s="127">
        <v>4.55</v>
      </c>
      <c r="K60" s="127">
        <v>4.3</v>
      </c>
      <c r="L60" s="127">
        <v>5.72</v>
      </c>
      <c r="M60" s="127">
        <v>5.79</v>
      </c>
      <c r="N60" s="127">
        <v>6</v>
      </c>
    </row>
    <row r="61" spans="1:14" ht="9" customHeight="1">
      <c r="A61" s="126" t="s">
        <v>129</v>
      </c>
      <c r="B61" s="127">
        <v>6.24</v>
      </c>
      <c r="C61" s="127">
        <v>6.43</v>
      </c>
      <c r="D61" s="127">
        <v>7.34</v>
      </c>
      <c r="E61" s="127">
        <v>8.33</v>
      </c>
      <c r="F61" s="127">
        <v>8.78</v>
      </c>
      <c r="G61" s="127">
        <v>8.61</v>
      </c>
      <c r="H61" s="127">
        <v>10.6</v>
      </c>
      <c r="I61" s="127">
        <v>7.58</v>
      </c>
      <c r="J61" s="127">
        <v>5.06</v>
      </c>
      <c r="K61" s="127">
        <v>5.03</v>
      </c>
      <c r="L61" s="127">
        <v>6.32</v>
      </c>
      <c r="M61" s="127">
        <v>6.81</v>
      </c>
      <c r="N61" s="127">
        <v>7.35</v>
      </c>
    </row>
    <row r="62" spans="1:14" ht="3" customHeight="1">
      <c r="A62" s="103"/>
      <c r="B62" s="127"/>
      <c r="C62" s="127"/>
      <c r="D62" s="127"/>
      <c r="E62" s="127"/>
      <c r="F62" s="127"/>
      <c r="G62" s="127"/>
      <c r="H62" s="127"/>
      <c r="I62" s="127"/>
      <c r="J62" s="127"/>
      <c r="K62" s="127"/>
      <c r="L62" s="127"/>
      <c r="M62" s="127"/>
      <c r="N62" s="127"/>
    </row>
    <row r="63" spans="1:14" ht="9" customHeight="1">
      <c r="A63" s="126" t="s">
        <v>130</v>
      </c>
      <c r="B63" s="127">
        <v>7.36</v>
      </c>
      <c r="C63" s="127">
        <v>7.71</v>
      </c>
      <c r="D63" s="127">
        <v>9.17</v>
      </c>
      <c r="E63" s="127">
        <v>10.3</v>
      </c>
      <c r="F63" s="127">
        <v>9.32</v>
      </c>
      <c r="G63" s="127">
        <v>8.96</v>
      </c>
      <c r="H63" s="127">
        <v>9.5</v>
      </c>
      <c r="I63" s="127">
        <v>8.09</v>
      </c>
      <c r="J63" s="127">
        <v>5.36</v>
      </c>
      <c r="K63" s="127">
        <v>4.73</v>
      </c>
      <c r="L63" s="127">
        <v>5.24</v>
      </c>
      <c r="M63" s="127">
        <v>5.46</v>
      </c>
      <c r="N63" s="127">
        <v>6.08</v>
      </c>
    </row>
    <row r="64" spans="1:14" ht="9" customHeight="1">
      <c r="A64" s="126" t="s">
        <v>131</v>
      </c>
      <c r="B64" s="127">
        <v>5.66</v>
      </c>
      <c r="C64" s="127">
        <v>5.53</v>
      </c>
      <c r="D64" s="127">
        <v>6.15</v>
      </c>
      <c r="E64" s="127">
        <v>7.03</v>
      </c>
      <c r="F64" s="127">
        <v>7.98</v>
      </c>
      <c r="G64" s="127">
        <v>7.51</v>
      </c>
      <c r="H64" s="127">
        <v>7.95</v>
      </c>
      <c r="I64" s="127">
        <v>5.39</v>
      </c>
      <c r="J64" s="127">
        <v>4.51</v>
      </c>
      <c r="K64" s="127">
        <v>4.06</v>
      </c>
      <c r="L64" s="127">
        <v>3.99</v>
      </c>
      <c r="M64" s="127">
        <v>4.29</v>
      </c>
      <c r="N64" s="127">
        <v>4.96</v>
      </c>
    </row>
    <row r="65" spans="1:14" ht="9" customHeight="1">
      <c r="A65" s="126" t="s">
        <v>132</v>
      </c>
      <c r="B65" s="127">
        <v>4.07</v>
      </c>
      <c r="C65" s="127">
        <v>4.08</v>
      </c>
      <c r="D65" s="127">
        <v>4.64</v>
      </c>
      <c r="E65" s="127">
        <v>5.16</v>
      </c>
      <c r="F65" s="127">
        <v>4.43</v>
      </c>
      <c r="G65" s="127">
        <v>4.71</v>
      </c>
      <c r="H65" s="127">
        <v>7</v>
      </c>
      <c r="I65" s="127">
        <v>6.64</v>
      </c>
      <c r="J65" s="127">
        <v>4.89</v>
      </c>
      <c r="K65" s="127">
        <v>4.55</v>
      </c>
      <c r="L65" s="127">
        <v>4.9</v>
      </c>
      <c r="M65" s="127">
        <v>5.06</v>
      </c>
      <c r="N65" s="127">
        <v>5.52</v>
      </c>
    </row>
    <row r="66" spans="1:14" ht="9" customHeight="1">
      <c r="A66" s="126" t="s">
        <v>133</v>
      </c>
      <c r="B66" s="127">
        <v>5.15</v>
      </c>
      <c r="C66" s="127">
        <v>5.29</v>
      </c>
      <c r="D66" s="127">
        <v>6.06</v>
      </c>
      <c r="E66" s="127">
        <v>7.18</v>
      </c>
      <c r="F66" s="127">
        <v>7.18</v>
      </c>
      <c r="G66" s="127">
        <v>6.45</v>
      </c>
      <c r="H66" s="127">
        <v>7.38</v>
      </c>
      <c r="I66" s="127">
        <v>6.25</v>
      </c>
      <c r="J66" s="127">
        <v>5.06</v>
      </c>
      <c r="K66" s="127">
        <v>4.9</v>
      </c>
      <c r="L66" s="127">
        <v>6.34</v>
      </c>
      <c r="M66" s="127">
        <v>6.15</v>
      </c>
      <c r="N66" s="127">
        <v>6.16</v>
      </c>
    </row>
    <row r="67" spans="1:14" ht="9" customHeight="1">
      <c r="A67" s="126" t="s">
        <v>134</v>
      </c>
      <c r="B67" s="127">
        <v>6.04</v>
      </c>
      <c r="C67" s="127">
        <v>6.37</v>
      </c>
      <c r="D67" s="127">
        <v>7.75</v>
      </c>
      <c r="E67" s="127">
        <v>6.68</v>
      </c>
      <c r="F67" s="127">
        <v>6.62</v>
      </c>
      <c r="G67" s="127">
        <v>6.8</v>
      </c>
      <c r="H67" s="127">
        <v>7.38</v>
      </c>
      <c r="I67" s="127">
        <v>6.25</v>
      </c>
      <c r="J67" s="127">
        <v>4.95</v>
      </c>
      <c r="K67" s="127">
        <v>4.57</v>
      </c>
      <c r="L67" s="127">
        <v>4.77</v>
      </c>
      <c r="M67" s="127">
        <v>4.85</v>
      </c>
      <c r="N67" s="127">
        <v>5.56</v>
      </c>
    </row>
    <row r="68" spans="1:14" ht="9" customHeight="1">
      <c r="A68" s="126" t="s">
        <v>135</v>
      </c>
      <c r="B68" s="127">
        <v>4.83</v>
      </c>
      <c r="C68" s="127">
        <v>4.97</v>
      </c>
      <c r="D68" s="127">
        <v>5.37</v>
      </c>
      <c r="E68" s="127">
        <v>5.41</v>
      </c>
      <c r="F68" s="127">
        <v>5.86</v>
      </c>
      <c r="G68" s="127">
        <v>7.12</v>
      </c>
      <c r="H68" s="127">
        <v>8.75</v>
      </c>
      <c r="I68" s="127">
        <v>6.64</v>
      </c>
      <c r="J68" s="127">
        <v>5.76</v>
      </c>
      <c r="K68" s="127">
        <v>6.3</v>
      </c>
      <c r="L68" s="127">
        <v>6.39</v>
      </c>
      <c r="M68" s="127">
        <v>6.33</v>
      </c>
      <c r="N68" s="127">
        <v>6.75</v>
      </c>
    </row>
    <row r="69" spans="1:14" ht="9" customHeight="1">
      <c r="A69" s="126" t="s">
        <v>136</v>
      </c>
      <c r="B69" s="127">
        <v>6.65</v>
      </c>
      <c r="C69" s="127">
        <v>6.92</v>
      </c>
      <c r="D69" s="127">
        <v>7.51</v>
      </c>
      <c r="E69" s="127">
        <v>7.82</v>
      </c>
      <c r="F69" s="127">
        <v>8.09</v>
      </c>
      <c r="G69" s="127">
        <v>8.16</v>
      </c>
      <c r="H69" s="129">
        <v>7.79</v>
      </c>
      <c r="I69" s="129">
        <v>5.58</v>
      </c>
      <c r="J69" s="129">
        <v>4.92</v>
      </c>
      <c r="K69" s="129">
        <v>4.75</v>
      </c>
      <c r="L69" s="129">
        <v>4.44</v>
      </c>
      <c r="M69" s="129">
        <v>4.28</v>
      </c>
      <c r="N69" s="129">
        <v>4.91</v>
      </c>
    </row>
    <row r="70" spans="1:14" ht="9" customHeight="1">
      <c r="A70" s="126" t="s">
        <v>137</v>
      </c>
      <c r="B70" s="127">
        <v>4.22</v>
      </c>
      <c r="C70" s="127">
        <v>4.56</v>
      </c>
      <c r="D70" s="127">
        <v>4.64</v>
      </c>
      <c r="E70" s="127">
        <v>4.67</v>
      </c>
      <c r="F70" s="127">
        <v>5.31</v>
      </c>
      <c r="G70" s="127">
        <v>5.67</v>
      </c>
      <c r="H70" s="129">
        <v>5.66</v>
      </c>
      <c r="I70" s="129">
        <v>6.31</v>
      </c>
      <c r="J70" s="129">
        <v>5.08</v>
      </c>
      <c r="K70" s="129">
        <v>4.93</v>
      </c>
      <c r="L70" s="129">
        <v>5.12</v>
      </c>
      <c r="M70" s="129">
        <v>5.36</v>
      </c>
      <c r="N70" s="129">
        <v>5.64</v>
      </c>
    </row>
    <row r="71" spans="1:14" ht="9" customHeight="1">
      <c r="A71" s="126" t="s">
        <v>138</v>
      </c>
      <c r="B71" s="127">
        <v>5.4</v>
      </c>
      <c r="C71" s="127">
        <v>5.94</v>
      </c>
      <c r="D71" s="127">
        <v>6.41</v>
      </c>
      <c r="E71" s="127">
        <v>6.27</v>
      </c>
      <c r="F71" s="127">
        <v>6.45</v>
      </c>
      <c r="G71" s="127">
        <v>6.16</v>
      </c>
      <c r="H71" s="129">
        <v>5.81</v>
      </c>
      <c r="I71" s="129">
        <v>5.46</v>
      </c>
      <c r="J71" s="129">
        <v>4.97</v>
      </c>
      <c r="K71" s="129">
        <v>4.47</v>
      </c>
      <c r="L71" s="129">
        <v>4.86</v>
      </c>
      <c r="M71" s="129">
        <v>5.3</v>
      </c>
      <c r="N71" s="129">
        <v>5.56</v>
      </c>
    </row>
    <row r="72" spans="1:14" ht="9" customHeight="1">
      <c r="A72" s="126" t="s">
        <v>139</v>
      </c>
      <c r="B72" s="127">
        <v>5.5</v>
      </c>
      <c r="C72" s="127">
        <v>5.75</v>
      </c>
      <c r="D72" s="127">
        <v>6.12</v>
      </c>
      <c r="E72" s="127">
        <v>6.5</v>
      </c>
      <c r="F72" s="127">
        <v>6.13</v>
      </c>
      <c r="G72" s="127">
        <v>6.54</v>
      </c>
      <c r="H72" s="129">
        <v>7.35</v>
      </c>
      <c r="I72" s="129">
        <v>6.02</v>
      </c>
      <c r="J72" s="129">
        <v>5.09</v>
      </c>
      <c r="K72" s="129">
        <v>4.86</v>
      </c>
      <c r="L72" s="129">
        <v>5.52</v>
      </c>
      <c r="M72" s="129">
        <v>5.44</v>
      </c>
      <c r="N72" s="129">
        <v>5.77</v>
      </c>
    </row>
    <row r="73" spans="1:14" ht="3" customHeight="1">
      <c r="A73" s="126"/>
      <c r="B73" s="127"/>
      <c r="C73" s="127"/>
      <c r="D73" s="127"/>
      <c r="E73" s="127"/>
      <c r="F73" s="127"/>
      <c r="G73" s="127"/>
      <c r="H73" s="129"/>
      <c r="I73" s="129"/>
      <c r="J73" s="129"/>
      <c r="K73" s="129"/>
      <c r="L73" s="129"/>
      <c r="M73" s="129"/>
      <c r="N73" s="129"/>
    </row>
    <row r="74" spans="1:14" ht="9" customHeight="1">
      <c r="A74" s="126" t="s">
        <v>140</v>
      </c>
      <c r="B74" s="127">
        <v>5.68</v>
      </c>
      <c r="C74" s="127">
        <v>5.92</v>
      </c>
      <c r="D74" s="127">
        <v>6.26</v>
      </c>
      <c r="E74" s="127">
        <v>6.46</v>
      </c>
      <c r="F74" s="127">
        <v>6.31</v>
      </c>
      <c r="G74" s="127">
        <v>6.14</v>
      </c>
      <c r="H74" s="129">
        <v>6.93</v>
      </c>
      <c r="I74" s="129">
        <v>5.56</v>
      </c>
      <c r="J74" s="129">
        <v>4.49</v>
      </c>
      <c r="K74" s="129">
        <v>4.27</v>
      </c>
      <c r="L74" s="129">
        <v>4.31</v>
      </c>
      <c r="M74" s="129">
        <v>4.48</v>
      </c>
      <c r="N74" s="129">
        <v>4.95</v>
      </c>
    </row>
    <row r="75" spans="1:14" ht="9" customHeight="1">
      <c r="A75" s="126" t="s">
        <v>141</v>
      </c>
      <c r="B75" s="127">
        <v>4.56</v>
      </c>
      <c r="C75" s="127">
        <v>5.02</v>
      </c>
      <c r="D75" s="127">
        <v>5.56</v>
      </c>
      <c r="E75" s="127">
        <v>5.71</v>
      </c>
      <c r="F75" s="127">
        <v>6.31</v>
      </c>
      <c r="G75" s="127">
        <v>6.47</v>
      </c>
      <c r="H75" s="129">
        <v>7.23</v>
      </c>
      <c r="I75" s="129"/>
      <c r="J75" s="129"/>
      <c r="K75" s="129"/>
      <c r="L75" s="129"/>
      <c r="M75" s="129"/>
      <c r="N75" s="129"/>
    </row>
    <row r="76" spans="1:14" ht="12" customHeight="1">
      <c r="A76" s="106" t="s">
        <v>149</v>
      </c>
      <c r="B76" s="110"/>
      <c r="C76" s="110"/>
      <c r="D76" s="110"/>
      <c r="E76" s="110"/>
      <c r="F76" s="110"/>
      <c r="G76" s="131"/>
      <c r="H76" s="131"/>
      <c r="I76" s="131"/>
      <c r="J76" s="131"/>
      <c r="K76" s="131"/>
      <c r="L76" s="131"/>
      <c r="M76" s="131"/>
      <c r="N76" s="131"/>
    </row>
    <row r="77" spans="1:14" ht="12" customHeight="1">
      <c r="A77" s="112" t="s">
        <v>159</v>
      </c>
      <c r="B77" s="116"/>
      <c r="C77" s="116"/>
      <c r="D77" s="116"/>
      <c r="E77" s="116"/>
      <c r="F77" s="116"/>
      <c r="G77" s="151"/>
      <c r="H77" s="151"/>
      <c r="I77" s="151"/>
      <c r="J77" s="151"/>
      <c r="K77" s="151"/>
      <c r="L77" s="151"/>
      <c r="M77" s="151"/>
      <c r="N77" s="151"/>
    </row>
    <row r="78" spans="1:14" ht="12" customHeight="1">
      <c r="A78" s="118" t="s">
        <v>13</v>
      </c>
      <c r="B78" s="102"/>
      <c r="C78" s="102"/>
      <c r="D78" s="102"/>
      <c r="E78" s="102"/>
      <c r="F78" s="102"/>
      <c r="G78" s="102"/>
      <c r="H78" s="102"/>
      <c r="I78" s="102"/>
      <c r="J78" s="102"/>
      <c r="K78" s="102"/>
      <c r="L78" s="102"/>
      <c r="M78" s="102"/>
      <c r="N78" s="102"/>
    </row>
    <row r="79" spans="1:14" ht="9" customHeight="1">
      <c r="A79" s="121"/>
      <c r="B79" s="132"/>
      <c r="C79" s="132"/>
      <c r="D79" s="132"/>
      <c r="E79" s="132"/>
      <c r="F79" s="132"/>
      <c r="G79" s="132"/>
      <c r="H79" s="132"/>
      <c r="I79" s="132"/>
      <c r="J79" s="132"/>
      <c r="K79" s="132"/>
      <c r="L79" s="132"/>
      <c r="M79" s="132"/>
      <c r="N79" s="132"/>
    </row>
    <row r="80" spans="1:9" ht="9" customHeight="1">
      <c r="A80" s="121"/>
      <c r="I80" s="132"/>
    </row>
    <row r="81" spans="1:14" ht="9" customHeight="1">
      <c r="A81" s="121"/>
      <c r="B81" s="132"/>
      <c r="C81" s="132"/>
      <c r="D81" s="132"/>
      <c r="E81" s="132"/>
      <c r="F81" s="132"/>
      <c r="G81" s="132"/>
      <c r="H81" s="132"/>
      <c r="I81" s="132"/>
      <c r="J81" s="132"/>
      <c r="K81" s="132"/>
      <c r="L81" s="132"/>
      <c r="M81" s="132"/>
      <c r="N81" s="132"/>
    </row>
    <row r="82" spans="1:14" ht="9" customHeight="1">
      <c r="A82" s="121"/>
      <c r="C82" s="132"/>
      <c r="D82" s="132"/>
      <c r="E82" s="132"/>
      <c r="F82" s="132"/>
      <c r="G82" s="132"/>
      <c r="H82" s="132"/>
      <c r="I82" s="132"/>
      <c r="J82" s="132"/>
      <c r="K82" s="132"/>
      <c r="L82" s="132"/>
      <c r="M82" s="132"/>
      <c r="N82" s="132"/>
    </row>
    <row r="83" spans="2:10" ht="9" customHeight="1">
      <c r="B83" s="132"/>
      <c r="C83" s="132"/>
      <c r="D83" s="132"/>
      <c r="E83" s="132"/>
      <c r="F83" s="132"/>
      <c r="G83" s="132"/>
      <c r="H83" s="132"/>
      <c r="I83" s="132"/>
      <c r="J83" s="132"/>
    </row>
    <row r="84" ht="9" customHeight="1"/>
    <row r="85" ht="9" customHeight="1">
      <c r="A85" s="121"/>
    </row>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sheetData>
  <printOptions horizontalCentered="1"/>
  <pageMargins left="0.417" right="0.417" top="0.667" bottom="0.583" header="0" footer="0"/>
  <pageSetup horizontalDpi="300" verticalDpi="300" orientation="portrait" scale="95" r:id="rId1"/>
</worksheet>
</file>

<file path=xl/worksheets/sheet6.xml><?xml version="1.0" encoding="utf-8"?>
<worksheet xmlns="http://schemas.openxmlformats.org/spreadsheetml/2006/main" xmlns:r="http://schemas.openxmlformats.org/officeDocument/2006/relationships">
  <sheetPr transitionEvaluation="1"/>
  <dimension ref="A1:W87"/>
  <sheetViews>
    <sheetView workbookViewId="0" topLeftCell="A1">
      <selection activeCell="A1" sqref="A1"/>
    </sheetView>
  </sheetViews>
  <sheetFormatPr defaultColWidth="9.7109375" defaultRowHeight="12.75"/>
  <cols>
    <col min="1" max="1" width="4.7109375" style="89" customWidth="1"/>
    <col min="2" max="2" width="2.140625" style="89" customWidth="1"/>
    <col min="3" max="3" width="7.140625" style="89" customWidth="1"/>
    <col min="4" max="15" width="7.28125" style="89" customWidth="1"/>
    <col min="16" max="16" width="0.9921875" style="89" customWidth="1"/>
    <col min="17" max="23" width="5.7109375" style="89" customWidth="1"/>
    <col min="24" max="16384" width="9.7109375" style="89" customWidth="1"/>
  </cols>
  <sheetData>
    <row r="1" spans="1:16" ht="9.75" customHeight="1">
      <c r="A1" s="86" t="s">
        <v>162</v>
      </c>
      <c r="B1" s="87"/>
      <c r="C1" s="87"/>
      <c r="D1" s="87"/>
      <c r="E1" s="87"/>
      <c r="F1" s="87"/>
      <c r="G1" s="87"/>
      <c r="H1" s="87"/>
      <c r="I1" s="87"/>
      <c r="J1" s="87"/>
      <c r="K1" s="87"/>
      <c r="L1" s="87"/>
      <c r="M1" s="87"/>
      <c r="N1" s="87"/>
      <c r="O1" s="87"/>
      <c r="P1" s="87"/>
    </row>
    <row r="2" spans="1:16" ht="9.75" customHeight="1">
      <c r="A2" s="99" t="s">
        <v>14</v>
      </c>
      <c r="B2" s="99" t="s">
        <v>11</v>
      </c>
      <c r="C2" s="124" t="s">
        <v>15</v>
      </c>
      <c r="D2" s="124" t="s">
        <v>16</v>
      </c>
      <c r="E2" s="124" t="s">
        <v>17</v>
      </c>
      <c r="F2" s="124" t="s">
        <v>18</v>
      </c>
      <c r="G2" s="124" t="s">
        <v>19</v>
      </c>
      <c r="H2" s="124" t="s">
        <v>20</v>
      </c>
      <c r="I2" s="124" t="s">
        <v>21</v>
      </c>
      <c r="J2" s="124" t="s">
        <v>22</v>
      </c>
      <c r="K2" s="124" t="s">
        <v>23</v>
      </c>
      <c r="L2" s="124" t="s">
        <v>24</v>
      </c>
      <c r="M2" s="124" t="s">
        <v>25</v>
      </c>
      <c r="N2" s="124" t="s">
        <v>26</v>
      </c>
      <c r="O2" s="133" t="s">
        <v>150</v>
      </c>
      <c r="P2" s="134"/>
    </row>
    <row r="3" spans="1:16" ht="9.75" customHeight="1">
      <c r="A3" s="102"/>
      <c r="B3" s="102"/>
      <c r="C3" s="102"/>
      <c r="D3" s="102"/>
      <c r="E3" s="102"/>
      <c r="F3" s="102"/>
      <c r="G3" s="102"/>
      <c r="H3" s="90" t="s">
        <v>151</v>
      </c>
      <c r="I3" s="102"/>
      <c r="J3" s="102"/>
      <c r="K3" s="102"/>
      <c r="L3" s="102"/>
      <c r="M3" s="102"/>
      <c r="N3" s="90" t="s">
        <v>11</v>
      </c>
      <c r="O3" s="90"/>
      <c r="P3" s="90" t="s">
        <v>11</v>
      </c>
    </row>
    <row r="4" spans="1:16" ht="9.75" customHeight="1">
      <c r="A4" s="125" t="s">
        <v>152</v>
      </c>
      <c r="B4" s="135"/>
      <c r="C4" s="102"/>
      <c r="D4" s="102"/>
      <c r="E4" s="102"/>
      <c r="F4" s="102"/>
      <c r="G4" s="102"/>
      <c r="H4" s="102"/>
      <c r="I4" s="102"/>
      <c r="J4" s="102"/>
      <c r="K4" s="102"/>
      <c r="L4" s="102"/>
      <c r="M4" s="102"/>
      <c r="N4" s="102"/>
      <c r="O4" s="102"/>
      <c r="P4" s="102"/>
    </row>
    <row r="5" spans="1:19" ht="9" customHeight="1">
      <c r="A5" s="102">
        <v>1980</v>
      </c>
      <c r="B5" s="102"/>
      <c r="C5" s="136">
        <v>0.147</v>
      </c>
      <c r="D5" s="136">
        <v>0.14400000000000002</v>
      </c>
      <c r="E5" s="136">
        <v>0.146</v>
      </c>
      <c r="F5" s="136">
        <v>0.146</v>
      </c>
      <c r="G5" s="136">
        <v>0.149</v>
      </c>
      <c r="H5" s="136">
        <v>0.18</v>
      </c>
      <c r="I5" s="136">
        <v>0.242</v>
      </c>
      <c r="J5" s="136">
        <v>0.246</v>
      </c>
      <c r="K5" s="136">
        <v>0.231</v>
      </c>
      <c r="L5" s="136">
        <v>0.22</v>
      </c>
      <c r="M5" s="136">
        <v>0.22</v>
      </c>
      <c r="N5" s="136">
        <v>0.222</v>
      </c>
      <c r="O5" s="136">
        <v>0.19108333333333333</v>
      </c>
      <c r="Q5" s="137"/>
      <c r="R5" s="137"/>
      <c r="S5" s="137"/>
    </row>
    <row r="6" spans="1:19" ht="9" customHeight="1">
      <c r="A6" s="102">
        <v>1981</v>
      </c>
      <c r="B6" s="102"/>
      <c r="C6" s="136">
        <v>0.242</v>
      </c>
      <c r="D6" s="136">
        <v>0.264</v>
      </c>
      <c r="E6" s="136">
        <v>0.267</v>
      </c>
      <c r="F6" s="136">
        <v>0.275</v>
      </c>
      <c r="G6" s="136">
        <v>0.278</v>
      </c>
      <c r="H6" s="136">
        <v>0.297</v>
      </c>
      <c r="I6" s="136">
        <v>0.3</v>
      </c>
      <c r="J6" s="136">
        <v>0.257</v>
      </c>
      <c r="K6" s="136">
        <v>0.222</v>
      </c>
      <c r="L6" s="136">
        <v>0.203</v>
      </c>
      <c r="M6" s="136">
        <v>0.198</v>
      </c>
      <c r="N6" s="136">
        <v>0.192</v>
      </c>
      <c r="O6" s="136">
        <v>0.24958333333333332</v>
      </c>
      <c r="Q6" s="137"/>
      <c r="R6" s="137"/>
      <c r="S6" s="137"/>
    </row>
    <row r="7" spans="1:19" ht="9" customHeight="1">
      <c r="A7" s="102">
        <v>1982</v>
      </c>
      <c r="B7" s="102"/>
      <c r="C7" s="136">
        <v>0.195</v>
      </c>
      <c r="D7" s="136">
        <v>0.20400000000000001</v>
      </c>
      <c r="E7" s="136">
        <v>0.20800000000000002</v>
      </c>
      <c r="F7" s="136">
        <v>0.218</v>
      </c>
      <c r="G7" s="136">
        <v>0.229</v>
      </c>
      <c r="H7" s="136">
        <v>0.25</v>
      </c>
      <c r="I7" s="136">
        <v>0.278</v>
      </c>
      <c r="J7" s="136">
        <v>0.235</v>
      </c>
      <c r="K7" s="136">
        <v>0.196</v>
      </c>
      <c r="L7" s="136">
        <v>0.176</v>
      </c>
      <c r="M7" s="136">
        <v>0.17200000000000001</v>
      </c>
      <c r="N7" s="136">
        <v>0.168</v>
      </c>
      <c r="O7" s="136">
        <v>0.21075</v>
      </c>
      <c r="Q7" s="137"/>
      <c r="R7" s="137"/>
      <c r="S7" s="137"/>
    </row>
    <row r="8" spans="1:23" ht="9" customHeight="1">
      <c r="A8" s="102">
        <v>1983</v>
      </c>
      <c r="B8" s="102"/>
      <c r="C8" s="136">
        <v>0.161</v>
      </c>
      <c r="D8" s="136">
        <v>0.167</v>
      </c>
      <c r="E8" s="136">
        <v>0.168</v>
      </c>
      <c r="F8" s="136">
        <v>0.182</v>
      </c>
      <c r="G8" s="136">
        <v>0.209</v>
      </c>
      <c r="H8" s="136">
        <v>0.228</v>
      </c>
      <c r="I8" s="136">
        <v>0.233</v>
      </c>
      <c r="J8" s="136">
        <v>0.25</v>
      </c>
      <c r="K8" s="136">
        <v>0.241</v>
      </c>
      <c r="L8" s="136">
        <v>0.216</v>
      </c>
      <c r="M8" s="136">
        <v>0.209</v>
      </c>
      <c r="N8" s="136">
        <v>0.212</v>
      </c>
      <c r="O8" s="136">
        <v>0.20633333333333334</v>
      </c>
      <c r="Q8" s="137"/>
      <c r="R8" s="137"/>
      <c r="S8" s="137"/>
      <c r="T8" s="137"/>
      <c r="U8" s="137"/>
      <c r="V8" s="137"/>
      <c r="W8" s="137"/>
    </row>
    <row r="9" spans="1:23" ht="9" customHeight="1">
      <c r="A9" s="102">
        <v>1984</v>
      </c>
      <c r="B9" s="102"/>
      <c r="C9" s="136">
        <v>0.23600000000000002</v>
      </c>
      <c r="D9" s="136">
        <v>0.23900000000000002</v>
      </c>
      <c r="E9" s="136">
        <v>0.23800000000000002</v>
      </c>
      <c r="F9" s="136">
        <v>0.241</v>
      </c>
      <c r="G9" s="136">
        <v>0.242</v>
      </c>
      <c r="H9" s="136">
        <v>0.251</v>
      </c>
      <c r="I9" s="136">
        <v>0.299</v>
      </c>
      <c r="J9" s="136">
        <v>0.32</v>
      </c>
      <c r="K9" s="136">
        <v>0.22</v>
      </c>
      <c r="L9" s="136">
        <v>0.20600000000000002</v>
      </c>
      <c r="M9" s="136">
        <v>0.202</v>
      </c>
      <c r="N9" s="136">
        <v>0.211</v>
      </c>
      <c r="O9" s="136">
        <v>0.24208333333333334</v>
      </c>
      <c r="Q9" s="137"/>
      <c r="R9" s="137"/>
      <c r="S9" s="137"/>
      <c r="T9" s="137"/>
      <c r="U9" s="137"/>
      <c r="V9" s="137"/>
      <c r="W9" s="137"/>
    </row>
    <row r="10" spans="1:23" ht="9" customHeight="1">
      <c r="A10" s="102">
        <v>1985</v>
      </c>
      <c r="B10" s="102"/>
      <c r="C10" s="136">
        <v>0.209</v>
      </c>
      <c r="D10" s="136">
        <v>0.213</v>
      </c>
      <c r="E10" s="136">
        <v>0.213</v>
      </c>
      <c r="F10" s="136">
        <v>0.22</v>
      </c>
      <c r="G10" s="136">
        <v>0.24</v>
      </c>
      <c r="H10" s="136">
        <v>0.265</v>
      </c>
      <c r="I10" s="136">
        <v>0.253</v>
      </c>
      <c r="J10" s="136">
        <v>0.202</v>
      </c>
      <c r="K10" s="136">
        <v>0.175</v>
      </c>
      <c r="L10" s="136">
        <v>0.164</v>
      </c>
      <c r="M10" s="136">
        <v>0.165</v>
      </c>
      <c r="N10" s="136">
        <v>0.17200000000000001</v>
      </c>
      <c r="O10" s="136">
        <v>0.20758333333333334</v>
      </c>
      <c r="Q10" s="137"/>
      <c r="R10" s="137"/>
      <c r="S10" s="137"/>
      <c r="T10" s="137"/>
      <c r="U10" s="137"/>
      <c r="V10" s="137"/>
      <c r="W10" s="137"/>
    </row>
    <row r="11" spans="1:23" ht="9" customHeight="1">
      <c r="A11" s="102">
        <v>1986</v>
      </c>
      <c r="B11" s="102"/>
      <c r="C11" s="136">
        <v>0.181</v>
      </c>
      <c r="D11" s="136">
        <v>0.182</v>
      </c>
      <c r="E11" s="136">
        <v>0.20700000000000002</v>
      </c>
      <c r="F11" s="136">
        <v>0.215</v>
      </c>
      <c r="G11" s="136">
        <v>0.225</v>
      </c>
      <c r="H11" s="136">
        <v>0.256</v>
      </c>
      <c r="I11" s="136">
        <v>0.28800000000000003</v>
      </c>
      <c r="J11" s="136">
        <v>0.291</v>
      </c>
      <c r="K11" s="136">
        <v>0.266</v>
      </c>
      <c r="L11" s="136">
        <v>0.256</v>
      </c>
      <c r="M11" s="136">
        <v>0.257</v>
      </c>
      <c r="N11" s="136">
        <v>0.262</v>
      </c>
      <c r="O11" s="136">
        <v>0.2405</v>
      </c>
      <c r="Q11" s="137"/>
      <c r="R11" s="137"/>
      <c r="S11" s="137"/>
      <c r="T11" s="137"/>
      <c r="U11" s="137"/>
      <c r="V11" s="137"/>
      <c r="W11" s="137"/>
    </row>
    <row r="12" spans="1:23" ht="9" customHeight="1">
      <c r="A12" s="102">
        <v>1987</v>
      </c>
      <c r="B12" s="102"/>
      <c r="C12" s="138" t="s">
        <v>153</v>
      </c>
      <c r="D12" s="138" t="s">
        <v>153</v>
      </c>
      <c r="E12" s="136">
        <v>0.264</v>
      </c>
      <c r="F12" s="136">
        <v>0.276</v>
      </c>
      <c r="G12" s="136">
        <v>0.3</v>
      </c>
      <c r="H12" s="136">
        <v>0.32</v>
      </c>
      <c r="I12" s="136">
        <v>0.323</v>
      </c>
      <c r="J12" s="136">
        <v>0.28800000000000003</v>
      </c>
      <c r="K12" s="136">
        <v>0.256</v>
      </c>
      <c r="L12" s="136">
        <v>0.244</v>
      </c>
      <c r="M12" s="136">
        <v>0.245</v>
      </c>
      <c r="N12" s="136">
        <v>0.247</v>
      </c>
      <c r="O12" s="136">
        <v>0.276</v>
      </c>
      <c r="Q12" s="137"/>
      <c r="R12" s="137"/>
      <c r="S12" s="137"/>
      <c r="T12" s="137"/>
      <c r="U12" s="137"/>
      <c r="V12" s="137"/>
      <c r="W12" s="137"/>
    </row>
    <row r="13" spans="1:23" ht="9" customHeight="1">
      <c r="A13" s="102">
        <v>1988</v>
      </c>
      <c r="B13" s="102"/>
      <c r="C13" s="136">
        <v>0.244</v>
      </c>
      <c r="D13" s="136">
        <v>0.243</v>
      </c>
      <c r="E13" s="136">
        <v>0.24</v>
      </c>
      <c r="F13" s="136">
        <v>0.244</v>
      </c>
      <c r="G13" s="136">
        <v>0.247</v>
      </c>
      <c r="H13" s="136">
        <v>0.256</v>
      </c>
      <c r="I13" s="136">
        <v>0.257</v>
      </c>
      <c r="J13" s="136">
        <v>0.268</v>
      </c>
      <c r="K13" s="136">
        <v>0.268</v>
      </c>
      <c r="L13" s="136">
        <v>0.279</v>
      </c>
      <c r="M13" s="136">
        <v>0.28700000000000003</v>
      </c>
      <c r="N13" s="136">
        <v>0.295</v>
      </c>
      <c r="O13" s="136">
        <v>0.26066666666666666</v>
      </c>
      <c r="Q13" s="137"/>
      <c r="R13" s="137"/>
      <c r="S13" s="137"/>
      <c r="T13" s="137"/>
      <c r="U13" s="137"/>
      <c r="V13" s="137"/>
      <c r="W13" s="137"/>
    </row>
    <row r="14" spans="1:23" ht="9" customHeight="1">
      <c r="A14" s="102">
        <v>1989</v>
      </c>
      <c r="B14" s="102"/>
      <c r="C14" s="136">
        <v>0.294</v>
      </c>
      <c r="D14" s="136">
        <v>0.312</v>
      </c>
      <c r="E14" s="136">
        <v>0.335</v>
      </c>
      <c r="F14" s="136">
        <v>0.36</v>
      </c>
      <c r="G14" s="136">
        <v>0.368</v>
      </c>
      <c r="H14" s="136">
        <v>0.374</v>
      </c>
      <c r="I14" s="136">
        <v>0.392</v>
      </c>
      <c r="J14" s="136">
        <v>0.391</v>
      </c>
      <c r="K14" s="136">
        <v>0.341</v>
      </c>
      <c r="L14" s="136">
        <v>0.313</v>
      </c>
      <c r="M14" s="136">
        <v>0.307</v>
      </c>
      <c r="N14" s="136">
        <v>0.313</v>
      </c>
      <c r="O14" s="136">
        <v>0.3416666666666667</v>
      </c>
      <c r="Q14" s="137"/>
      <c r="R14" s="137"/>
      <c r="S14" s="137"/>
      <c r="T14" s="137"/>
      <c r="U14" s="137"/>
      <c r="V14" s="137"/>
      <c r="W14" s="137"/>
    </row>
    <row r="15" spans="1:23" ht="3" customHeight="1">
      <c r="A15" s="102"/>
      <c r="B15" s="102"/>
      <c r="C15" s="136"/>
      <c r="D15" s="136"/>
      <c r="E15" s="136"/>
      <c r="F15" s="136"/>
      <c r="G15" s="136"/>
      <c r="H15" s="136"/>
      <c r="I15" s="136"/>
      <c r="J15" s="136"/>
      <c r="K15" s="136"/>
      <c r="L15" s="136"/>
      <c r="M15" s="136"/>
      <c r="N15" s="136"/>
      <c r="O15" s="136"/>
      <c r="Q15" s="137"/>
      <c r="R15" s="137"/>
      <c r="S15" s="137"/>
      <c r="T15" s="137"/>
      <c r="U15" s="137"/>
      <c r="V15" s="137"/>
      <c r="W15" s="137"/>
    </row>
    <row r="16" spans="1:23" ht="9" customHeight="1">
      <c r="A16" s="102">
        <v>1990</v>
      </c>
      <c r="B16" s="102"/>
      <c r="C16" s="136">
        <v>0.333</v>
      </c>
      <c r="D16" s="136">
        <v>0.355</v>
      </c>
      <c r="E16" s="136">
        <v>0.387</v>
      </c>
      <c r="F16" s="136">
        <v>0.434</v>
      </c>
      <c r="G16" s="136">
        <v>0.427</v>
      </c>
      <c r="H16" s="136">
        <v>0.422</v>
      </c>
      <c r="I16" s="136">
        <v>0.405</v>
      </c>
      <c r="J16" s="136">
        <v>0.381</v>
      </c>
      <c r="K16" s="136">
        <v>0.34800000000000003</v>
      </c>
      <c r="L16" s="136">
        <v>0.322</v>
      </c>
      <c r="M16" s="136">
        <v>0.315</v>
      </c>
      <c r="N16" s="136">
        <v>0.318</v>
      </c>
      <c r="O16" s="136">
        <v>0.3705833333333333</v>
      </c>
      <c r="Q16" s="137"/>
      <c r="R16" s="137"/>
      <c r="S16" s="137"/>
      <c r="T16" s="137"/>
      <c r="U16" s="137"/>
      <c r="V16" s="137"/>
      <c r="W16" s="137"/>
    </row>
    <row r="17" spans="1:23" ht="9" customHeight="1">
      <c r="A17" s="102">
        <v>1991</v>
      </c>
      <c r="B17" s="102"/>
      <c r="C17" s="136">
        <v>0.332</v>
      </c>
      <c r="D17" s="136">
        <v>0.33</v>
      </c>
      <c r="E17" s="136">
        <v>0.327</v>
      </c>
      <c r="F17" s="136">
        <v>0.339</v>
      </c>
      <c r="G17" s="136">
        <v>0.343</v>
      </c>
      <c r="H17" s="136">
        <v>0.386</v>
      </c>
      <c r="I17" s="136">
        <v>0.376</v>
      </c>
      <c r="J17" s="136">
        <v>0.35</v>
      </c>
      <c r="K17" s="136">
        <v>0.314</v>
      </c>
      <c r="L17" s="136">
        <v>0.29</v>
      </c>
      <c r="M17" s="136">
        <v>0.28700000000000003</v>
      </c>
      <c r="N17" s="136">
        <v>0.28300000000000003</v>
      </c>
      <c r="O17" s="136">
        <v>0.32975</v>
      </c>
      <c r="Q17" s="137"/>
      <c r="R17" s="137"/>
      <c r="S17" s="137"/>
      <c r="T17" s="137"/>
      <c r="U17" s="137"/>
      <c r="V17" s="137"/>
      <c r="W17" s="137"/>
    </row>
    <row r="18" spans="1:23" ht="9" customHeight="1">
      <c r="A18" s="102">
        <v>1992</v>
      </c>
      <c r="B18" s="102"/>
      <c r="C18" s="136">
        <v>0.28600000000000003</v>
      </c>
      <c r="D18" s="136">
        <v>0.285</v>
      </c>
      <c r="E18" s="136">
        <v>0.28</v>
      </c>
      <c r="F18" s="136">
        <v>0.285</v>
      </c>
      <c r="G18" s="136">
        <v>0.292</v>
      </c>
      <c r="H18" s="136">
        <v>0.294</v>
      </c>
      <c r="I18" s="136">
        <v>0.328</v>
      </c>
      <c r="J18" s="136">
        <v>0.352</v>
      </c>
      <c r="K18" s="136">
        <v>0.33</v>
      </c>
      <c r="L18" s="136">
        <v>0.313</v>
      </c>
      <c r="M18" s="136">
        <v>0.301</v>
      </c>
      <c r="N18" s="136">
        <v>0.308</v>
      </c>
      <c r="O18" s="136">
        <f aca="true" t="shared" si="0" ref="O18:O25">AVERAGEA(C18:N18)</f>
        <v>0.3045</v>
      </c>
      <c r="Q18" s="137"/>
      <c r="R18" s="137"/>
      <c r="S18" s="137"/>
      <c r="T18" s="137"/>
      <c r="U18" s="137"/>
      <c r="V18" s="137"/>
      <c r="W18" s="137"/>
    </row>
    <row r="19" spans="1:23" ht="9" customHeight="1">
      <c r="A19" s="102">
        <v>1993</v>
      </c>
      <c r="B19" s="102"/>
      <c r="C19" s="136">
        <v>0.311</v>
      </c>
      <c r="D19" s="136">
        <v>0.311</v>
      </c>
      <c r="E19" s="136">
        <v>0.327</v>
      </c>
      <c r="F19" s="136">
        <v>0.354</v>
      </c>
      <c r="G19" s="136">
        <v>0.36</v>
      </c>
      <c r="H19" s="136">
        <v>0.379</v>
      </c>
      <c r="I19" s="136">
        <v>0.376</v>
      </c>
      <c r="J19" s="136">
        <v>0.37</v>
      </c>
      <c r="K19" s="136">
        <v>0.341</v>
      </c>
      <c r="L19" s="136">
        <v>0.341</v>
      </c>
      <c r="M19" s="136">
        <v>0.34700000000000003</v>
      </c>
      <c r="N19" s="136">
        <v>0.364</v>
      </c>
      <c r="O19" s="136">
        <f t="shared" si="0"/>
        <v>0.34841666666666665</v>
      </c>
      <c r="Q19" s="137"/>
      <c r="R19" s="137"/>
      <c r="S19" s="137"/>
      <c r="T19" s="137"/>
      <c r="U19" s="137"/>
      <c r="V19" s="137"/>
      <c r="W19" s="137"/>
    </row>
    <row r="20" spans="1:23" ht="9" customHeight="1">
      <c r="A20" s="102">
        <v>1994</v>
      </c>
      <c r="B20" s="102"/>
      <c r="C20" s="136">
        <v>0.369</v>
      </c>
      <c r="D20" s="136">
        <v>0.373</v>
      </c>
      <c r="E20" s="136">
        <v>0.395</v>
      </c>
      <c r="F20" s="136">
        <v>0.41300000000000003</v>
      </c>
      <c r="G20" s="136">
        <v>0.389</v>
      </c>
      <c r="H20" s="136">
        <v>0.39</v>
      </c>
      <c r="I20" s="136">
        <v>0.401</v>
      </c>
      <c r="J20" s="136">
        <v>0.389</v>
      </c>
      <c r="K20" s="136">
        <v>0.355</v>
      </c>
      <c r="L20" s="136">
        <v>0.34</v>
      </c>
      <c r="M20" s="136">
        <v>0.339</v>
      </c>
      <c r="N20" s="136">
        <v>0.335</v>
      </c>
      <c r="O20" s="136">
        <f t="shared" si="0"/>
        <v>0.37400000000000005</v>
      </c>
      <c r="Q20" s="137"/>
      <c r="R20" s="137"/>
      <c r="S20" s="137"/>
      <c r="T20" s="137"/>
      <c r="U20" s="137"/>
      <c r="V20" s="137"/>
      <c r="W20" s="137"/>
    </row>
    <row r="21" spans="1:19" ht="9" customHeight="1">
      <c r="A21" s="102">
        <v>1995</v>
      </c>
      <c r="B21" s="102"/>
      <c r="C21" s="136">
        <v>0.339</v>
      </c>
      <c r="D21" s="136">
        <v>0.337</v>
      </c>
      <c r="E21" s="136">
        <v>0.34800000000000003</v>
      </c>
      <c r="F21" s="136">
        <v>0.359</v>
      </c>
      <c r="G21" s="136">
        <v>0.357</v>
      </c>
      <c r="H21" s="136">
        <v>0.396</v>
      </c>
      <c r="I21" s="136">
        <v>0.439</v>
      </c>
      <c r="J21" s="136">
        <v>0.425</v>
      </c>
      <c r="K21" s="136">
        <v>0.399</v>
      </c>
      <c r="L21" s="136">
        <v>0.396</v>
      </c>
      <c r="M21" s="136">
        <v>0.377</v>
      </c>
      <c r="N21" s="136">
        <v>0.38</v>
      </c>
      <c r="O21" s="136">
        <f t="shared" si="0"/>
        <v>0.3793333333333333</v>
      </c>
      <c r="Q21" s="137"/>
      <c r="R21" s="137"/>
      <c r="S21" s="137"/>
    </row>
    <row r="22" spans="1:19" ht="9" customHeight="1">
      <c r="A22" s="102">
        <v>1996</v>
      </c>
      <c r="B22" s="102"/>
      <c r="C22" s="136">
        <v>0.385</v>
      </c>
      <c r="D22" s="136">
        <v>0.385</v>
      </c>
      <c r="E22" s="136">
        <v>0.392</v>
      </c>
      <c r="F22" s="136">
        <v>0.394</v>
      </c>
      <c r="G22" s="136">
        <v>0.392</v>
      </c>
      <c r="H22" s="136">
        <v>0.401</v>
      </c>
      <c r="I22" s="136">
        <v>0.408</v>
      </c>
      <c r="J22" s="136">
        <v>0.403</v>
      </c>
      <c r="K22" s="136">
        <v>0.375</v>
      </c>
      <c r="L22" s="136">
        <v>0.359</v>
      </c>
      <c r="M22" s="136">
        <v>0.343</v>
      </c>
      <c r="N22" s="136">
        <v>0.335</v>
      </c>
      <c r="O22" s="136">
        <f t="shared" si="0"/>
        <v>0.381</v>
      </c>
      <c r="P22" s="136">
        <v>0.401</v>
      </c>
      <c r="Q22" s="139" t="s">
        <v>11</v>
      </c>
      <c r="R22" s="95" t="s">
        <v>11</v>
      </c>
      <c r="S22" s="95" t="s">
        <v>11</v>
      </c>
    </row>
    <row r="23" spans="1:19" ht="9" customHeight="1">
      <c r="A23" s="102">
        <v>1997</v>
      </c>
      <c r="B23" s="102"/>
      <c r="C23" s="136">
        <v>0.335</v>
      </c>
      <c r="D23" s="136">
        <v>0.331</v>
      </c>
      <c r="E23" s="136">
        <v>0.33</v>
      </c>
      <c r="F23" s="136">
        <v>0.335</v>
      </c>
      <c r="G23" s="136">
        <v>0.338</v>
      </c>
      <c r="H23" s="136">
        <v>0.345</v>
      </c>
      <c r="I23" s="140">
        <v>0.367</v>
      </c>
      <c r="J23" s="140">
        <v>0.388</v>
      </c>
      <c r="K23" s="140">
        <v>0.388</v>
      </c>
      <c r="L23" s="140">
        <v>0.374</v>
      </c>
      <c r="M23" s="140">
        <v>0.366</v>
      </c>
      <c r="N23" s="140">
        <v>0.37</v>
      </c>
      <c r="O23" s="136">
        <f t="shared" si="0"/>
        <v>0.35558333333333336</v>
      </c>
      <c r="Q23" s="139"/>
      <c r="R23" s="95"/>
      <c r="S23" s="95"/>
    </row>
    <row r="24" spans="1:19" ht="9" customHeight="1">
      <c r="A24" s="102">
        <v>1998</v>
      </c>
      <c r="B24" s="102"/>
      <c r="C24" s="136">
        <v>0.362</v>
      </c>
      <c r="D24" s="136">
        <v>0.362</v>
      </c>
      <c r="E24" s="136">
        <v>0.368</v>
      </c>
      <c r="F24" s="136">
        <v>0.369</v>
      </c>
      <c r="G24" s="136">
        <v>0.381</v>
      </c>
      <c r="H24" s="136">
        <v>0.39</v>
      </c>
      <c r="I24" s="140">
        <v>0.392</v>
      </c>
      <c r="J24" s="140">
        <v>0.382</v>
      </c>
      <c r="K24" s="140">
        <v>0.376</v>
      </c>
      <c r="L24" s="140">
        <v>0.379</v>
      </c>
      <c r="M24" s="140">
        <v>0.37</v>
      </c>
      <c r="N24" s="140">
        <v>0.375</v>
      </c>
      <c r="O24" s="136">
        <f t="shared" si="0"/>
        <v>0.3755</v>
      </c>
      <c r="Q24" s="139"/>
      <c r="R24" s="95"/>
      <c r="S24" s="95"/>
    </row>
    <row r="25" spans="1:19" ht="9" customHeight="1">
      <c r="A25" s="102">
        <v>1999</v>
      </c>
      <c r="B25" s="102"/>
      <c r="C25" s="136">
        <v>0.381</v>
      </c>
      <c r="D25" s="136">
        <v>0.382</v>
      </c>
      <c r="E25" s="136">
        <v>0.384</v>
      </c>
      <c r="F25" s="136">
        <v>0.38</v>
      </c>
      <c r="G25" s="136">
        <v>0.388</v>
      </c>
      <c r="H25" s="136">
        <v>0.391</v>
      </c>
      <c r="I25" s="140">
        <v>0.411</v>
      </c>
      <c r="J25" s="140">
        <v>0.429</v>
      </c>
      <c r="K25" s="140">
        <v>0.413</v>
      </c>
      <c r="L25" s="140">
        <v>0.393</v>
      </c>
      <c r="M25" s="140">
        <v>0.384</v>
      </c>
      <c r="N25" s="140">
        <v>0.395</v>
      </c>
      <c r="O25" s="136">
        <f t="shared" si="0"/>
        <v>0.39425</v>
      </c>
      <c r="Q25" s="139"/>
      <c r="R25" s="95"/>
      <c r="S25" s="95"/>
    </row>
    <row r="26" spans="1:19" ht="3" customHeight="1">
      <c r="A26" s="102"/>
      <c r="B26" s="102"/>
      <c r="C26" s="136"/>
      <c r="D26" s="136"/>
      <c r="E26" s="136"/>
      <c r="F26" s="136"/>
      <c r="G26" s="136"/>
      <c r="H26" s="136"/>
      <c r="I26" s="140"/>
      <c r="J26" s="140"/>
      <c r="K26" s="140"/>
      <c r="L26" s="140"/>
      <c r="M26" s="140"/>
      <c r="N26" s="140"/>
      <c r="O26" s="136"/>
      <c r="Q26" s="139"/>
      <c r="R26" s="95"/>
      <c r="S26" s="95"/>
    </row>
    <row r="27" spans="1:19" ht="9" customHeight="1">
      <c r="A27" s="102">
        <v>2000</v>
      </c>
      <c r="B27" s="102"/>
      <c r="C27" s="136">
        <v>0.392</v>
      </c>
      <c r="D27" s="136">
        <v>0.401</v>
      </c>
      <c r="E27" s="136">
        <v>0.393</v>
      </c>
      <c r="F27" s="136">
        <v>0.388</v>
      </c>
      <c r="G27" s="136">
        <v>0.379</v>
      </c>
      <c r="H27" s="136">
        <v>0.376</v>
      </c>
      <c r="I27" s="140">
        <v>0.39</v>
      </c>
      <c r="J27" s="140">
        <v>0.4</v>
      </c>
      <c r="K27" s="140">
        <v>0.374</v>
      </c>
      <c r="L27" s="140">
        <v>0.367</v>
      </c>
      <c r="M27" s="140">
        <v>0.351</v>
      </c>
      <c r="N27" s="140">
        <v>0.347</v>
      </c>
      <c r="O27" s="136">
        <f>AVERAGEA(C27:N27)</f>
        <v>0.3798333333333333</v>
      </c>
      <c r="Q27" s="139"/>
      <c r="R27" s="95"/>
      <c r="S27" s="95"/>
    </row>
    <row r="28" spans="1:19" ht="9" customHeight="1">
      <c r="A28" s="102">
        <v>2001</v>
      </c>
      <c r="B28" s="102"/>
      <c r="C28" s="136">
        <v>0.355</v>
      </c>
      <c r="D28" s="136">
        <v>0.348</v>
      </c>
      <c r="E28" s="136">
        <v>0.356</v>
      </c>
      <c r="F28" s="136">
        <v>0.362</v>
      </c>
      <c r="G28" s="136">
        <v>0.363</v>
      </c>
      <c r="H28" s="136">
        <v>0.388</v>
      </c>
      <c r="I28" s="140">
        <v>0.409</v>
      </c>
      <c r="J28" s="140"/>
      <c r="K28" s="140"/>
      <c r="L28" s="140"/>
      <c r="M28" s="140"/>
      <c r="N28" s="140"/>
      <c r="O28" s="136"/>
      <c r="Q28" s="139"/>
      <c r="R28" s="95"/>
      <c r="S28" s="95"/>
    </row>
    <row r="29" spans="1:19" ht="3" customHeight="1">
      <c r="A29" s="141" t="s">
        <v>11</v>
      </c>
      <c r="B29" s="142"/>
      <c r="C29" s="136"/>
      <c r="D29" s="136"/>
      <c r="E29" s="136"/>
      <c r="F29" s="136"/>
      <c r="G29" s="136"/>
      <c r="H29" s="136"/>
      <c r="I29" s="136"/>
      <c r="J29" s="136"/>
      <c r="K29" s="136"/>
      <c r="L29" s="136"/>
      <c r="M29" s="136"/>
      <c r="N29" s="136"/>
      <c r="O29" s="136"/>
      <c r="Q29" s="137"/>
      <c r="R29" s="137"/>
      <c r="S29" s="137"/>
    </row>
    <row r="30" spans="1:23" s="145" customFormat="1" ht="9" customHeight="1">
      <c r="A30" s="103" t="s">
        <v>154</v>
      </c>
      <c r="B30" s="143"/>
      <c r="C30" s="136"/>
      <c r="D30" s="144" t="s">
        <v>11</v>
      </c>
      <c r="E30" s="144" t="s">
        <v>11</v>
      </c>
      <c r="F30" s="136"/>
      <c r="G30" s="136"/>
      <c r="H30" s="136"/>
      <c r="I30" s="136"/>
      <c r="J30" s="136"/>
      <c r="K30" s="136"/>
      <c r="L30" s="136"/>
      <c r="M30" s="136"/>
      <c r="N30" s="136"/>
      <c r="O30" s="136"/>
      <c r="Q30" s="146"/>
      <c r="R30" s="146"/>
      <c r="S30" s="146"/>
      <c r="T30" s="147"/>
      <c r="U30" s="147"/>
      <c r="V30" s="147"/>
      <c r="W30" s="147"/>
    </row>
    <row r="31" spans="1:19" ht="9" customHeight="1">
      <c r="A31" s="102">
        <v>1980</v>
      </c>
      <c r="B31" s="102"/>
      <c r="C31" s="136">
        <v>0.503</v>
      </c>
      <c r="D31" s="136">
        <v>0.501</v>
      </c>
      <c r="E31" s="136">
        <v>0.531</v>
      </c>
      <c r="F31" s="136">
        <v>0.497</v>
      </c>
      <c r="G31" s="136">
        <v>0.509</v>
      </c>
      <c r="H31" s="136">
        <v>0.529</v>
      </c>
      <c r="I31" s="136">
        <v>0.541</v>
      </c>
      <c r="J31" s="136">
        <v>0.554</v>
      </c>
      <c r="K31" s="136">
        <v>0.553</v>
      </c>
      <c r="L31" s="136">
        <v>0.557</v>
      </c>
      <c r="M31" s="136">
        <v>0.5730000000000001</v>
      </c>
      <c r="N31" s="136">
        <v>0.5740000000000001</v>
      </c>
      <c r="O31" s="136">
        <v>0.5351666666666667</v>
      </c>
      <c r="Q31" s="137"/>
      <c r="R31" s="137"/>
      <c r="S31" s="137"/>
    </row>
    <row r="32" spans="1:19" ht="9" customHeight="1">
      <c r="A32" s="102">
        <v>1981</v>
      </c>
      <c r="B32" s="102"/>
      <c r="C32" s="136">
        <v>0.5730000000000001</v>
      </c>
      <c r="D32" s="136">
        <v>0.583</v>
      </c>
      <c r="E32" s="136">
        <v>0.598</v>
      </c>
      <c r="F32" s="136">
        <v>0.613</v>
      </c>
      <c r="G32" s="136">
        <v>0.611</v>
      </c>
      <c r="H32" s="136">
        <v>0.629</v>
      </c>
      <c r="I32" s="136">
        <v>0.642</v>
      </c>
      <c r="J32" s="136">
        <v>0.654</v>
      </c>
      <c r="K32" s="136">
        <v>0.647</v>
      </c>
      <c r="L32" s="136">
        <v>0.658</v>
      </c>
      <c r="M32" s="136">
        <v>0.666</v>
      </c>
      <c r="N32" s="136">
        <v>0.662</v>
      </c>
      <c r="O32" s="136">
        <v>0.628</v>
      </c>
      <c r="Q32" s="137"/>
      <c r="R32" s="137"/>
      <c r="S32" s="137"/>
    </row>
    <row r="33" spans="1:23" ht="9" customHeight="1">
      <c r="A33" s="102">
        <v>1982</v>
      </c>
      <c r="B33" s="102"/>
      <c r="C33" s="136">
        <v>0.666</v>
      </c>
      <c r="D33" s="136">
        <v>0.668</v>
      </c>
      <c r="E33" s="136">
        <v>0.666</v>
      </c>
      <c r="F33" s="136">
        <v>0.679</v>
      </c>
      <c r="G33" s="136">
        <v>0.678</v>
      </c>
      <c r="H33" s="138" t="s">
        <v>153</v>
      </c>
      <c r="I33" s="136">
        <v>0.673</v>
      </c>
      <c r="J33" s="136">
        <v>0.601</v>
      </c>
      <c r="K33" s="136">
        <v>0.613</v>
      </c>
      <c r="L33" s="136">
        <v>0.609</v>
      </c>
      <c r="M33" s="136">
        <v>0.616</v>
      </c>
      <c r="N33" s="136">
        <v>0.622</v>
      </c>
      <c r="O33" s="136">
        <v>0.645</v>
      </c>
      <c r="Q33" s="137"/>
      <c r="R33" s="137"/>
      <c r="S33" s="137"/>
      <c r="T33" s="137"/>
      <c r="U33" s="137"/>
      <c r="V33" s="137"/>
      <c r="W33" s="137"/>
    </row>
    <row r="34" spans="1:23" ht="9" customHeight="1">
      <c r="A34" s="102">
        <v>1983</v>
      </c>
      <c r="B34" s="102"/>
      <c r="C34" s="136">
        <v>0.611</v>
      </c>
      <c r="D34" s="136">
        <v>0.618</v>
      </c>
      <c r="E34" s="136">
        <v>0.617</v>
      </c>
      <c r="F34" s="136">
        <v>0.626</v>
      </c>
      <c r="G34" s="136">
        <v>0.631</v>
      </c>
      <c r="H34" s="136">
        <v>0.626</v>
      </c>
      <c r="I34" s="136">
        <v>0.624</v>
      </c>
      <c r="J34" s="136">
        <v>0.624</v>
      </c>
      <c r="K34" s="136">
        <v>0.62</v>
      </c>
      <c r="L34" s="136">
        <v>0.609</v>
      </c>
      <c r="M34" s="136">
        <v>0.624</v>
      </c>
      <c r="N34" s="136">
        <v>0.623</v>
      </c>
      <c r="O34" s="136">
        <v>0.6210833333333333</v>
      </c>
      <c r="Q34" s="137"/>
      <c r="R34" s="137"/>
      <c r="S34" s="137"/>
      <c r="T34" s="137"/>
      <c r="U34" s="137"/>
      <c r="V34" s="137"/>
      <c r="W34" s="137"/>
    </row>
    <row r="35" spans="1:23" ht="9" customHeight="1">
      <c r="A35" s="102">
        <v>1984</v>
      </c>
      <c r="B35" s="102"/>
      <c r="C35" s="136">
        <v>0.679</v>
      </c>
      <c r="D35" s="136">
        <v>0.683</v>
      </c>
      <c r="E35" s="136">
        <v>0.645</v>
      </c>
      <c r="F35" s="136">
        <v>0.681</v>
      </c>
      <c r="G35" s="136">
        <v>0.6880000000000001</v>
      </c>
      <c r="H35" s="136">
        <v>0.679</v>
      </c>
      <c r="I35" s="136">
        <v>0.661</v>
      </c>
      <c r="J35" s="136">
        <v>0.669</v>
      </c>
      <c r="K35" s="136">
        <v>0.663</v>
      </c>
      <c r="L35" s="136">
        <v>0.671</v>
      </c>
      <c r="M35" s="136">
        <v>0.671</v>
      </c>
      <c r="N35" s="136">
        <v>0.682</v>
      </c>
      <c r="O35" s="136">
        <v>0.6726666666666666</v>
      </c>
      <c r="Q35" s="137"/>
      <c r="R35" s="137"/>
      <c r="S35" s="137"/>
      <c r="T35" s="137"/>
      <c r="U35" s="137"/>
      <c r="V35" s="137"/>
      <c r="W35" s="137"/>
    </row>
    <row r="36" spans="1:23" ht="9" customHeight="1">
      <c r="A36" s="102">
        <v>1985</v>
      </c>
      <c r="B36" s="102"/>
      <c r="C36" s="136">
        <v>0.687</v>
      </c>
      <c r="D36" s="136">
        <v>0.6910000000000001</v>
      </c>
      <c r="E36" s="136">
        <v>0.68</v>
      </c>
      <c r="F36" s="136">
        <v>0.6970000000000001</v>
      </c>
      <c r="G36" s="136">
        <v>0.705</v>
      </c>
      <c r="H36" s="136">
        <v>0.717</v>
      </c>
      <c r="I36" s="136">
        <v>0.718</v>
      </c>
      <c r="J36" s="136">
        <v>0.722</v>
      </c>
      <c r="K36" s="136">
        <v>0.718</v>
      </c>
      <c r="L36" s="136">
        <v>0.706</v>
      </c>
      <c r="M36" s="136">
        <v>0.7020000000000001</v>
      </c>
      <c r="N36" s="136">
        <v>0.732</v>
      </c>
      <c r="O36" s="136">
        <v>0.70625</v>
      </c>
      <c r="Q36" s="137"/>
      <c r="R36" s="137"/>
      <c r="S36" s="137"/>
      <c r="T36" s="137"/>
      <c r="U36" s="137"/>
      <c r="V36" s="137"/>
      <c r="W36" s="137"/>
    </row>
    <row r="37" spans="1:23" ht="9" customHeight="1">
      <c r="A37" s="102">
        <v>1986</v>
      </c>
      <c r="B37" s="102"/>
      <c r="C37" s="136">
        <v>0.712</v>
      </c>
      <c r="D37" s="136">
        <v>0.718</v>
      </c>
      <c r="E37" s="136">
        <v>0.659</v>
      </c>
      <c r="F37" s="136">
        <v>0.677</v>
      </c>
      <c r="G37" s="136">
        <v>0.683</v>
      </c>
      <c r="H37" s="136">
        <v>0.663</v>
      </c>
      <c r="I37" s="136">
        <v>0.665</v>
      </c>
      <c r="J37" s="136">
        <v>0.715</v>
      </c>
      <c r="K37" s="136">
        <v>0.714</v>
      </c>
      <c r="L37" s="136">
        <v>0.707</v>
      </c>
      <c r="M37" s="136">
        <v>0.715</v>
      </c>
      <c r="N37" s="136">
        <v>0.718</v>
      </c>
      <c r="O37" s="136">
        <v>0.6955</v>
      </c>
      <c r="Q37" s="137"/>
      <c r="R37" s="137"/>
      <c r="S37" s="137"/>
      <c r="T37" s="137"/>
      <c r="U37" s="137"/>
      <c r="V37" s="137"/>
      <c r="W37" s="137"/>
    </row>
    <row r="38" spans="1:23" ht="9" customHeight="1">
      <c r="A38" s="102">
        <v>1987</v>
      </c>
      <c r="B38" s="102"/>
      <c r="C38" s="136">
        <v>0.72</v>
      </c>
      <c r="D38" s="136">
        <v>0.715</v>
      </c>
      <c r="E38" s="136">
        <v>0.707</v>
      </c>
      <c r="F38" s="136">
        <v>0.673</v>
      </c>
      <c r="G38" s="136">
        <v>0.681</v>
      </c>
      <c r="H38" s="136">
        <v>0.6920000000000001</v>
      </c>
      <c r="I38" s="136">
        <v>0.6920000000000001</v>
      </c>
      <c r="J38" s="136">
        <v>0.673</v>
      </c>
      <c r="K38" s="136">
        <v>0.666</v>
      </c>
      <c r="L38" s="136">
        <v>0.672</v>
      </c>
      <c r="M38" s="136">
        <v>0.6960000000000001</v>
      </c>
      <c r="N38" s="136">
        <v>0.6980000000000001</v>
      </c>
      <c r="O38" s="136">
        <v>0.6904166666666667</v>
      </c>
      <c r="Q38" s="137"/>
      <c r="R38" s="137"/>
      <c r="S38" s="137"/>
      <c r="T38" s="137"/>
      <c r="U38" s="137"/>
      <c r="V38" s="137"/>
      <c r="W38" s="137"/>
    </row>
    <row r="39" spans="1:23" ht="9" customHeight="1">
      <c r="A39" s="102">
        <v>1988</v>
      </c>
      <c r="B39" s="102"/>
      <c r="C39" s="136">
        <v>0.705</v>
      </c>
      <c r="D39" s="136">
        <v>0.6880000000000001</v>
      </c>
      <c r="E39" s="136">
        <v>0.7030000000000001</v>
      </c>
      <c r="F39" s="136">
        <v>0.7</v>
      </c>
      <c r="G39" s="136">
        <v>0.6910000000000001</v>
      </c>
      <c r="H39" s="136">
        <v>0.69</v>
      </c>
      <c r="I39" s="136">
        <v>0.71</v>
      </c>
      <c r="J39" s="136">
        <v>0.6940000000000001</v>
      </c>
      <c r="K39" s="136">
        <v>0.6960000000000001</v>
      </c>
      <c r="L39" s="136">
        <v>0.708</v>
      </c>
      <c r="M39" s="136">
        <v>0.6910000000000001</v>
      </c>
      <c r="N39" s="136">
        <v>0.7020000000000001</v>
      </c>
      <c r="O39" s="136">
        <v>0.6981666666666667</v>
      </c>
      <c r="Q39" s="137"/>
      <c r="R39" s="137"/>
      <c r="S39" s="137"/>
      <c r="T39" s="137"/>
      <c r="U39" s="137"/>
      <c r="V39" s="137"/>
      <c r="W39" s="137"/>
    </row>
    <row r="40" spans="1:19" ht="9" customHeight="1">
      <c r="A40" s="102">
        <v>1989</v>
      </c>
      <c r="B40" s="102"/>
      <c r="C40" s="136">
        <v>0.716</v>
      </c>
      <c r="D40" s="136">
        <v>0.713</v>
      </c>
      <c r="E40" s="136">
        <v>0.713</v>
      </c>
      <c r="F40" s="136">
        <v>0.735</v>
      </c>
      <c r="G40" s="136">
        <v>0.727</v>
      </c>
      <c r="H40" s="136">
        <v>0.729</v>
      </c>
      <c r="I40" s="136">
        <v>0.767</v>
      </c>
      <c r="J40" s="136">
        <v>0.776</v>
      </c>
      <c r="K40" s="136">
        <v>0.773</v>
      </c>
      <c r="L40" s="136">
        <v>0.78</v>
      </c>
      <c r="M40" s="136">
        <v>0.79</v>
      </c>
      <c r="N40" s="136">
        <v>0.796</v>
      </c>
      <c r="O40" s="136">
        <v>0.75125</v>
      </c>
      <c r="Q40" s="137"/>
      <c r="R40" s="137"/>
      <c r="S40" s="137"/>
    </row>
    <row r="41" spans="1:19" ht="3" customHeight="1">
      <c r="A41" s="102"/>
      <c r="B41" s="102"/>
      <c r="C41" s="136"/>
      <c r="D41" s="136"/>
      <c r="E41" s="136"/>
      <c r="F41" s="136"/>
      <c r="G41" s="136"/>
      <c r="H41" s="136"/>
      <c r="I41" s="136"/>
      <c r="J41" s="136"/>
      <c r="K41" s="136"/>
      <c r="L41" s="136"/>
      <c r="M41" s="136"/>
      <c r="N41" s="136"/>
      <c r="O41" s="136"/>
      <c r="Q41" s="137"/>
      <c r="R41" s="137"/>
      <c r="S41" s="137"/>
    </row>
    <row r="42" spans="1:19" ht="9" customHeight="1">
      <c r="A42" s="102">
        <v>1990</v>
      </c>
      <c r="B42" s="102"/>
      <c r="C42" s="136">
        <v>0.809</v>
      </c>
      <c r="D42" s="136">
        <v>0.841</v>
      </c>
      <c r="E42" s="136">
        <v>0.8180000000000001</v>
      </c>
      <c r="F42" s="136">
        <v>0.833</v>
      </c>
      <c r="G42" s="136">
        <v>0.8320000000000001</v>
      </c>
      <c r="H42" s="136">
        <v>0.8310000000000001</v>
      </c>
      <c r="I42" s="136">
        <v>0.845</v>
      </c>
      <c r="J42" s="136">
        <v>0.887</v>
      </c>
      <c r="K42" s="136">
        <v>0.8290000000000001</v>
      </c>
      <c r="L42" s="136">
        <v>0.8270000000000001</v>
      </c>
      <c r="M42" s="136">
        <v>0.8310000000000001</v>
      </c>
      <c r="N42" s="136">
        <v>0.85</v>
      </c>
      <c r="O42" s="136">
        <f aca="true" t="shared" si="1" ref="O42:O51">AVERAGEA(C42:N42)</f>
        <v>0.8360833333333333</v>
      </c>
      <c r="Q42" s="137"/>
      <c r="R42" s="137"/>
      <c r="S42" s="137"/>
    </row>
    <row r="43" spans="1:23" ht="9" customHeight="1">
      <c r="A43" s="102">
        <v>1991</v>
      </c>
      <c r="B43" s="102"/>
      <c r="C43" s="136">
        <v>0.853</v>
      </c>
      <c r="D43" s="136">
        <v>0.839</v>
      </c>
      <c r="E43" s="136">
        <v>0.8220000000000001</v>
      </c>
      <c r="F43" s="136">
        <v>0.811</v>
      </c>
      <c r="G43" s="136">
        <v>0.8320000000000001</v>
      </c>
      <c r="H43" s="136">
        <v>0.835</v>
      </c>
      <c r="I43" s="136">
        <v>0.843</v>
      </c>
      <c r="J43" s="136">
        <v>0.861</v>
      </c>
      <c r="K43" s="136">
        <v>0.855</v>
      </c>
      <c r="L43" s="136">
        <v>0.866</v>
      </c>
      <c r="M43" s="136">
        <v>0.9</v>
      </c>
      <c r="N43" s="136">
        <v>0.924</v>
      </c>
      <c r="O43" s="136">
        <f t="shared" si="1"/>
        <v>0.8534166666666666</v>
      </c>
      <c r="Q43" s="137"/>
      <c r="R43" s="137"/>
      <c r="S43" s="137"/>
      <c r="T43" s="148"/>
      <c r="U43" s="148"/>
      <c r="V43" s="148"/>
      <c r="W43" s="148"/>
    </row>
    <row r="44" spans="1:19" ht="9" customHeight="1">
      <c r="A44" s="102">
        <v>1992</v>
      </c>
      <c r="B44" s="102"/>
      <c r="C44" s="136">
        <v>0.93</v>
      </c>
      <c r="D44" s="136">
        <v>0.924</v>
      </c>
      <c r="E44" s="136">
        <v>0.853</v>
      </c>
      <c r="F44" s="136">
        <v>0.841</v>
      </c>
      <c r="G44" s="136">
        <v>0.853</v>
      </c>
      <c r="H44" s="136">
        <v>0.853</v>
      </c>
      <c r="I44" s="136">
        <v>0.858</v>
      </c>
      <c r="J44" s="136">
        <v>0.869</v>
      </c>
      <c r="K44" s="136">
        <v>0.858</v>
      </c>
      <c r="L44" s="136">
        <v>0.857</v>
      </c>
      <c r="M44" s="136">
        <v>0.873</v>
      </c>
      <c r="N44" s="136">
        <v>0.857</v>
      </c>
      <c r="O44" s="136">
        <f t="shared" si="1"/>
        <v>0.868833333333333</v>
      </c>
      <c r="Q44" s="137"/>
      <c r="R44" s="137"/>
      <c r="S44" s="137"/>
    </row>
    <row r="45" spans="1:19" ht="9" customHeight="1">
      <c r="A45" s="102">
        <v>1993</v>
      </c>
      <c r="B45" s="102"/>
      <c r="C45" s="136">
        <v>0.87</v>
      </c>
      <c r="D45" s="136">
        <v>0.845</v>
      </c>
      <c r="E45" s="136">
        <v>0.859</v>
      </c>
      <c r="F45" s="136">
        <v>0.846</v>
      </c>
      <c r="G45" s="136">
        <v>0.848</v>
      </c>
      <c r="H45" s="136">
        <v>0.873</v>
      </c>
      <c r="I45" s="136">
        <v>0.887</v>
      </c>
      <c r="J45" s="136">
        <v>0.842</v>
      </c>
      <c r="K45" s="136">
        <v>0.862</v>
      </c>
      <c r="L45" s="136">
        <v>0.864</v>
      </c>
      <c r="M45" s="136">
        <v>0.877</v>
      </c>
      <c r="N45" s="136">
        <v>0.871</v>
      </c>
      <c r="O45" s="136">
        <f t="shared" si="1"/>
        <v>0.8620000000000001</v>
      </c>
      <c r="Q45" s="137"/>
      <c r="R45" s="137"/>
      <c r="S45" s="137"/>
    </row>
    <row r="46" spans="1:19" ht="9" customHeight="1">
      <c r="A46" s="102">
        <v>1994</v>
      </c>
      <c r="B46" s="102"/>
      <c r="C46" s="136">
        <v>0.887</v>
      </c>
      <c r="D46" s="136">
        <v>0.881</v>
      </c>
      <c r="E46" s="136">
        <v>0.877</v>
      </c>
      <c r="F46" s="136">
        <v>0.845</v>
      </c>
      <c r="G46" s="136">
        <v>0.871</v>
      </c>
      <c r="H46" s="136">
        <v>0.871</v>
      </c>
      <c r="I46" s="136">
        <v>0.844</v>
      </c>
      <c r="J46" s="136">
        <v>0.856</v>
      </c>
      <c r="K46" s="136">
        <v>0.87</v>
      </c>
      <c r="L46" s="136">
        <v>0.853</v>
      </c>
      <c r="M46" s="136">
        <v>0.846</v>
      </c>
      <c r="N46" s="136">
        <v>0.838</v>
      </c>
      <c r="O46" s="136">
        <f t="shared" si="1"/>
        <v>0.8615833333333334</v>
      </c>
      <c r="Q46" s="137"/>
      <c r="R46" s="137"/>
      <c r="S46" s="137"/>
    </row>
    <row r="47" spans="1:17" ht="9" customHeight="1">
      <c r="A47" s="102">
        <v>1995</v>
      </c>
      <c r="B47" s="102"/>
      <c r="C47" s="136">
        <v>0.847</v>
      </c>
      <c r="D47" s="136">
        <v>0.839</v>
      </c>
      <c r="E47" s="136">
        <v>0.854</v>
      </c>
      <c r="F47" s="136">
        <v>0.841</v>
      </c>
      <c r="G47" s="136">
        <v>0.863</v>
      </c>
      <c r="H47" s="136">
        <v>0.879</v>
      </c>
      <c r="I47" s="136">
        <v>0.869</v>
      </c>
      <c r="J47" s="136">
        <v>0.876</v>
      </c>
      <c r="K47" s="136">
        <v>0.864</v>
      </c>
      <c r="L47" s="136">
        <v>0.852</v>
      </c>
      <c r="M47" s="136">
        <v>0.886</v>
      </c>
      <c r="N47" s="136">
        <v>0.864</v>
      </c>
      <c r="O47" s="136">
        <f t="shared" si="1"/>
        <v>0.8611666666666666</v>
      </c>
      <c r="Q47" s="137"/>
    </row>
    <row r="48" spans="1:20" ht="9" customHeight="1">
      <c r="A48" s="102">
        <v>1996</v>
      </c>
      <c r="B48" s="102"/>
      <c r="C48" s="136">
        <v>0.854</v>
      </c>
      <c r="D48" s="136">
        <v>0.896</v>
      </c>
      <c r="E48" s="136">
        <v>0.866</v>
      </c>
      <c r="F48" s="136">
        <v>0.868</v>
      </c>
      <c r="G48" s="136">
        <v>0.904</v>
      </c>
      <c r="H48" s="136">
        <v>0.906</v>
      </c>
      <c r="I48" s="136">
        <v>0.899</v>
      </c>
      <c r="J48" s="136">
        <v>0.921</v>
      </c>
      <c r="K48" s="136">
        <v>0.909</v>
      </c>
      <c r="L48" s="136">
        <v>0.908</v>
      </c>
      <c r="M48" s="136">
        <v>0.912</v>
      </c>
      <c r="N48" s="136">
        <v>0.897</v>
      </c>
      <c r="O48" s="136">
        <f t="shared" si="1"/>
        <v>0.895</v>
      </c>
      <c r="Q48" s="139" t="s">
        <v>11</v>
      </c>
      <c r="R48" s="139" t="s">
        <v>11</v>
      </c>
      <c r="S48" s="139" t="s">
        <v>11</v>
      </c>
      <c r="T48" s="95" t="s">
        <v>11</v>
      </c>
    </row>
    <row r="49" spans="1:20" ht="9" customHeight="1">
      <c r="A49" s="102">
        <v>1997</v>
      </c>
      <c r="B49" s="102"/>
      <c r="C49" s="136">
        <v>0.924</v>
      </c>
      <c r="D49" s="136">
        <v>0.926</v>
      </c>
      <c r="E49" s="136">
        <v>0.914</v>
      </c>
      <c r="F49" s="136">
        <v>0.929</v>
      </c>
      <c r="G49" s="136">
        <v>0.912</v>
      </c>
      <c r="H49" s="136">
        <v>0.921</v>
      </c>
      <c r="I49" s="140">
        <v>0.938</v>
      </c>
      <c r="J49" s="140">
        <v>0.961</v>
      </c>
      <c r="K49" s="140">
        <v>0.942</v>
      </c>
      <c r="L49" s="140">
        <v>0.94</v>
      </c>
      <c r="M49" s="136">
        <v>0.967</v>
      </c>
      <c r="N49" s="136">
        <v>0.95</v>
      </c>
      <c r="O49" s="136">
        <f t="shared" si="1"/>
        <v>0.9353333333333333</v>
      </c>
      <c r="Q49" s="139"/>
      <c r="R49" s="139"/>
      <c r="S49" s="139"/>
      <c r="T49" s="95"/>
    </row>
    <row r="50" spans="1:20" ht="9" customHeight="1">
      <c r="A50" s="102">
        <v>1998</v>
      </c>
      <c r="B50" s="102"/>
      <c r="C50" s="136">
        <v>0.981</v>
      </c>
      <c r="D50" s="136">
        <v>0.99</v>
      </c>
      <c r="E50" s="136">
        <v>0.999</v>
      </c>
      <c r="F50" s="136">
        <v>0.985</v>
      </c>
      <c r="G50" s="136">
        <v>1.01</v>
      </c>
      <c r="H50" s="136">
        <v>1.022</v>
      </c>
      <c r="I50" s="140">
        <v>1.023</v>
      </c>
      <c r="J50" s="140">
        <v>1.033</v>
      </c>
      <c r="K50" s="140">
        <v>1.009</v>
      </c>
      <c r="L50" s="140">
        <v>1.007</v>
      </c>
      <c r="M50" s="136">
        <v>0.994</v>
      </c>
      <c r="N50" s="136">
        <v>1.023</v>
      </c>
      <c r="O50" s="136">
        <f t="shared" si="1"/>
        <v>1.0063333333333333</v>
      </c>
      <c r="Q50" s="139"/>
      <c r="R50" s="139"/>
      <c r="S50" s="139"/>
      <c r="T50" s="95"/>
    </row>
    <row r="51" spans="1:20" ht="9" customHeight="1">
      <c r="A51" s="102">
        <v>1999</v>
      </c>
      <c r="B51" s="102"/>
      <c r="C51" s="136">
        <v>1</v>
      </c>
      <c r="D51" s="136">
        <v>1.022</v>
      </c>
      <c r="E51" s="136">
        <v>0.969</v>
      </c>
      <c r="F51" s="136">
        <v>0.995</v>
      </c>
      <c r="G51" s="136">
        <v>1.03</v>
      </c>
      <c r="H51" s="136">
        <v>1.003</v>
      </c>
      <c r="I51" s="140">
        <v>0.995</v>
      </c>
      <c r="J51" s="140">
        <v>1.042</v>
      </c>
      <c r="K51" s="140">
        <v>1.036</v>
      </c>
      <c r="L51" s="140">
        <v>1.076</v>
      </c>
      <c r="M51" s="136">
        <v>1.032</v>
      </c>
      <c r="N51" s="136">
        <v>1.039</v>
      </c>
      <c r="O51" s="136">
        <f t="shared" si="1"/>
        <v>1.0199166666666668</v>
      </c>
      <c r="Q51" s="139"/>
      <c r="R51" s="139"/>
      <c r="S51" s="139"/>
      <c r="T51" s="95"/>
    </row>
    <row r="52" spans="1:20" ht="3" customHeight="1">
      <c r="A52" s="102"/>
      <c r="B52" s="102"/>
      <c r="C52" s="136"/>
      <c r="D52" s="136"/>
      <c r="E52" s="136"/>
      <c r="F52" s="136"/>
      <c r="G52" s="136"/>
      <c r="H52" s="136"/>
      <c r="I52" s="140"/>
      <c r="J52" s="140"/>
      <c r="K52" s="140"/>
      <c r="L52" s="140"/>
      <c r="M52" s="136"/>
      <c r="N52" s="136"/>
      <c r="O52" s="136"/>
      <c r="Q52" s="139"/>
      <c r="R52" s="139"/>
      <c r="S52" s="139"/>
      <c r="T52" s="95"/>
    </row>
    <row r="53" spans="1:20" ht="9" customHeight="1">
      <c r="A53" s="102">
        <v>2000</v>
      </c>
      <c r="B53" s="102"/>
      <c r="C53" s="136">
        <v>1.066</v>
      </c>
      <c r="D53" s="136">
        <v>1.067</v>
      </c>
      <c r="E53" s="136">
        <v>1.048</v>
      </c>
      <c r="F53" s="136">
        <v>1.045</v>
      </c>
      <c r="G53" s="136">
        <v>1.054</v>
      </c>
      <c r="H53" s="136">
        <v>1.024</v>
      </c>
      <c r="I53" s="140">
        <v>0.984</v>
      </c>
      <c r="J53" s="140">
        <v>1.037</v>
      </c>
      <c r="K53" s="140">
        <v>1.032</v>
      </c>
      <c r="L53" s="140">
        <v>1.058</v>
      </c>
      <c r="M53" s="140">
        <v>1.075</v>
      </c>
      <c r="N53" s="140">
        <v>1.09</v>
      </c>
      <c r="O53" s="136">
        <f>AVERAGEA(C53:N53)</f>
        <v>1.0483333333333331</v>
      </c>
      <c r="Q53" s="139"/>
      <c r="R53" s="139"/>
      <c r="S53" s="139"/>
      <c r="T53" s="95"/>
    </row>
    <row r="54" spans="1:20" ht="9" customHeight="1">
      <c r="A54" s="102">
        <v>2001</v>
      </c>
      <c r="B54" s="102"/>
      <c r="C54" s="136">
        <v>1.054</v>
      </c>
      <c r="D54" s="136">
        <v>1.077</v>
      </c>
      <c r="E54" s="136">
        <v>1.061</v>
      </c>
      <c r="F54" s="136">
        <v>1.049</v>
      </c>
      <c r="G54" s="136">
        <v>1.06</v>
      </c>
      <c r="H54" s="136">
        <v>1.071</v>
      </c>
      <c r="I54" s="140">
        <v>1.099</v>
      </c>
      <c r="J54" s="140"/>
      <c r="K54" s="140"/>
      <c r="L54" s="140"/>
      <c r="M54" s="144"/>
      <c r="N54" s="144"/>
      <c r="O54" s="144"/>
      <c r="Q54" s="139"/>
      <c r="R54" s="139"/>
      <c r="S54" s="139"/>
      <c r="T54" s="95"/>
    </row>
    <row r="55" spans="1:19" ht="3" customHeight="1">
      <c r="A55" s="90" t="s">
        <v>11</v>
      </c>
      <c r="B55" s="102"/>
      <c r="C55" s="136"/>
      <c r="D55" s="136"/>
      <c r="E55" s="136"/>
      <c r="F55" s="136"/>
      <c r="G55" s="136"/>
      <c r="H55" s="144" t="s">
        <v>11</v>
      </c>
      <c r="I55" s="136"/>
      <c r="J55" s="136"/>
      <c r="K55" s="136"/>
      <c r="L55" s="136"/>
      <c r="M55" s="136"/>
      <c r="N55" s="136"/>
      <c r="O55" s="136"/>
      <c r="Q55" s="137"/>
      <c r="R55" s="137"/>
      <c r="S55" s="137"/>
    </row>
    <row r="56" spans="1:19" ht="9" customHeight="1">
      <c r="A56" s="125" t="s">
        <v>155</v>
      </c>
      <c r="B56" s="135"/>
      <c r="C56" s="136"/>
      <c r="D56" s="136"/>
      <c r="E56" s="136"/>
      <c r="F56" s="136"/>
      <c r="G56" s="136"/>
      <c r="H56" s="136"/>
      <c r="I56" s="136"/>
      <c r="J56" s="136"/>
      <c r="K56" s="136"/>
      <c r="L56" s="136"/>
      <c r="M56" s="136"/>
      <c r="N56" s="136"/>
      <c r="O56" s="136"/>
      <c r="Q56" s="137"/>
      <c r="R56" s="137"/>
      <c r="S56" s="137"/>
    </row>
    <row r="57" spans="1:19" ht="9" customHeight="1">
      <c r="A57" s="102">
        <v>1980</v>
      </c>
      <c r="B57" s="102"/>
      <c r="C57" s="136">
        <v>1.981</v>
      </c>
      <c r="D57" s="136">
        <v>1.994</v>
      </c>
      <c r="E57" s="136">
        <v>2.003</v>
      </c>
      <c r="F57" s="136">
        <v>2.006</v>
      </c>
      <c r="G57" s="136">
        <v>2.006</v>
      </c>
      <c r="H57" s="136">
        <v>2.018</v>
      </c>
      <c r="I57" s="136">
        <v>2.012</v>
      </c>
      <c r="J57" s="136">
        <v>2.046</v>
      </c>
      <c r="K57" s="136">
        <v>2.035</v>
      </c>
      <c r="L57" s="136">
        <v>2.066</v>
      </c>
      <c r="M57" s="136">
        <v>2.138</v>
      </c>
      <c r="N57" s="136">
        <v>2.176</v>
      </c>
      <c r="O57" s="136">
        <v>2.0400833333333335</v>
      </c>
      <c r="Q57" s="137"/>
      <c r="R57" s="137"/>
      <c r="S57" s="137"/>
    </row>
    <row r="58" spans="1:19" ht="9" customHeight="1">
      <c r="A58" s="102">
        <v>1981</v>
      </c>
      <c r="B58" s="102"/>
      <c r="C58" s="136">
        <v>2.203</v>
      </c>
      <c r="D58" s="136">
        <v>2.195</v>
      </c>
      <c r="E58" s="136">
        <v>2.229</v>
      </c>
      <c r="F58" s="136">
        <v>2.277</v>
      </c>
      <c r="G58" s="136">
        <v>2.271</v>
      </c>
      <c r="H58" s="136">
        <v>2.295</v>
      </c>
      <c r="I58" s="136">
        <v>2.256</v>
      </c>
      <c r="J58" s="136">
        <v>2.293</v>
      </c>
      <c r="K58" s="136">
        <v>2.301</v>
      </c>
      <c r="L58" s="136">
        <v>2.324</v>
      </c>
      <c r="M58" s="136">
        <v>2.375</v>
      </c>
      <c r="N58" s="136">
        <v>2.338</v>
      </c>
      <c r="O58" s="136">
        <v>2.27975</v>
      </c>
      <c r="Q58" s="137"/>
      <c r="R58" s="137"/>
      <c r="S58" s="137"/>
    </row>
    <row r="59" spans="1:19" ht="9" customHeight="1">
      <c r="A59" s="102">
        <v>1982</v>
      </c>
      <c r="B59" s="102"/>
      <c r="C59" s="136">
        <v>2.38</v>
      </c>
      <c r="D59" s="136">
        <v>2.413</v>
      </c>
      <c r="E59" s="136">
        <v>2.391</v>
      </c>
      <c r="F59" s="136">
        <v>2.38</v>
      </c>
      <c r="G59" s="136">
        <v>2.4</v>
      </c>
      <c r="H59" s="136">
        <v>2.385</v>
      </c>
      <c r="I59" s="136">
        <v>2.394</v>
      </c>
      <c r="J59" s="136">
        <v>2.424</v>
      </c>
      <c r="K59" s="136">
        <v>2.4</v>
      </c>
      <c r="L59" s="136">
        <v>2.431</v>
      </c>
      <c r="M59" s="136">
        <v>2.388</v>
      </c>
      <c r="N59" s="136">
        <v>2.395</v>
      </c>
      <c r="O59" s="136">
        <v>2.398416666666667</v>
      </c>
      <c r="Q59" s="137"/>
      <c r="R59" s="137"/>
      <c r="S59" s="137"/>
    </row>
    <row r="60" spans="1:19" ht="9" customHeight="1">
      <c r="A60" s="102">
        <v>1983</v>
      </c>
      <c r="B60" s="102"/>
      <c r="C60" s="136">
        <v>2.441</v>
      </c>
      <c r="D60" s="136">
        <v>2.486</v>
      </c>
      <c r="E60" s="136">
        <v>2.508</v>
      </c>
      <c r="F60" s="136">
        <v>2.52</v>
      </c>
      <c r="G60" s="136">
        <v>2.536</v>
      </c>
      <c r="H60" s="136">
        <v>2.472</v>
      </c>
      <c r="I60" s="136">
        <v>2.475</v>
      </c>
      <c r="J60" s="136">
        <v>2.524</v>
      </c>
      <c r="K60" s="136">
        <v>2.54</v>
      </c>
      <c r="L60" s="136">
        <v>2.5</v>
      </c>
      <c r="M60" s="136">
        <v>2.515</v>
      </c>
      <c r="N60" s="136">
        <v>2.526</v>
      </c>
      <c r="O60" s="136">
        <v>2.5035833333333333</v>
      </c>
      <c r="Q60" s="137"/>
      <c r="R60" s="137"/>
      <c r="S60" s="137"/>
    </row>
    <row r="61" spans="1:19" ht="9" customHeight="1">
      <c r="A61" s="102">
        <v>1984</v>
      </c>
      <c r="B61" s="102"/>
      <c r="C61" s="136">
        <v>2.492</v>
      </c>
      <c r="D61" s="136">
        <v>2.564</v>
      </c>
      <c r="E61" s="136">
        <v>2.516</v>
      </c>
      <c r="F61" s="136">
        <v>2.52</v>
      </c>
      <c r="G61" s="136">
        <v>2.558</v>
      </c>
      <c r="H61" s="136">
        <v>2.561</v>
      </c>
      <c r="I61" s="136">
        <v>2.577</v>
      </c>
      <c r="J61" s="136">
        <v>2.6</v>
      </c>
      <c r="K61" s="136">
        <v>2.613</v>
      </c>
      <c r="L61" s="136">
        <v>2.628</v>
      </c>
      <c r="M61" s="136">
        <v>2.592</v>
      </c>
      <c r="N61" s="136">
        <v>2.58</v>
      </c>
      <c r="O61" s="136">
        <v>2.56675</v>
      </c>
      <c r="Q61" s="137"/>
      <c r="R61" s="137"/>
      <c r="S61" s="137"/>
    </row>
    <row r="62" spans="1:19" ht="9" customHeight="1">
      <c r="A62" s="102">
        <v>1985</v>
      </c>
      <c r="B62" s="102"/>
      <c r="C62" s="136">
        <v>2.602</v>
      </c>
      <c r="D62" s="136">
        <v>2.609</v>
      </c>
      <c r="E62" s="136">
        <v>2.609</v>
      </c>
      <c r="F62" s="136">
        <v>2.629</v>
      </c>
      <c r="G62" s="136">
        <v>2.615</v>
      </c>
      <c r="H62" s="136">
        <v>2.607</v>
      </c>
      <c r="I62" s="136">
        <v>2.615</v>
      </c>
      <c r="J62" s="136">
        <v>2.601</v>
      </c>
      <c r="K62" s="136">
        <v>2.558</v>
      </c>
      <c r="L62" s="136">
        <v>2.596</v>
      </c>
      <c r="M62" s="136">
        <v>2.598</v>
      </c>
      <c r="N62" s="136">
        <v>2.631</v>
      </c>
      <c r="O62" s="136">
        <v>2.6058333333333334</v>
      </c>
      <c r="Q62" s="137"/>
      <c r="R62" s="137"/>
      <c r="S62" s="137"/>
    </row>
    <row r="63" spans="1:19" ht="9" customHeight="1">
      <c r="A63" s="102">
        <v>1986</v>
      </c>
      <c r="B63" s="102"/>
      <c r="C63" s="136">
        <v>2.61</v>
      </c>
      <c r="D63" s="136">
        <v>2.608</v>
      </c>
      <c r="E63" s="136">
        <v>2.625</v>
      </c>
      <c r="F63" s="136">
        <v>2.621</v>
      </c>
      <c r="G63" s="136">
        <v>2.622</v>
      </c>
      <c r="H63" s="136">
        <v>2.708</v>
      </c>
      <c r="I63" s="136">
        <v>2.644</v>
      </c>
      <c r="J63" s="136">
        <v>2.72</v>
      </c>
      <c r="K63" s="136">
        <v>2.701</v>
      </c>
      <c r="L63" s="136">
        <v>2.752</v>
      </c>
      <c r="M63" s="136">
        <v>2.742</v>
      </c>
      <c r="N63" s="136">
        <v>2.749</v>
      </c>
      <c r="O63" s="136">
        <v>2.6751666666666667</v>
      </c>
      <c r="Q63" s="137"/>
      <c r="R63" s="137"/>
      <c r="S63" s="137"/>
    </row>
    <row r="64" spans="1:19" ht="9" customHeight="1">
      <c r="A64" s="102">
        <v>1987</v>
      </c>
      <c r="B64" s="102"/>
      <c r="C64" s="136">
        <v>2.754</v>
      </c>
      <c r="D64" s="136">
        <v>2.786</v>
      </c>
      <c r="E64" s="136">
        <v>2.808</v>
      </c>
      <c r="F64" s="136">
        <v>2.804</v>
      </c>
      <c r="G64" s="136">
        <v>2.776</v>
      </c>
      <c r="H64" s="136">
        <v>2.801</v>
      </c>
      <c r="I64" s="136">
        <v>2.785</v>
      </c>
      <c r="J64" s="136">
        <v>2.717</v>
      </c>
      <c r="K64" s="136">
        <v>2.701</v>
      </c>
      <c r="L64" s="136">
        <v>2.674</v>
      </c>
      <c r="M64" s="136">
        <v>2.734</v>
      </c>
      <c r="N64" s="136">
        <v>2.674</v>
      </c>
      <c r="O64" s="136">
        <v>2.7511666666666668</v>
      </c>
      <c r="Q64" s="137"/>
      <c r="R64" s="137"/>
      <c r="S64" s="137"/>
    </row>
    <row r="65" spans="1:19" ht="9" customHeight="1">
      <c r="A65" s="102">
        <v>1988</v>
      </c>
      <c r="B65" s="102"/>
      <c r="C65" s="136">
        <v>2.631</v>
      </c>
      <c r="D65" s="136">
        <v>2.597</v>
      </c>
      <c r="E65" s="136">
        <v>2.604</v>
      </c>
      <c r="F65" s="136">
        <v>2.58</v>
      </c>
      <c r="G65" s="136">
        <v>2.598</v>
      </c>
      <c r="H65" s="136">
        <v>2.572</v>
      </c>
      <c r="I65" s="136">
        <v>2.616</v>
      </c>
      <c r="J65" s="136">
        <v>2.617</v>
      </c>
      <c r="K65" s="136">
        <v>2.636</v>
      </c>
      <c r="L65" s="136">
        <v>2.62</v>
      </c>
      <c r="M65" s="136">
        <v>2.662</v>
      </c>
      <c r="N65" s="136">
        <v>2.699</v>
      </c>
      <c r="O65" s="136">
        <v>2.6193333333333335</v>
      </c>
      <c r="Q65" s="137"/>
      <c r="R65" s="137"/>
      <c r="S65" s="137"/>
    </row>
    <row r="66" spans="1:19" ht="9" customHeight="1">
      <c r="A66" s="102">
        <v>1989</v>
      </c>
      <c r="B66" s="102"/>
      <c r="C66" s="136">
        <v>2.711</v>
      </c>
      <c r="D66" s="136">
        <v>2.876</v>
      </c>
      <c r="E66" s="136">
        <v>2.906</v>
      </c>
      <c r="F66" s="136">
        <v>2.95</v>
      </c>
      <c r="G66" s="136">
        <v>2.94</v>
      </c>
      <c r="H66" s="136">
        <v>2.883</v>
      </c>
      <c r="I66" s="136">
        <v>2.842</v>
      </c>
      <c r="J66" s="136">
        <v>2.855</v>
      </c>
      <c r="K66" s="136">
        <v>2.824</v>
      </c>
      <c r="L66" s="136">
        <v>2.824</v>
      </c>
      <c r="M66" s="136">
        <v>2.862</v>
      </c>
      <c r="N66" s="136">
        <v>2.853</v>
      </c>
      <c r="O66" s="136">
        <v>2.8605</v>
      </c>
      <c r="Q66" s="137"/>
      <c r="R66" s="137"/>
      <c r="S66" s="137"/>
    </row>
    <row r="67" spans="1:19" ht="2.25" customHeight="1">
      <c r="A67" s="102"/>
      <c r="B67" s="102"/>
      <c r="C67" s="136"/>
      <c r="D67" s="136"/>
      <c r="E67" s="136"/>
      <c r="F67" s="136"/>
      <c r="G67" s="136"/>
      <c r="H67" s="136"/>
      <c r="I67" s="136"/>
      <c r="J67" s="136"/>
      <c r="K67" s="136"/>
      <c r="L67" s="136"/>
      <c r="M67" s="136"/>
      <c r="N67" s="136"/>
      <c r="O67" s="136"/>
      <c r="Q67" s="137"/>
      <c r="R67" s="137"/>
      <c r="S67" s="137"/>
    </row>
    <row r="68" spans="1:19" ht="9" customHeight="1">
      <c r="A68" s="102">
        <v>1990</v>
      </c>
      <c r="B68" s="102"/>
      <c r="C68" s="136">
        <v>2.866</v>
      </c>
      <c r="D68" s="136">
        <v>2.947</v>
      </c>
      <c r="E68" s="136">
        <v>2.962</v>
      </c>
      <c r="F68" s="136">
        <v>2.984</v>
      </c>
      <c r="G68" s="136">
        <v>2.94</v>
      </c>
      <c r="H68" s="136">
        <v>2.951</v>
      </c>
      <c r="I68" s="136">
        <v>2.945</v>
      </c>
      <c r="J68" s="136">
        <v>2.949</v>
      </c>
      <c r="K68" s="136">
        <v>2.98</v>
      </c>
      <c r="L68" s="136">
        <v>3.032</v>
      </c>
      <c r="M68" s="136">
        <v>2.971</v>
      </c>
      <c r="N68" s="136">
        <v>2.971</v>
      </c>
      <c r="O68" s="136">
        <f aca="true" t="shared" si="2" ref="O68:O77">AVERAGEA(C68:N68)</f>
        <v>2.958166666666667</v>
      </c>
      <c r="Q68" s="137"/>
      <c r="R68" s="137"/>
      <c r="S68" s="137"/>
    </row>
    <row r="69" spans="1:19" ht="9" customHeight="1">
      <c r="A69" s="102">
        <v>1991</v>
      </c>
      <c r="B69" s="102"/>
      <c r="C69" s="136">
        <v>2.99</v>
      </c>
      <c r="D69" s="136">
        <v>2.982</v>
      </c>
      <c r="E69" s="136">
        <v>2.954</v>
      </c>
      <c r="F69" s="136">
        <v>2.96</v>
      </c>
      <c r="G69" s="136">
        <v>2.937</v>
      </c>
      <c r="H69" s="136">
        <v>3.062</v>
      </c>
      <c r="I69" s="136">
        <v>2.929</v>
      </c>
      <c r="J69" s="136">
        <v>2.939</v>
      </c>
      <c r="K69" s="136">
        <v>2.901</v>
      </c>
      <c r="L69" s="136">
        <v>3.021</v>
      </c>
      <c r="M69" s="136">
        <v>2.93</v>
      </c>
      <c r="N69" s="136">
        <v>2.954</v>
      </c>
      <c r="O69" s="136">
        <f t="shared" si="2"/>
        <v>2.96325</v>
      </c>
      <c r="Q69" s="137"/>
      <c r="R69" s="137"/>
      <c r="S69" s="137"/>
    </row>
    <row r="70" spans="1:19" ht="9" customHeight="1">
      <c r="A70" s="102">
        <v>1992</v>
      </c>
      <c r="B70" s="102"/>
      <c r="C70" s="136">
        <v>2.942</v>
      </c>
      <c r="D70" s="136">
        <v>2.914</v>
      </c>
      <c r="E70" s="136">
        <v>2.943</v>
      </c>
      <c r="F70" s="136">
        <v>2.857</v>
      </c>
      <c r="G70" s="136">
        <v>2.871</v>
      </c>
      <c r="H70" s="136">
        <v>2.906</v>
      </c>
      <c r="I70" s="136">
        <v>2.94</v>
      </c>
      <c r="J70" s="136">
        <v>2.974</v>
      </c>
      <c r="K70" s="136">
        <v>2.856</v>
      </c>
      <c r="L70" s="136">
        <v>2.937</v>
      </c>
      <c r="M70" s="136">
        <v>2.836</v>
      </c>
      <c r="N70" s="136">
        <v>2.84</v>
      </c>
      <c r="O70" s="136">
        <f t="shared" si="2"/>
        <v>2.9013333333333335</v>
      </c>
      <c r="Q70" s="137"/>
      <c r="R70" s="137"/>
      <c r="S70" s="137"/>
    </row>
    <row r="71" spans="1:19" ht="9" customHeight="1">
      <c r="A71" s="102">
        <v>1993</v>
      </c>
      <c r="B71" s="102"/>
      <c r="C71" s="136">
        <v>2.832</v>
      </c>
      <c r="D71" s="136">
        <v>2.935</v>
      </c>
      <c r="E71" s="136">
        <v>2.839</v>
      </c>
      <c r="F71" s="136">
        <v>2.836</v>
      </c>
      <c r="G71" s="136">
        <v>2.898</v>
      </c>
      <c r="H71" s="136">
        <v>2.827</v>
      </c>
      <c r="I71" s="136">
        <v>2.893</v>
      </c>
      <c r="J71" s="136">
        <v>2.966</v>
      </c>
      <c r="K71" s="136">
        <v>2.895</v>
      </c>
      <c r="L71" s="136">
        <v>2.911</v>
      </c>
      <c r="M71" s="136">
        <v>2.843</v>
      </c>
      <c r="N71" s="136">
        <v>2.918</v>
      </c>
      <c r="O71" s="136">
        <f t="shared" si="2"/>
        <v>2.88275</v>
      </c>
      <c r="Q71" s="137"/>
      <c r="R71" s="137"/>
      <c r="S71" s="137"/>
    </row>
    <row r="72" spans="1:19" ht="9" customHeight="1">
      <c r="A72" s="102">
        <v>1994</v>
      </c>
      <c r="B72" s="102"/>
      <c r="C72" s="136">
        <v>2.872</v>
      </c>
      <c r="D72" s="136">
        <v>3.018</v>
      </c>
      <c r="E72" s="136">
        <v>2.97</v>
      </c>
      <c r="F72" s="136">
        <v>3.012</v>
      </c>
      <c r="G72" s="136">
        <v>2.999</v>
      </c>
      <c r="H72" s="136">
        <v>2.968</v>
      </c>
      <c r="I72" s="136">
        <v>2.902</v>
      </c>
      <c r="J72" s="136">
        <v>2.992</v>
      </c>
      <c r="K72" s="136">
        <v>2.965</v>
      </c>
      <c r="L72" s="136">
        <v>2.924</v>
      </c>
      <c r="M72" s="136">
        <v>3.02</v>
      </c>
      <c r="N72" s="136">
        <v>3.012</v>
      </c>
      <c r="O72" s="136">
        <f t="shared" si="2"/>
        <v>2.971166666666667</v>
      </c>
      <c r="Q72" s="137"/>
      <c r="R72" s="137"/>
      <c r="S72" s="137"/>
    </row>
    <row r="73" spans="1:17" ht="9" customHeight="1">
      <c r="A73" s="102">
        <v>1995</v>
      </c>
      <c r="B73" s="102"/>
      <c r="C73" s="136">
        <v>3.079</v>
      </c>
      <c r="D73" s="136">
        <v>3.014</v>
      </c>
      <c r="E73" s="136">
        <v>2.975</v>
      </c>
      <c r="F73" s="136">
        <v>3.048</v>
      </c>
      <c r="G73" s="136">
        <v>2.952</v>
      </c>
      <c r="H73" s="136">
        <v>2.987</v>
      </c>
      <c r="I73" s="136">
        <v>2.971</v>
      </c>
      <c r="J73" s="136">
        <v>3.035</v>
      </c>
      <c r="K73" s="136">
        <v>2.97</v>
      </c>
      <c r="L73" s="136">
        <v>3.02</v>
      </c>
      <c r="M73" s="136">
        <v>2.979</v>
      </c>
      <c r="N73" s="136">
        <v>3.026</v>
      </c>
      <c r="O73" s="136">
        <f t="shared" si="2"/>
        <v>3.0046666666666666</v>
      </c>
      <c r="Q73" s="137"/>
    </row>
    <row r="74" spans="1:20" ht="9" customHeight="1">
      <c r="A74" s="102">
        <v>1996</v>
      </c>
      <c r="B74" s="102"/>
      <c r="C74" s="136">
        <v>3.004</v>
      </c>
      <c r="D74" s="136">
        <v>2.96</v>
      </c>
      <c r="E74" s="136">
        <v>3.035</v>
      </c>
      <c r="F74" s="136">
        <v>3.075</v>
      </c>
      <c r="G74" s="136">
        <v>2.989</v>
      </c>
      <c r="H74" s="136">
        <v>2.981</v>
      </c>
      <c r="I74" s="136">
        <v>3.106</v>
      </c>
      <c r="J74" s="136">
        <v>3.086</v>
      </c>
      <c r="K74" s="136">
        <v>3.069</v>
      </c>
      <c r="L74" s="136">
        <v>3.155</v>
      </c>
      <c r="M74" s="136">
        <v>3.102</v>
      </c>
      <c r="N74" s="136">
        <v>3.118</v>
      </c>
      <c r="O74" s="136">
        <f t="shared" si="2"/>
        <v>3.056666666666667</v>
      </c>
      <c r="P74" s="136">
        <v>2.981</v>
      </c>
      <c r="Q74" s="139" t="s">
        <v>11</v>
      </c>
      <c r="R74" s="139" t="s">
        <v>11</v>
      </c>
      <c r="S74" s="139" t="s">
        <v>11</v>
      </c>
      <c r="T74" s="95" t="s">
        <v>11</v>
      </c>
    </row>
    <row r="75" spans="1:20" ht="9" customHeight="1">
      <c r="A75" s="102">
        <v>1997</v>
      </c>
      <c r="B75" s="102"/>
      <c r="C75" s="136">
        <v>3.125</v>
      </c>
      <c r="D75" s="136">
        <v>3.099</v>
      </c>
      <c r="E75" s="136">
        <v>3.145</v>
      </c>
      <c r="F75" s="136">
        <v>3.184</v>
      </c>
      <c r="G75" s="136">
        <v>3.056</v>
      </c>
      <c r="H75" s="136">
        <v>3.118</v>
      </c>
      <c r="I75" s="136">
        <v>3.117</v>
      </c>
      <c r="J75" s="136">
        <v>3.128</v>
      </c>
      <c r="K75" s="136">
        <v>3.176</v>
      </c>
      <c r="L75" s="136">
        <v>3.152</v>
      </c>
      <c r="M75" s="136">
        <v>3.133</v>
      </c>
      <c r="N75" s="136">
        <v>3.166</v>
      </c>
      <c r="O75" s="136">
        <f t="shared" si="2"/>
        <v>3.1332500000000003</v>
      </c>
      <c r="P75" s="136"/>
      <c r="Q75" s="139"/>
      <c r="R75" s="139"/>
      <c r="S75" s="139"/>
      <c r="T75" s="95"/>
    </row>
    <row r="76" spans="1:20" ht="9" customHeight="1">
      <c r="A76" s="102">
        <v>1998</v>
      </c>
      <c r="B76" s="102"/>
      <c r="C76" s="136">
        <v>3.149</v>
      </c>
      <c r="D76" s="136">
        <v>3.136</v>
      </c>
      <c r="E76" s="136">
        <v>3.107</v>
      </c>
      <c r="F76" s="136">
        <v>3.175</v>
      </c>
      <c r="G76" s="136">
        <v>3.161</v>
      </c>
      <c r="H76" s="136">
        <v>3.153</v>
      </c>
      <c r="I76" s="140">
        <v>3.128</v>
      </c>
      <c r="J76" s="140">
        <v>3.21</v>
      </c>
      <c r="K76" s="140">
        <v>3.121</v>
      </c>
      <c r="L76" s="140">
        <v>3.219</v>
      </c>
      <c r="M76" s="136">
        <v>3.207</v>
      </c>
      <c r="N76" s="136">
        <v>3.177</v>
      </c>
      <c r="O76" s="136">
        <f t="shared" si="2"/>
        <v>3.1619166666666665</v>
      </c>
      <c r="P76" s="144"/>
      <c r="Q76" s="139"/>
      <c r="R76" s="139"/>
      <c r="S76" s="139"/>
      <c r="T76" s="95"/>
    </row>
    <row r="77" spans="1:20" ht="9" customHeight="1">
      <c r="A77" s="102">
        <v>1999</v>
      </c>
      <c r="B77" s="102"/>
      <c r="C77" s="136">
        <v>3.217</v>
      </c>
      <c r="D77" s="136">
        <v>3.223</v>
      </c>
      <c r="E77" s="136">
        <v>3.249</v>
      </c>
      <c r="F77" s="136">
        <v>3.264</v>
      </c>
      <c r="G77" s="136">
        <v>3.212</v>
      </c>
      <c r="H77" s="136">
        <v>3.235</v>
      </c>
      <c r="I77" s="140">
        <v>3.255</v>
      </c>
      <c r="J77" s="140">
        <v>3.279</v>
      </c>
      <c r="K77" s="140">
        <v>3.237</v>
      </c>
      <c r="L77" s="140">
        <v>3.289</v>
      </c>
      <c r="M77" s="136">
        <v>3.299</v>
      </c>
      <c r="N77" s="136">
        <v>3.33</v>
      </c>
      <c r="O77" s="136">
        <f t="shared" si="2"/>
        <v>3.2574166666666664</v>
      </c>
      <c r="P77" s="144"/>
      <c r="Q77" s="139"/>
      <c r="R77" s="139"/>
      <c r="S77" s="139"/>
      <c r="T77" s="95"/>
    </row>
    <row r="78" spans="1:20" ht="3" customHeight="1">
      <c r="A78" s="102"/>
      <c r="B78" s="102"/>
      <c r="C78" s="136"/>
      <c r="D78" s="136"/>
      <c r="E78" s="136"/>
      <c r="F78" s="136"/>
      <c r="G78" s="136"/>
      <c r="H78" s="136"/>
      <c r="I78" s="140"/>
      <c r="J78" s="140"/>
      <c r="K78" s="140"/>
      <c r="L78" s="140"/>
      <c r="M78" s="136"/>
      <c r="N78" s="136"/>
      <c r="O78" s="136"/>
      <c r="P78" s="144"/>
      <c r="Q78" s="139"/>
      <c r="R78" s="139"/>
      <c r="S78" s="139"/>
      <c r="T78" s="95"/>
    </row>
    <row r="79" spans="1:20" ht="9" customHeight="1">
      <c r="A79" s="102">
        <v>2000</v>
      </c>
      <c r="B79" s="102"/>
      <c r="C79" s="136">
        <v>3.386</v>
      </c>
      <c r="D79" s="136">
        <v>3.448</v>
      </c>
      <c r="E79" s="136">
        <v>3.354</v>
      </c>
      <c r="F79" s="136">
        <v>3.409</v>
      </c>
      <c r="G79" s="136">
        <v>3.345</v>
      </c>
      <c r="H79" s="136">
        <v>3.302</v>
      </c>
      <c r="I79" s="140">
        <v>3.31</v>
      </c>
      <c r="J79" s="140">
        <v>3.302</v>
      </c>
      <c r="K79" s="140">
        <v>3.416</v>
      </c>
      <c r="L79" s="140">
        <v>3.341</v>
      </c>
      <c r="M79" s="140">
        <v>3.276</v>
      </c>
      <c r="N79" s="140">
        <v>3.437</v>
      </c>
      <c r="O79" s="136">
        <f>AVERAGEA(C79:N79)</f>
        <v>3.3604999999999996</v>
      </c>
      <c r="P79" s="144"/>
      <c r="Q79" s="139"/>
      <c r="R79" s="139"/>
      <c r="S79" s="139"/>
      <c r="T79" s="95"/>
    </row>
    <row r="80" spans="1:20" ht="9" customHeight="1">
      <c r="A80" s="102">
        <v>2001</v>
      </c>
      <c r="B80" s="102"/>
      <c r="C80" s="136">
        <v>3.391</v>
      </c>
      <c r="D80" s="136">
        <v>3.361</v>
      </c>
      <c r="E80" s="136">
        <v>3.378</v>
      </c>
      <c r="F80" s="136">
        <v>3.315</v>
      </c>
      <c r="G80" s="136">
        <v>3.395</v>
      </c>
      <c r="H80" s="136">
        <v>3.564</v>
      </c>
      <c r="I80" s="140">
        <v>3.335</v>
      </c>
      <c r="J80" s="140"/>
      <c r="K80" s="140"/>
      <c r="L80" s="140"/>
      <c r="M80" s="144"/>
      <c r="N80" s="144"/>
      <c r="O80" s="144"/>
      <c r="P80" s="144"/>
      <c r="Q80" s="139"/>
      <c r="R80" s="139"/>
      <c r="S80" s="139"/>
      <c r="T80" s="95"/>
    </row>
    <row r="81" spans="1:18" ht="12.75" customHeight="1">
      <c r="A81" s="106" t="s">
        <v>156</v>
      </c>
      <c r="B81" s="110"/>
      <c r="C81" s="149"/>
      <c r="D81" s="149"/>
      <c r="E81" s="149"/>
      <c r="F81" s="149"/>
      <c r="G81" s="149"/>
      <c r="H81" s="149"/>
      <c r="I81" s="149"/>
      <c r="J81" s="149"/>
      <c r="K81" s="149"/>
      <c r="L81" s="149"/>
      <c r="M81" s="149"/>
      <c r="N81" s="149"/>
      <c r="O81" s="149"/>
      <c r="P81" s="149"/>
      <c r="Q81" s="137"/>
      <c r="R81" s="137"/>
    </row>
    <row r="82" spans="1:18" ht="11.25" customHeight="1">
      <c r="A82" s="150" t="s">
        <v>157</v>
      </c>
      <c r="B82" s="102"/>
      <c r="C82" s="136"/>
      <c r="D82" s="136"/>
      <c r="E82" s="136"/>
      <c r="F82" s="136"/>
      <c r="G82" s="136"/>
      <c r="H82" s="136"/>
      <c r="I82" s="136"/>
      <c r="J82" s="136"/>
      <c r="K82" s="136"/>
      <c r="L82" s="136"/>
      <c r="M82" s="136"/>
      <c r="N82" s="136"/>
      <c r="O82" s="136"/>
      <c r="P82" s="136"/>
      <c r="Q82" s="137"/>
      <c r="R82" s="137"/>
    </row>
    <row r="87" ht="12">
      <c r="A87" s="121"/>
    </row>
  </sheetData>
  <printOptions horizontalCentered="1"/>
  <pageMargins left="0.417" right="0.417" top="0.667" bottom="0.583" header="0" footer="0"/>
  <pageSetup horizontalDpi="300" verticalDpi="300" orientation="portrait" scale="90" r:id="rId1"/>
</worksheet>
</file>

<file path=xl/worksheets/sheet7.xml><?xml version="1.0" encoding="utf-8"?>
<worksheet xmlns="http://schemas.openxmlformats.org/spreadsheetml/2006/main" xmlns:r="http://schemas.openxmlformats.org/officeDocument/2006/relationships">
  <sheetPr transitionEvaluation="1"/>
  <dimension ref="A1:R22"/>
  <sheetViews>
    <sheetView workbookViewId="0" topLeftCell="A1">
      <selection activeCell="A1" sqref="A1"/>
    </sheetView>
  </sheetViews>
  <sheetFormatPr defaultColWidth="8.7109375" defaultRowHeight="12.75"/>
  <cols>
    <col min="1" max="1" width="5.8515625" style="54" customWidth="1"/>
    <col min="2" max="13" width="6.57421875" style="54" customWidth="1"/>
    <col min="14" max="14" width="8.7109375" style="54" customWidth="1"/>
    <col min="15" max="16384" width="8.7109375" style="54" customWidth="1"/>
  </cols>
  <sheetData>
    <row r="1" spans="1:14" ht="12.75" customHeight="1">
      <c r="A1" s="72" t="s">
        <v>163</v>
      </c>
      <c r="B1" s="73"/>
      <c r="C1" s="74"/>
      <c r="D1" s="73"/>
      <c r="E1" s="73"/>
      <c r="F1" s="73"/>
      <c r="G1" s="73"/>
      <c r="H1" s="73"/>
      <c r="I1" s="73"/>
      <c r="J1" s="73"/>
      <c r="K1" s="73"/>
      <c r="L1" s="73"/>
      <c r="M1" s="73"/>
      <c r="N1" s="52"/>
    </row>
    <row r="2" spans="1:14" ht="12.75" customHeight="1">
      <c r="A2" s="53"/>
      <c r="B2" s="71"/>
      <c r="C2" s="71"/>
      <c r="D2" s="71"/>
      <c r="E2" s="71"/>
      <c r="F2" s="71"/>
      <c r="G2" s="71"/>
      <c r="H2" s="71"/>
      <c r="I2" s="71"/>
      <c r="J2" s="71"/>
      <c r="K2" s="71"/>
      <c r="L2" s="71"/>
      <c r="M2" s="71"/>
      <c r="N2" s="75" t="s">
        <v>71</v>
      </c>
    </row>
    <row r="3" spans="1:14" ht="12.75" customHeight="1">
      <c r="A3" s="55" t="s">
        <v>14</v>
      </c>
      <c r="B3" s="76" t="s">
        <v>15</v>
      </c>
      <c r="C3" s="76" t="s">
        <v>16</v>
      </c>
      <c r="D3" s="76" t="s">
        <v>17</v>
      </c>
      <c r="E3" s="76" t="s">
        <v>69</v>
      </c>
      <c r="F3" s="76" t="s">
        <v>19</v>
      </c>
      <c r="G3" s="76" t="s">
        <v>20</v>
      </c>
      <c r="H3" s="76" t="s">
        <v>21</v>
      </c>
      <c r="I3" s="76" t="s">
        <v>70</v>
      </c>
      <c r="J3" s="76" t="s">
        <v>23</v>
      </c>
      <c r="K3" s="76" t="s">
        <v>24</v>
      </c>
      <c r="L3" s="76" t="s">
        <v>25</v>
      </c>
      <c r="M3" s="76" t="s">
        <v>26</v>
      </c>
      <c r="N3" s="76" t="s">
        <v>72</v>
      </c>
    </row>
    <row r="4" spans="1:14" ht="12.75" customHeight="1">
      <c r="A4" s="53"/>
      <c r="B4" s="59" t="s">
        <v>73</v>
      </c>
      <c r="C4" s="59"/>
      <c r="D4" s="59"/>
      <c r="E4" s="59"/>
      <c r="F4" s="59"/>
      <c r="G4" s="60"/>
      <c r="H4" s="59"/>
      <c r="I4" s="59"/>
      <c r="J4" s="59"/>
      <c r="K4" s="59"/>
      <c r="L4" s="59"/>
      <c r="M4" s="59"/>
      <c r="N4" s="59"/>
    </row>
    <row r="5" spans="1:14" ht="4.5" customHeight="1">
      <c r="A5" s="53"/>
      <c r="B5" s="53"/>
      <c r="C5" s="53"/>
      <c r="D5" s="53"/>
      <c r="E5" s="53"/>
      <c r="F5" s="53"/>
      <c r="G5" s="53"/>
      <c r="H5" s="53"/>
      <c r="I5" s="53"/>
      <c r="J5" s="53"/>
      <c r="K5" s="53"/>
      <c r="L5" s="53"/>
      <c r="M5" s="53"/>
      <c r="N5" s="53"/>
    </row>
    <row r="6" spans="1:16" ht="10.5" customHeight="1">
      <c r="A6" s="62" t="s">
        <v>74</v>
      </c>
      <c r="B6" s="77">
        <v>83.8</v>
      </c>
      <c r="C6" s="77">
        <v>82.2</v>
      </c>
      <c r="D6" s="77">
        <v>81.9</v>
      </c>
      <c r="E6" s="77">
        <v>83.7</v>
      </c>
      <c r="F6" s="77">
        <v>87.5</v>
      </c>
      <c r="G6" s="77">
        <v>99.3</v>
      </c>
      <c r="H6" s="77">
        <v>111.4</v>
      </c>
      <c r="I6" s="77">
        <v>112</v>
      </c>
      <c r="J6" s="77">
        <v>104.9</v>
      </c>
      <c r="K6" s="77">
        <v>101.2</v>
      </c>
      <c r="L6" s="77">
        <v>101.9</v>
      </c>
      <c r="M6" s="77">
        <v>103.9</v>
      </c>
      <c r="N6" s="78">
        <v>96.14166666666667</v>
      </c>
      <c r="O6" s="79"/>
      <c r="P6" s="80"/>
    </row>
    <row r="7" spans="1:16" ht="10.5" customHeight="1">
      <c r="A7" s="62" t="s">
        <v>75</v>
      </c>
      <c r="B7" s="77">
        <v>106.4</v>
      </c>
      <c r="C7" s="77">
        <v>111.7</v>
      </c>
      <c r="D7" s="77">
        <v>111.2</v>
      </c>
      <c r="E7" s="77">
        <v>116.2</v>
      </c>
      <c r="F7" s="77">
        <v>127.1</v>
      </c>
      <c r="G7" s="77">
        <v>136.4</v>
      </c>
      <c r="H7" s="77">
        <v>139.1</v>
      </c>
      <c r="I7" s="77">
        <v>127.6</v>
      </c>
      <c r="J7" s="77">
        <v>110.5</v>
      </c>
      <c r="K7" s="77">
        <v>101.9</v>
      </c>
      <c r="L7" s="77">
        <v>100.6</v>
      </c>
      <c r="M7" s="77">
        <v>103.8</v>
      </c>
      <c r="N7" s="78">
        <v>116.04166666666667</v>
      </c>
      <c r="O7" s="79"/>
      <c r="P7" s="80"/>
    </row>
    <row r="8" spans="1:16" ht="10.5" customHeight="1">
      <c r="A8" s="62" t="s">
        <v>76</v>
      </c>
      <c r="B8" s="77">
        <v>104.6</v>
      </c>
      <c r="C8" s="77">
        <v>106.2</v>
      </c>
      <c r="D8" s="77">
        <v>108.5</v>
      </c>
      <c r="E8" s="77">
        <v>111.2</v>
      </c>
      <c r="F8" s="77">
        <v>114.7</v>
      </c>
      <c r="G8" s="77">
        <v>122.2</v>
      </c>
      <c r="H8" s="77">
        <v>125.7</v>
      </c>
      <c r="I8" s="77">
        <v>132</v>
      </c>
      <c r="J8" s="77">
        <v>124.8</v>
      </c>
      <c r="K8" s="77">
        <v>125.2</v>
      </c>
      <c r="L8" s="77">
        <v>126</v>
      </c>
      <c r="M8" s="77">
        <v>128.5</v>
      </c>
      <c r="N8" s="78">
        <v>119.13333333333334</v>
      </c>
      <c r="O8" s="79"/>
      <c r="P8" s="80"/>
    </row>
    <row r="9" spans="1:18" ht="10.5" customHeight="1">
      <c r="A9" s="62" t="s">
        <v>77</v>
      </c>
      <c r="B9" s="77">
        <v>130.8</v>
      </c>
      <c r="C9" s="77">
        <v>138.3</v>
      </c>
      <c r="D9" s="77">
        <v>146.6</v>
      </c>
      <c r="E9" s="77">
        <v>158.9</v>
      </c>
      <c r="F9" s="77">
        <v>164</v>
      </c>
      <c r="G9" s="77">
        <v>172.5</v>
      </c>
      <c r="H9" s="77">
        <v>180.7</v>
      </c>
      <c r="I9" s="77">
        <v>182.3</v>
      </c>
      <c r="J9" s="77">
        <v>153.1</v>
      </c>
      <c r="K9" s="77">
        <v>139.8</v>
      </c>
      <c r="L9" s="77">
        <v>135</v>
      </c>
      <c r="M9" s="77">
        <v>140</v>
      </c>
      <c r="N9" s="78">
        <v>153.5</v>
      </c>
      <c r="O9" s="79"/>
      <c r="P9" s="80"/>
      <c r="Q9" s="80"/>
      <c r="R9" s="80"/>
    </row>
    <row r="10" spans="1:16" ht="10.5" customHeight="1">
      <c r="A10" s="62" t="s">
        <v>78</v>
      </c>
      <c r="B10" s="77">
        <v>150.1</v>
      </c>
      <c r="C10" s="77">
        <v>160.1</v>
      </c>
      <c r="D10" s="77">
        <v>170.6</v>
      </c>
      <c r="E10" s="77">
        <v>187.3</v>
      </c>
      <c r="F10" s="77">
        <v>187.4</v>
      </c>
      <c r="G10" s="77">
        <v>185.8</v>
      </c>
      <c r="H10" s="77">
        <v>179.7</v>
      </c>
      <c r="I10" s="77">
        <v>169.8</v>
      </c>
      <c r="J10" s="77">
        <v>152</v>
      </c>
      <c r="K10" s="77">
        <v>139.9</v>
      </c>
      <c r="L10" s="77">
        <v>134.5</v>
      </c>
      <c r="M10" s="77">
        <v>133.9</v>
      </c>
      <c r="N10" s="78">
        <v>162.59166666666667</v>
      </c>
      <c r="O10" s="79"/>
      <c r="P10" s="80"/>
    </row>
    <row r="11" spans="1:16" ht="10.5" customHeight="1">
      <c r="A11" s="62" t="s">
        <v>79</v>
      </c>
      <c r="B11" s="77">
        <v>139.6</v>
      </c>
      <c r="C11" s="77">
        <v>140.9</v>
      </c>
      <c r="D11" s="77">
        <v>139.6</v>
      </c>
      <c r="E11" s="77">
        <v>144.4</v>
      </c>
      <c r="F11" s="77">
        <v>149.1</v>
      </c>
      <c r="G11" s="77">
        <v>165.8</v>
      </c>
      <c r="H11" s="77">
        <v>164.3</v>
      </c>
      <c r="I11" s="77">
        <v>156.2</v>
      </c>
      <c r="J11" s="77">
        <v>143.7</v>
      </c>
      <c r="K11" s="77">
        <v>132.1</v>
      </c>
      <c r="L11" s="77">
        <v>129.9</v>
      </c>
      <c r="M11" s="77">
        <v>129.9</v>
      </c>
      <c r="N11" s="78">
        <v>144.625</v>
      </c>
      <c r="O11" s="79"/>
      <c r="P11" s="80"/>
    </row>
    <row r="12" spans="1:16" ht="10.5" customHeight="1">
      <c r="A12" s="62" t="s">
        <v>80</v>
      </c>
      <c r="B12" s="77">
        <v>130.9</v>
      </c>
      <c r="C12" s="77">
        <v>131.7</v>
      </c>
      <c r="D12" s="77">
        <v>132.1</v>
      </c>
      <c r="E12" s="77">
        <v>135.6</v>
      </c>
      <c r="F12" s="77">
        <v>136.7</v>
      </c>
      <c r="G12" s="77">
        <v>141</v>
      </c>
      <c r="H12" s="77">
        <v>155.9</v>
      </c>
      <c r="I12" s="77">
        <v>164.7</v>
      </c>
      <c r="J12" s="77">
        <v>153.1</v>
      </c>
      <c r="K12" s="77">
        <v>143</v>
      </c>
      <c r="L12" s="77">
        <v>136.1</v>
      </c>
      <c r="M12" s="77">
        <v>137.2</v>
      </c>
      <c r="N12" s="78">
        <v>141.5</v>
      </c>
      <c r="O12" s="79"/>
      <c r="P12" s="80"/>
    </row>
    <row r="13" spans="1:18" ht="10.5" customHeight="1">
      <c r="A13" s="62" t="s">
        <v>81</v>
      </c>
      <c r="B13" s="77">
        <v>139.7</v>
      </c>
      <c r="C13" s="77">
        <v>138.9</v>
      </c>
      <c r="D13" s="77">
        <v>142.4</v>
      </c>
      <c r="E13" s="77">
        <v>152</v>
      </c>
      <c r="F13" s="77">
        <v>156</v>
      </c>
      <c r="G13" s="77">
        <v>163.4</v>
      </c>
      <c r="H13" s="77">
        <v>165.2</v>
      </c>
      <c r="I13" s="77">
        <v>165.8</v>
      </c>
      <c r="J13" s="77">
        <v>156.1</v>
      </c>
      <c r="K13" s="77">
        <v>152.1</v>
      </c>
      <c r="L13" s="77">
        <v>158.3</v>
      </c>
      <c r="M13" s="77">
        <v>165</v>
      </c>
      <c r="N13" s="78">
        <v>154.575</v>
      </c>
      <c r="O13" s="79"/>
      <c r="P13" s="80"/>
      <c r="Q13" s="64"/>
      <c r="R13" s="64"/>
    </row>
    <row r="14" spans="1:18" ht="10.5" customHeight="1">
      <c r="A14" s="62" t="s">
        <v>82</v>
      </c>
      <c r="B14" s="77">
        <v>169.4</v>
      </c>
      <c r="C14" s="77">
        <v>171.3</v>
      </c>
      <c r="D14" s="77">
        <v>179.8</v>
      </c>
      <c r="E14" s="77">
        <v>186.3</v>
      </c>
      <c r="F14" s="77">
        <v>179.9</v>
      </c>
      <c r="G14" s="77">
        <v>185.7</v>
      </c>
      <c r="H14" s="77">
        <v>194.1</v>
      </c>
      <c r="I14" s="77">
        <v>190.4</v>
      </c>
      <c r="J14" s="77">
        <v>168.8</v>
      </c>
      <c r="K14" s="77">
        <v>157.3</v>
      </c>
      <c r="L14" s="77">
        <v>154.2</v>
      </c>
      <c r="M14" s="77">
        <v>154.2</v>
      </c>
      <c r="N14" s="78">
        <f aca="true" t="shared" si="0" ref="N14:N19">AVERAGE(B14:M14)</f>
        <v>174.2833333333333</v>
      </c>
      <c r="O14" s="79"/>
      <c r="Q14" s="64"/>
      <c r="R14" s="64"/>
    </row>
    <row r="15" spans="1:18" ht="10.5" customHeight="1">
      <c r="A15" s="62" t="s">
        <v>83</v>
      </c>
      <c r="B15" s="77">
        <v>157.1</v>
      </c>
      <c r="C15" s="77">
        <v>157.2</v>
      </c>
      <c r="D15" s="77">
        <v>161.8</v>
      </c>
      <c r="E15" s="77">
        <v>164.6</v>
      </c>
      <c r="F15" s="77">
        <v>165.3</v>
      </c>
      <c r="G15" s="77">
        <v>183.1</v>
      </c>
      <c r="H15" s="77">
        <v>200.8</v>
      </c>
      <c r="I15" s="77">
        <v>195.5</v>
      </c>
      <c r="J15" s="77">
        <v>182.8</v>
      </c>
      <c r="K15" s="77">
        <v>179.7</v>
      </c>
      <c r="L15" s="77">
        <v>172.6</v>
      </c>
      <c r="M15" s="77">
        <v>175.3</v>
      </c>
      <c r="N15" s="78">
        <f t="shared" si="0"/>
        <v>174.65</v>
      </c>
      <c r="O15" s="79"/>
      <c r="Q15" s="64"/>
      <c r="R15" s="64"/>
    </row>
    <row r="16" spans="1:18" ht="10.5" customHeight="1">
      <c r="A16" s="62">
        <v>1996</v>
      </c>
      <c r="B16" s="77">
        <v>179.1</v>
      </c>
      <c r="C16" s="77">
        <v>179</v>
      </c>
      <c r="D16" s="77">
        <v>183.8</v>
      </c>
      <c r="E16" s="77">
        <v>181.9</v>
      </c>
      <c r="F16" s="77">
        <v>185.5</v>
      </c>
      <c r="G16" s="77">
        <v>189.8</v>
      </c>
      <c r="H16" s="77">
        <v>195.5</v>
      </c>
      <c r="I16" s="77">
        <v>196.6</v>
      </c>
      <c r="J16" s="77">
        <v>180.9</v>
      </c>
      <c r="K16" s="77">
        <v>172.5</v>
      </c>
      <c r="L16" s="77">
        <v>162</v>
      </c>
      <c r="M16" s="77">
        <v>160.2</v>
      </c>
      <c r="N16" s="78">
        <f t="shared" si="0"/>
        <v>180.5666666666667</v>
      </c>
      <c r="O16" s="79"/>
      <c r="Q16" s="64"/>
      <c r="R16" s="64"/>
    </row>
    <row r="17" spans="1:18" ht="10.5" customHeight="1">
      <c r="A17" s="62">
        <v>1997</v>
      </c>
      <c r="B17" s="77">
        <v>164.2</v>
      </c>
      <c r="C17" s="77">
        <v>162.8</v>
      </c>
      <c r="D17" s="77">
        <v>161.2</v>
      </c>
      <c r="E17" s="77">
        <v>163.9</v>
      </c>
      <c r="F17" s="77">
        <v>167.3</v>
      </c>
      <c r="G17" s="77">
        <v>172.4</v>
      </c>
      <c r="H17" s="77">
        <v>181.9</v>
      </c>
      <c r="I17" s="77">
        <v>194</v>
      </c>
      <c r="J17" s="77">
        <v>191.7</v>
      </c>
      <c r="K17" s="77">
        <v>181.6</v>
      </c>
      <c r="L17" s="77">
        <v>174.3</v>
      </c>
      <c r="M17" s="77">
        <v>174</v>
      </c>
      <c r="N17" s="78">
        <f t="shared" si="0"/>
        <v>174.10833333333335</v>
      </c>
      <c r="O17" s="79"/>
      <c r="Q17" s="64"/>
      <c r="R17" s="64"/>
    </row>
    <row r="18" spans="1:18" ht="10.5" customHeight="1">
      <c r="A18" s="62">
        <v>1998</v>
      </c>
      <c r="B18" s="77">
        <v>180.2</v>
      </c>
      <c r="C18" s="77">
        <v>179.3</v>
      </c>
      <c r="D18" s="77">
        <v>181.6</v>
      </c>
      <c r="E18" s="77">
        <v>179.9</v>
      </c>
      <c r="F18" s="77">
        <v>187.7</v>
      </c>
      <c r="G18" s="77">
        <v>193.1</v>
      </c>
      <c r="H18" s="77">
        <v>196.5</v>
      </c>
      <c r="I18" s="77">
        <v>192.7</v>
      </c>
      <c r="J18" s="77">
        <v>189.1</v>
      </c>
      <c r="K18" s="77">
        <v>187</v>
      </c>
      <c r="L18" s="77">
        <v>176.7</v>
      </c>
      <c r="M18" s="77">
        <v>178</v>
      </c>
      <c r="N18" s="78">
        <f t="shared" si="0"/>
        <v>185.15</v>
      </c>
      <c r="O18" s="79"/>
      <c r="Q18" s="64"/>
      <c r="R18" s="64"/>
    </row>
    <row r="19" spans="1:18" ht="10.5" customHeight="1">
      <c r="A19" s="62">
        <v>1999</v>
      </c>
      <c r="B19" s="77">
        <v>184.5</v>
      </c>
      <c r="C19" s="77">
        <v>184</v>
      </c>
      <c r="D19" s="77">
        <v>185.9</v>
      </c>
      <c r="E19" s="77">
        <v>183.3</v>
      </c>
      <c r="F19" s="77">
        <v>191.5</v>
      </c>
      <c r="G19" s="77">
        <v>194.7</v>
      </c>
      <c r="H19" s="77">
        <v>205</v>
      </c>
      <c r="I19" s="77">
        <v>212.1</v>
      </c>
      <c r="J19" s="77">
        <v>204.6</v>
      </c>
      <c r="K19" s="77">
        <v>194.8</v>
      </c>
      <c r="L19" s="77">
        <v>186.1</v>
      </c>
      <c r="M19" s="77">
        <v>190.7</v>
      </c>
      <c r="N19" s="78">
        <f t="shared" si="0"/>
        <v>193.1</v>
      </c>
      <c r="O19" s="79"/>
      <c r="Q19" s="64"/>
      <c r="R19" s="64"/>
    </row>
    <row r="20" spans="1:18" ht="10.5" customHeight="1">
      <c r="A20" s="62">
        <v>2000</v>
      </c>
      <c r="B20" s="77">
        <v>196.6</v>
      </c>
      <c r="C20" s="77">
        <v>198.1</v>
      </c>
      <c r="D20" s="77">
        <v>197.9</v>
      </c>
      <c r="E20" s="77">
        <v>194.9</v>
      </c>
      <c r="F20" s="77">
        <v>200.4</v>
      </c>
      <c r="G20" s="77">
        <v>201.7</v>
      </c>
      <c r="H20" s="77">
        <v>208.3</v>
      </c>
      <c r="I20" s="77">
        <v>210.7</v>
      </c>
      <c r="J20" s="77">
        <v>195.4</v>
      </c>
      <c r="K20" s="77">
        <v>191.5</v>
      </c>
      <c r="L20" s="77">
        <v>181.2</v>
      </c>
      <c r="M20" s="77">
        <v>179.4</v>
      </c>
      <c r="N20" s="78">
        <v>196.3</v>
      </c>
      <c r="O20" s="79"/>
      <c r="Q20" s="64"/>
      <c r="R20" s="64"/>
    </row>
    <row r="21" spans="1:18" ht="10.5" customHeight="1">
      <c r="A21" s="55">
        <v>2001</v>
      </c>
      <c r="B21" s="81">
        <v>186.6</v>
      </c>
      <c r="C21" s="81">
        <v>186.8</v>
      </c>
      <c r="D21" s="81">
        <v>189.3</v>
      </c>
      <c r="E21" s="81">
        <v>187</v>
      </c>
      <c r="F21" s="81">
        <v>192.2</v>
      </c>
      <c r="G21" s="81">
        <v>205</v>
      </c>
      <c r="H21" s="81">
        <v>213.4</v>
      </c>
      <c r="I21" s="81"/>
      <c r="J21" s="81"/>
      <c r="K21" s="81"/>
      <c r="L21" s="82" t="s">
        <v>11</v>
      </c>
      <c r="M21" s="82" t="s">
        <v>11</v>
      </c>
      <c r="N21" s="81"/>
      <c r="O21" s="79"/>
      <c r="Q21" s="64"/>
      <c r="R21" s="64"/>
    </row>
    <row r="22" spans="1:15" ht="12.75" customHeight="1">
      <c r="A22" s="83" t="s">
        <v>84</v>
      </c>
      <c r="B22" s="84"/>
      <c r="C22" s="84"/>
      <c r="D22" s="84"/>
      <c r="E22" s="84"/>
      <c r="F22" s="84"/>
      <c r="G22" s="84"/>
      <c r="H22" s="84"/>
      <c r="I22" s="84"/>
      <c r="J22" s="84"/>
      <c r="K22" s="84"/>
      <c r="L22" s="84"/>
      <c r="M22" s="84"/>
      <c r="N22" s="84"/>
      <c r="O22" s="85"/>
    </row>
  </sheetData>
  <printOptions horizontalCentered="1"/>
  <pageMargins left="0.417" right="0.417" top="0.5" bottom="0" header="0" footer="0"/>
  <pageSetup horizontalDpi="200" verticalDpi="200" orientation="portrait" scale="95" r:id="rId1"/>
</worksheet>
</file>

<file path=xl/worksheets/sheet8.xml><?xml version="1.0" encoding="utf-8"?>
<worksheet xmlns="http://schemas.openxmlformats.org/spreadsheetml/2006/main" xmlns:r="http://schemas.openxmlformats.org/officeDocument/2006/relationships">
  <dimension ref="A1:Y35"/>
  <sheetViews>
    <sheetView tabSelected="1" workbookViewId="0" topLeftCell="A1">
      <selection activeCell="A1" sqref="A1"/>
    </sheetView>
  </sheetViews>
  <sheetFormatPr defaultColWidth="9.7109375" defaultRowHeight="12.75"/>
  <cols>
    <col min="1" max="1" width="32.421875" style="152" customWidth="1"/>
    <col min="2" max="3" width="9.7109375" style="152" customWidth="1"/>
    <col min="4" max="4" width="2.7109375" style="152" customWidth="1"/>
    <col min="5" max="6" width="9.7109375" style="152" customWidth="1"/>
    <col min="7" max="7" width="2.7109375" style="152" customWidth="1"/>
    <col min="8" max="9" width="9.7109375" style="152" customWidth="1"/>
    <col min="10" max="10" width="2.7109375" style="152" customWidth="1"/>
    <col min="11" max="12" width="7.7109375" style="152" customWidth="1"/>
    <col min="13" max="14" width="9.7109375" style="152" customWidth="1"/>
    <col min="15" max="15" width="2.7109375" style="152" customWidth="1"/>
    <col min="16" max="16" width="9.7109375" style="152" customWidth="1"/>
    <col min="17" max="17" width="2.7109375" style="152" customWidth="1"/>
    <col min="18" max="18" width="9.7109375" style="152" customWidth="1"/>
    <col min="19" max="19" width="2.7109375" style="152" customWidth="1"/>
    <col min="20" max="20" width="9.7109375" style="152" customWidth="1"/>
    <col min="21" max="21" width="2.7109375" style="152" customWidth="1"/>
    <col min="22" max="16384" width="9.7109375" style="152" customWidth="1"/>
  </cols>
  <sheetData>
    <row r="1" spans="1:12" ht="12.75" customHeight="1">
      <c r="A1" s="50" t="s">
        <v>179</v>
      </c>
      <c r="B1" s="51"/>
      <c r="C1" s="52"/>
      <c r="D1" s="52"/>
      <c r="E1" s="53"/>
      <c r="F1" s="53"/>
      <c r="G1" s="53"/>
      <c r="H1" s="53"/>
      <c r="I1" s="53"/>
      <c r="J1" s="172"/>
      <c r="K1" s="172"/>
      <c r="L1" s="172"/>
    </row>
    <row r="2" spans="1:12" ht="12.75" customHeight="1">
      <c r="A2" s="158"/>
      <c r="B2" s="162" t="s">
        <v>182</v>
      </c>
      <c r="C2" s="156"/>
      <c r="D2" s="156"/>
      <c r="E2" s="162" t="s">
        <v>182</v>
      </c>
      <c r="F2" s="157"/>
      <c r="G2" s="156"/>
      <c r="H2" s="162" t="s">
        <v>183</v>
      </c>
      <c r="I2" s="157"/>
      <c r="J2" s="171"/>
      <c r="K2" s="155" t="s">
        <v>184</v>
      </c>
      <c r="L2" s="53"/>
    </row>
    <row r="3" spans="1:12" ht="10.5" customHeight="1">
      <c r="A3" s="73" t="s">
        <v>165</v>
      </c>
      <c r="B3" s="167" t="s">
        <v>175</v>
      </c>
      <c r="C3" s="167" t="s">
        <v>175</v>
      </c>
      <c r="D3" s="73"/>
      <c r="E3" s="167" t="s">
        <v>176</v>
      </c>
      <c r="F3" s="169" t="s">
        <v>176</v>
      </c>
      <c r="G3" s="163"/>
      <c r="H3" s="167" t="s">
        <v>176</v>
      </c>
      <c r="I3" s="169" t="s">
        <v>176</v>
      </c>
      <c r="J3" s="173"/>
      <c r="K3" s="181" t="s">
        <v>185</v>
      </c>
      <c r="L3" s="181" t="s">
        <v>186</v>
      </c>
    </row>
    <row r="4" spans="1:12" ht="10.5" customHeight="1">
      <c r="A4" s="53"/>
      <c r="B4" s="168" t="s">
        <v>177</v>
      </c>
      <c r="C4" s="168" t="s">
        <v>178</v>
      </c>
      <c r="D4" s="53"/>
      <c r="E4" s="168" t="s">
        <v>177</v>
      </c>
      <c r="F4" s="168" t="s">
        <v>178</v>
      </c>
      <c r="G4" s="61"/>
      <c r="H4" s="168" t="s">
        <v>177</v>
      </c>
      <c r="I4" s="168" t="s">
        <v>178</v>
      </c>
      <c r="K4" s="75" t="s">
        <v>187</v>
      </c>
      <c r="L4" s="75" t="s">
        <v>187</v>
      </c>
    </row>
    <row r="5" spans="1:12" ht="10.5" customHeight="1">
      <c r="A5" s="53"/>
      <c r="B5" s="155"/>
      <c r="C5" s="155"/>
      <c r="D5" s="53"/>
      <c r="E5" s="53"/>
      <c r="F5" s="61"/>
      <c r="G5" s="61"/>
      <c r="H5" s="61"/>
      <c r="I5" s="61"/>
      <c r="K5" s="53"/>
      <c r="L5" s="53"/>
    </row>
    <row r="6" spans="1:12" ht="10.5" customHeight="1">
      <c r="A6" s="62" t="s">
        <v>164</v>
      </c>
      <c r="B6" s="63"/>
      <c r="C6" s="63"/>
      <c r="D6" s="63"/>
      <c r="E6" s="63"/>
      <c r="F6" s="63"/>
      <c r="G6" s="63"/>
      <c r="H6" s="63"/>
      <c r="I6" s="63"/>
      <c r="K6" s="53"/>
      <c r="L6" s="53"/>
    </row>
    <row r="7" spans="1:12" ht="10.5" customHeight="1">
      <c r="A7" s="161" t="s">
        <v>166</v>
      </c>
      <c r="B7" s="164">
        <f>(275733284+27020401)/1000</f>
        <v>302753.685</v>
      </c>
      <c r="C7" s="164">
        <f>(2672840+27325430)/1000</f>
        <v>29998.27</v>
      </c>
      <c r="D7" s="63"/>
      <c r="E7" s="164">
        <f>(25163968+247553794)/1000</f>
        <v>272717.762</v>
      </c>
      <c r="F7" s="164">
        <f>(2478942+24409169)/1000</f>
        <v>26888.111</v>
      </c>
      <c r="G7" s="63"/>
      <c r="H7" s="164">
        <f>(17241575+144961167)/1000</f>
        <v>162202.742</v>
      </c>
      <c r="I7" s="164">
        <f>(1575978+11936034)/1000</f>
        <v>13512.012</v>
      </c>
      <c r="K7" s="182">
        <f>(H7/E7-1)*100</f>
        <v>-40.52358716554736</v>
      </c>
      <c r="L7" s="182">
        <f>(I7/F7-1)*100</f>
        <v>-49.74726190322556</v>
      </c>
    </row>
    <row r="8" spans="1:12" ht="10.5" customHeight="1">
      <c r="A8" s="161" t="s">
        <v>181</v>
      </c>
      <c r="B8" s="164">
        <f>(114947232+149939431+17783056+193688953+26347032)/1000</f>
        <v>502705.704</v>
      </c>
      <c r="C8" s="164">
        <f>(10429816+15712016+1449946+16577715+3039384)/1000</f>
        <v>47208.877</v>
      </c>
      <c r="D8" s="63"/>
      <c r="E8" s="164">
        <f>(68452329+95990027+11748995+117819671+19444627)/1000</f>
        <v>313455.649</v>
      </c>
      <c r="F8" s="164">
        <f>(6360136+9099484+1027130+9422686+2187740)/1000</f>
        <v>28097.176</v>
      </c>
      <c r="G8" s="63"/>
      <c r="H8" s="164">
        <f>(69941232+46046361+19071682+74514400+7576036)/1000</f>
        <v>217149.711</v>
      </c>
      <c r="I8" s="164">
        <f>(6031320+5686968+1052384+6342534+1093000)/1000</f>
        <v>20206.206</v>
      </c>
      <c r="K8" s="182">
        <f aca="true" t="shared" si="0" ref="K8:L18">(H8/E8-1)*100</f>
        <v>-30.723943979711134</v>
      </c>
      <c r="L8" s="182">
        <f t="shared" si="0"/>
        <v>-28.08456622117469</v>
      </c>
    </row>
    <row r="9" spans="1:12" ht="10.5" customHeight="1">
      <c r="A9" s="159" t="s">
        <v>167</v>
      </c>
      <c r="B9" s="164">
        <f>1060032366/1000</f>
        <v>1060032.366</v>
      </c>
      <c r="C9" s="164">
        <f>328057575/1000</f>
        <v>328057.575</v>
      </c>
      <c r="D9" s="63"/>
      <c r="E9" s="164">
        <f>530512407/1000</f>
        <v>530512.407</v>
      </c>
      <c r="F9" s="164">
        <f>167580630/1000</f>
        <v>167580.63</v>
      </c>
      <c r="G9" s="63"/>
      <c r="H9" s="164">
        <f>561897146/1000</f>
        <v>561897.146</v>
      </c>
      <c r="I9" s="164">
        <f>165192840/1000</f>
        <v>165192.84</v>
      </c>
      <c r="K9" s="182">
        <f t="shared" si="0"/>
        <v>5.915929313977375</v>
      </c>
      <c r="L9" s="182">
        <f t="shared" si="0"/>
        <v>-1.424860379150028</v>
      </c>
    </row>
    <row r="10" spans="1:12" ht="10.5" customHeight="1">
      <c r="A10" s="159" t="s">
        <v>168</v>
      </c>
      <c r="B10" s="164">
        <f>(90360721+2710691+15441)/1000</f>
        <v>93086.853</v>
      </c>
      <c r="C10" s="164">
        <f>(29459178+1125224+15547)/1000</f>
        <v>30599.949</v>
      </c>
      <c r="D10" s="63"/>
      <c r="E10" s="164">
        <f>(46515895+1461581+2544)/1000</f>
        <v>47980.02</v>
      </c>
      <c r="F10" s="164">
        <f>(15121342+516468+3661)/1000</f>
        <v>15641.471</v>
      </c>
      <c r="G10" s="63"/>
      <c r="H10" s="164">
        <f>(39434746+1157371+46008)/1000</f>
        <v>40638.125</v>
      </c>
      <c r="I10" s="164">
        <f>(13308455+656789+38138)/1000</f>
        <v>14003.382</v>
      </c>
      <c r="K10" s="182">
        <f t="shared" si="0"/>
        <v>-15.301984034187555</v>
      </c>
      <c r="L10" s="182">
        <f t="shared" si="0"/>
        <v>-10.47272983468115</v>
      </c>
    </row>
    <row r="11" spans="1:12" ht="10.5" customHeight="1">
      <c r="A11" s="159" t="s">
        <v>169</v>
      </c>
      <c r="B11" s="164">
        <f>38028953/1000</f>
        <v>38028.953</v>
      </c>
      <c r="C11" s="164">
        <f>32544338/1000</f>
        <v>32544.338</v>
      </c>
      <c r="D11" s="63"/>
      <c r="E11" s="164">
        <f>18557137/1000</f>
        <v>18557.137</v>
      </c>
      <c r="F11" s="164">
        <f>15450878/1000</f>
        <v>15450.878</v>
      </c>
      <c r="G11" s="63"/>
      <c r="H11" s="164">
        <f>20860883/1000</f>
        <v>20860.883</v>
      </c>
      <c r="I11" s="164">
        <f>20663932/1000</f>
        <v>20663.932</v>
      </c>
      <c r="K11" s="182">
        <f t="shared" si="0"/>
        <v>12.414339561107957</v>
      </c>
      <c r="L11" s="182">
        <f t="shared" si="0"/>
        <v>33.73953247187635</v>
      </c>
    </row>
    <row r="12" spans="1:12" ht="10.5" customHeight="1">
      <c r="A12" s="159" t="s">
        <v>170</v>
      </c>
      <c r="B12" s="164">
        <f>(11488720+9556406)/1000</f>
        <v>21045.126</v>
      </c>
      <c r="C12" s="164">
        <f>(4799437+5102454)/1000</f>
        <v>9901.891</v>
      </c>
      <c r="D12" s="63"/>
      <c r="E12" s="164">
        <f>(4085273+5450280)/1000</f>
        <v>9535.553</v>
      </c>
      <c r="F12" s="164">
        <f>(1740547+2997780)/1000</f>
        <v>4738.327</v>
      </c>
      <c r="G12" s="63"/>
      <c r="H12" s="164">
        <f>(9417550+3047976)/1000</f>
        <v>12465.526</v>
      </c>
      <c r="I12" s="164">
        <f>(3931488+1794034)/1000</f>
        <v>5725.522</v>
      </c>
      <c r="K12" s="182">
        <f t="shared" si="0"/>
        <v>30.726828323433363</v>
      </c>
      <c r="L12" s="182">
        <f t="shared" si="0"/>
        <v>20.834252258233743</v>
      </c>
    </row>
    <row r="13" spans="1:12" ht="10.5" customHeight="1">
      <c r="A13" s="159" t="s">
        <v>171</v>
      </c>
      <c r="B13" s="164">
        <f>121689/1000</f>
        <v>121.689</v>
      </c>
      <c r="C13" s="164">
        <f>106328/1000</f>
        <v>106.328</v>
      </c>
      <c r="D13" s="63"/>
      <c r="E13" s="164">
        <f>76366/1000</f>
        <v>76.366</v>
      </c>
      <c r="F13" s="164">
        <f>63647/1000</f>
        <v>63.647</v>
      </c>
      <c r="G13" s="63"/>
      <c r="H13" s="164">
        <f>62516/1000</f>
        <v>62.516</v>
      </c>
      <c r="I13" s="164">
        <f>46863/1000</f>
        <v>46.863</v>
      </c>
      <c r="K13" s="182">
        <f t="shared" si="0"/>
        <v>-18.136343398894795</v>
      </c>
      <c r="L13" s="182">
        <f t="shared" si="0"/>
        <v>-26.370449510581807</v>
      </c>
    </row>
    <row r="14" spans="1:12" ht="10.5" customHeight="1">
      <c r="A14" s="161" t="s">
        <v>180</v>
      </c>
      <c r="B14" s="164">
        <f>582219/1000</f>
        <v>582.219</v>
      </c>
      <c r="C14" s="164">
        <f>223047/1000</f>
        <v>223.047</v>
      </c>
      <c r="D14" s="63"/>
      <c r="E14" s="164">
        <f>369933/1000</f>
        <v>369.933</v>
      </c>
      <c r="F14" s="164">
        <f>125958/1000</f>
        <v>125.958</v>
      </c>
      <c r="G14" s="63"/>
      <c r="H14" s="164">
        <f>909263/1000</f>
        <v>909.263</v>
      </c>
      <c r="I14" s="164">
        <f>406368/1000</f>
        <v>406.368</v>
      </c>
      <c r="K14" s="182">
        <f t="shared" si="0"/>
        <v>145.79126490472603</v>
      </c>
      <c r="L14" s="182">
        <f t="shared" si="0"/>
        <v>222.62182632306008</v>
      </c>
    </row>
    <row r="15" spans="1:12" ht="10.5" customHeight="1">
      <c r="A15" s="161" t="s">
        <v>172</v>
      </c>
      <c r="B15" s="164">
        <f>2833365/1000</f>
        <v>2833.365</v>
      </c>
      <c r="C15" s="164">
        <f>1863195/1000</f>
        <v>1863.195</v>
      </c>
      <c r="D15" s="63"/>
      <c r="E15" s="164">
        <f>1475011/1000</f>
        <v>1475.011</v>
      </c>
      <c r="F15" s="164">
        <f>868037/1000</f>
        <v>868.037</v>
      </c>
      <c r="G15" s="63"/>
      <c r="H15" s="164">
        <f>2230343/1000</f>
        <v>2230.343</v>
      </c>
      <c r="I15" s="164">
        <f>1335765/1000</f>
        <v>1335.765</v>
      </c>
      <c r="K15" s="182">
        <f t="shared" si="0"/>
        <v>51.208567258142466</v>
      </c>
      <c r="L15" s="182">
        <f t="shared" si="0"/>
        <v>53.88341741193061</v>
      </c>
    </row>
    <row r="16" spans="1:12" ht="10.5" customHeight="1">
      <c r="A16" s="159" t="s">
        <v>173</v>
      </c>
      <c r="B16" s="164">
        <f>(73623709+53693099)/1000</f>
        <v>127316.808</v>
      </c>
      <c r="C16" s="164">
        <f>(12447594+6557129)/1000</f>
        <v>19004.723</v>
      </c>
      <c r="D16" s="63"/>
      <c r="E16" s="164">
        <f>(38544033+24673748)/1000</f>
        <v>63217.781</v>
      </c>
      <c r="F16" s="164">
        <f>(6425261+3152382)/1000</f>
        <v>9577.643</v>
      </c>
      <c r="G16" s="63"/>
      <c r="H16" s="164">
        <f>(29123972+29838104)/1000</f>
        <v>58962.076</v>
      </c>
      <c r="I16" s="164">
        <f>(5127670+3482587)/1000</f>
        <v>8610.257</v>
      </c>
      <c r="K16" s="182">
        <f t="shared" si="0"/>
        <v>-6.7318164805563185</v>
      </c>
      <c r="L16" s="182">
        <f t="shared" si="0"/>
        <v>-10.100459998352418</v>
      </c>
    </row>
    <row r="17" spans="1:12" ht="4.5" customHeight="1">
      <c r="A17" s="159"/>
      <c r="B17" s="164"/>
      <c r="C17" s="164"/>
      <c r="D17" s="63"/>
      <c r="E17" s="164"/>
      <c r="F17" s="164"/>
      <c r="G17" s="63"/>
      <c r="H17" s="164"/>
      <c r="I17" s="164"/>
      <c r="K17" s="183"/>
      <c r="L17" s="183"/>
    </row>
    <row r="18" spans="1:12" ht="10.5" customHeight="1">
      <c r="A18" s="160" t="s">
        <v>97</v>
      </c>
      <c r="B18" s="164">
        <f>SUM(B7:B16)</f>
        <v>2148506.768</v>
      </c>
      <c r="C18" s="164">
        <f>SUM(C7:C16)</f>
        <v>499508.193</v>
      </c>
      <c r="D18" s="63"/>
      <c r="E18" s="164">
        <f>SUM(E7:E16)</f>
        <v>1257897.619</v>
      </c>
      <c r="F18" s="164">
        <f>SUM(F7:F16)</f>
        <v>269031.878</v>
      </c>
      <c r="G18" s="63"/>
      <c r="H18" s="164">
        <f>SUM(H7:H16)</f>
        <v>1077378.3309999998</v>
      </c>
      <c r="I18" s="164">
        <f>SUM(I7:I16)</f>
        <v>249703.14700000003</v>
      </c>
      <c r="K18" s="182">
        <f t="shared" si="0"/>
        <v>-14.350872859073293</v>
      </c>
      <c r="L18" s="182">
        <f t="shared" si="0"/>
        <v>-7.184550449445249</v>
      </c>
    </row>
    <row r="19" spans="1:12" ht="10.5" customHeight="1">
      <c r="A19" s="62"/>
      <c r="B19" s="164"/>
      <c r="C19" s="164"/>
      <c r="D19" s="63"/>
      <c r="E19" s="164"/>
      <c r="F19" s="164"/>
      <c r="G19" s="63"/>
      <c r="H19" s="164"/>
      <c r="I19" s="164"/>
      <c r="K19" s="53"/>
      <c r="L19" s="53"/>
    </row>
    <row r="20" spans="1:12" ht="10.5" customHeight="1">
      <c r="A20" s="62" t="s">
        <v>174</v>
      </c>
      <c r="B20" s="164"/>
      <c r="C20" s="164"/>
      <c r="D20" s="63"/>
      <c r="E20" s="164"/>
      <c r="F20" s="164"/>
      <c r="G20" s="63"/>
      <c r="H20" s="164"/>
      <c r="I20" s="164"/>
      <c r="K20" s="53"/>
      <c r="L20" s="53"/>
    </row>
    <row r="21" spans="1:12" ht="10.5" customHeight="1">
      <c r="A21" s="161" t="s">
        <v>166</v>
      </c>
      <c r="B21" s="164">
        <f>32293975/1000</f>
        <v>32293.975</v>
      </c>
      <c r="C21" s="164">
        <f>4516398/1000</f>
        <v>4516.398</v>
      </c>
      <c r="D21" s="63"/>
      <c r="E21" s="164">
        <f>19497529/1000</f>
        <v>19497.529</v>
      </c>
      <c r="F21" s="164">
        <f>2435423/1000</f>
        <v>2435.423</v>
      </c>
      <c r="G21" s="63"/>
      <c r="H21" s="164">
        <f>41867959/1000</f>
        <v>41867.959</v>
      </c>
      <c r="I21" s="164">
        <f>4405777/1000</f>
        <v>4405.777</v>
      </c>
      <c r="K21" s="182">
        <f aca="true" t="shared" si="1" ref="K21:L30">(H21/E21-1)*100</f>
        <v>114.73469279107115</v>
      </c>
      <c r="L21" s="182">
        <f t="shared" si="1"/>
        <v>80.90397438145244</v>
      </c>
    </row>
    <row r="22" spans="1:12" ht="10.5" customHeight="1">
      <c r="A22" s="161" t="s">
        <v>181</v>
      </c>
      <c r="B22" s="164">
        <f>644415314/1000</f>
        <v>644415.314</v>
      </c>
      <c r="C22" s="164">
        <f>84595017/1000</f>
        <v>84595.017</v>
      </c>
      <c r="D22" s="63"/>
      <c r="E22" s="164">
        <f>353461706/1000</f>
        <v>353461.706</v>
      </c>
      <c r="F22" s="164">
        <f>46348433/1000</f>
        <v>46348.433</v>
      </c>
      <c r="G22" s="63"/>
      <c r="H22" s="164">
        <f>324064806/1000</f>
        <v>324064.806</v>
      </c>
      <c r="I22" s="164">
        <f>44550973/1000</f>
        <v>44550.973</v>
      </c>
      <c r="K22" s="182">
        <f t="shared" si="1"/>
        <v>-8.316855687897352</v>
      </c>
      <c r="L22" s="182">
        <f t="shared" si="1"/>
        <v>-3.8781462147814083</v>
      </c>
    </row>
    <row r="23" spans="1:12" ht="10.5" customHeight="1">
      <c r="A23" s="159" t="s">
        <v>167</v>
      </c>
      <c r="B23" s="164">
        <f>1077853605/1000</f>
        <v>1077853.605</v>
      </c>
      <c r="C23" s="164">
        <f>351187185/1000</f>
        <v>351187.185</v>
      </c>
      <c r="D23" s="63"/>
      <c r="E23" s="164">
        <f>528675342/1000</f>
        <v>528675.342</v>
      </c>
      <c r="F23" s="164">
        <f>174312500/1000</f>
        <v>174312.5</v>
      </c>
      <c r="G23" s="63"/>
      <c r="H23" s="164">
        <f>550934454/1000</f>
        <v>550934.454</v>
      </c>
      <c r="I23" s="164">
        <f>178839134/1000</f>
        <v>178839.134</v>
      </c>
      <c r="K23" s="182">
        <f t="shared" si="1"/>
        <v>4.210355625021767</v>
      </c>
      <c r="L23" s="182">
        <f t="shared" si="1"/>
        <v>2.596849910362131</v>
      </c>
    </row>
    <row r="24" spans="1:12" ht="10.5" customHeight="1">
      <c r="A24" s="159" t="s">
        <v>168</v>
      </c>
      <c r="B24" s="164">
        <f>(56405287+18808876)/1000</f>
        <v>75214.163</v>
      </c>
      <c r="C24" s="164">
        <f>(20350817+6932225)/1000</f>
        <v>27283.042</v>
      </c>
      <c r="D24" s="63"/>
      <c r="E24" s="164">
        <f>(16621778+9553780)/1000</f>
        <v>26175.558</v>
      </c>
      <c r="F24" s="164">
        <f>(6785623+3094864)/1000</f>
        <v>9880.487</v>
      </c>
      <c r="G24" s="63"/>
      <c r="H24" s="164">
        <f>(20162582+7538976)/1000</f>
        <v>27701.558</v>
      </c>
      <c r="I24" s="164">
        <f>(8109564+2941196)/1000</f>
        <v>11050.76</v>
      </c>
      <c r="K24" s="182">
        <f t="shared" si="1"/>
        <v>5.829866167513975</v>
      </c>
      <c r="L24" s="182">
        <f t="shared" si="1"/>
        <v>11.844284598522336</v>
      </c>
    </row>
    <row r="25" spans="1:12" ht="10.5" customHeight="1">
      <c r="A25" s="159" t="s">
        <v>169</v>
      </c>
      <c r="B25" s="164">
        <f>201371759/1000</f>
        <v>201371.759</v>
      </c>
      <c r="C25" s="164">
        <f>225173436/1000</f>
        <v>225173.436</v>
      </c>
      <c r="D25" s="63"/>
      <c r="E25" s="164">
        <f>109012744/1000</f>
        <v>109012.744</v>
      </c>
      <c r="F25" s="164">
        <f>117427123/1000</f>
        <v>117427.123</v>
      </c>
      <c r="G25" s="63"/>
      <c r="H25" s="164">
        <f>76829637/1000</f>
        <v>76829.637</v>
      </c>
      <c r="I25" s="164">
        <f>85452423/1000</f>
        <v>85452.423</v>
      </c>
      <c r="K25" s="182">
        <f t="shared" si="1"/>
        <v>-29.522334563012198</v>
      </c>
      <c r="L25" s="182">
        <f t="shared" si="1"/>
        <v>-27.229399122722274</v>
      </c>
    </row>
    <row r="26" spans="1:12" ht="10.5" customHeight="1">
      <c r="A26" s="159" t="s">
        <v>170</v>
      </c>
      <c r="B26" s="164">
        <f>(3622584+95853201)/1000</f>
        <v>99475.785</v>
      </c>
      <c r="C26" s="164">
        <f>(1913953+41338919)/1000</f>
        <v>43252.872</v>
      </c>
      <c r="D26" s="63"/>
      <c r="E26" s="164">
        <f>(2167979+50812877)/1000</f>
        <v>52980.856</v>
      </c>
      <c r="F26" s="164">
        <f>(1199104+21920944)/1000</f>
        <v>23120.048</v>
      </c>
      <c r="G26" s="63"/>
      <c r="H26" s="164">
        <f>(3583653+41927012)/1000</f>
        <v>45510.665</v>
      </c>
      <c r="I26" s="164">
        <f>(1867086+17142598)/1000</f>
        <v>19009.684</v>
      </c>
      <c r="K26" s="182">
        <f t="shared" si="1"/>
        <v>-14.099792951627654</v>
      </c>
      <c r="L26" s="182">
        <f t="shared" si="1"/>
        <v>-17.778354093382497</v>
      </c>
    </row>
    <row r="27" spans="1:23" ht="10.5" customHeight="1">
      <c r="A27" s="159" t="s">
        <v>171</v>
      </c>
      <c r="B27" s="164">
        <f>9302239/1000</f>
        <v>9302.239</v>
      </c>
      <c r="C27" s="164">
        <f>4423470/1000</f>
        <v>4423.47</v>
      </c>
      <c r="D27" s="63"/>
      <c r="E27" s="164">
        <f>4914389/1000</f>
        <v>4914.389</v>
      </c>
      <c r="F27" s="164">
        <f>2515355/1000</f>
        <v>2515.355</v>
      </c>
      <c r="G27" s="63"/>
      <c r="H27" s="164">
        <f>5446389/1000</f>
        <v>5446.389</v>
      </c>
      <c r="I27" s="164">
        <f>2510340/1000</f>
        <v>2510.34</v>
      </c>
      <c r="K27" s="182">
        <f t="shared" si="1"/>
        <v>10.825353874103172</v>
      </c>
      <c r="L27" s="182">
        <f t="shared" si="1"/>
        <v>-0.1993754360716471</v>
      </c>
      <c r="N27" s="153"/>
      <c r="P27" s="153"/>
      <c r="R27" s="153"/>
      <c r="T27" s="153"/>
      <c r="V27" s="153"/>
      <c r="W27" s="153"/>
    </row>
    <row r="28" spans="1:25" ht="12" customHeight="1">
      <c r="A28" s="161" t="s">
        <v>180</v>
      </c>
      <c r="B28" s="164">
        <f>11623927/1000</f>
        <v>11623.927</v>
      </c>
      <c r="C28" s="164">
        <f>5116136/1000</f>
        <v>5116.136</v>
      </c>
      <c r="D28" s="63"/>
      <c r="E28" s="164">
        <f>5993790/1000</f>
        <v>5993.79</v>
      </c>
      <c r="F28" s="164">
        <f>2687912/1000</f>
        <v>2687.912</v>
      </c>
      <c r="G28" s="63"/>
      <c r="H28" s="164">
        <f>5361250/1000</f>
        <v>5361.25</v>
      </c>
      <c r="I28" s="164">
        <f>2251383/1000</f>
        <v>2251.383</v>
      </c>
      <c r="K28" s="182">
        <f t="shared" si="1"/>
        <v>-10.553255953244944</v>
      </c>
      <c r="L28" s="182">
        <f t="shared" si="1"/>
        <v>-16.240449836155346</v>
      </c>
      <c r="N28" s="153"/>
      <c r="O28" s="153"/>
      <c r="P28" s="153"/>
      <c r="Q28" s="153"/>
      <c r="R28" s="153"/>
      <c r="S28" s="153"/>
      <c r="T28" s="153"/>
      <c r="U28" s="153"/>
      <c r="V28" s="153"/>
      <c r="W28" s="153"/>
      <c r="X28" s="153"/>
      <c r="Y28" s="153"/>
    </row>
    <row r="29" spans="1:12" ht="10.5" customHeight="1">
      <c r="A29" s="161" t="s">
        <v>172</v>
      </c>
      <c r="B29" s="164">
        <f>28526821/1000</f>
        <v>28526.821</v>
      </c>
      <c r="C29" s="164">
        <f>19383690/1000</f>
        <v>19383.69</v>
      </c>
      <c r="D29" s="63"/>
      <c r="E29" s="164">
        <f>14395829/1000</f>
        <v>14395.829</v>
      </c>
      <c r="F29" s="164">
        <f>10261971/1000</f>
        <v>10261.971</v>
      </c>
      <c r="G29" s="63"/>
      <c r="H29" s="164">
        <f>11184735/1000</f>
        <v>11184.735</v>
      </c>
      <c r="I29" s="164">
        <f>6801824/1000</f>
        <v>6801.824</v>
      </c>
      <c r="K29" s="182">
        <f t="shared" si="1"/>
        <v>-22.305724804038718</v>
      </c>
      <c r="L29" s="182">
        <f t="shared" si="1"/>
        <v>-33.718152195128994</v>
      </c>
    </row>
    <row r="30" spans="1:12" ht="10.5" customHeight="1">
      <c r="A30" s="159" t="s">
        <v>173</v>
      </c>
      <c r="B30" s="164">
        <f>6877213/1000</f>
        <v>6877.213</v>
      </c>
      <c r="C30" s="164">
        <f>2713751/1000</f>
        <v>2713.751</v>
      </c>
      <c r="D30" s="63"/>
      <c r="E30" s="164">
        <f>3799146/1000</f>
        <v>3799.146</v>
      </c>
      <c r="F30" s="164">
        <f>1438988/1000</f>
        <v>1438.988</v>
      </c>
      <c r="G30" s="63"/>
      <c r="H30" s="164">
        <f>3723937/1000</f>
        <v>3723.937</v>
      </c>
      <c r="I30" s="164">
        <f>1388748/1000</f>
        <v>1388.748</v>
      </c>
      <c r="K30" s="182">
        <f t="shared" si="1"/>
        <v>-1.9796291061201732</v>
      </c>
      <c r="L30" s="182">
        <f t="shared" si="1"/>
        <v>-3.4913425268313536</v>
      </c>
    </row>
    <row r="31" spans="1:12" ht="4.5" customHeight="1">
      <c r="A31" s="53"/>
      <c r="B31" s="164"/>
      <c r="C31" s="164"/>
      <c r="D31" s="63"/>
      <c r="E31" s="164"/>
      <c r="F31" s="170"/>
      <c r="G31" s="65"/>
      <c r="H31" s="170"/>
      <c r="I31" s="170"/>
      <c r="K31" s="53"/>
      <c r="L31" s="53"/>
    </row>
    <row r="32" spans="1:12" ht="12.75" customHeight="1">
      <c r="A32" s="166" t="s">
        <v>67</v>
      </c>
      <c r="B32" s="165">
        <f>SUM(B21:B30)</f>
        <v>2186954.801</v>
      </c>
      <c r="C32" s="165">
        <f>SUM(C21:C30)</f>
        <v>767644.997</v>
      </c>
      <c r="D32" s="67"/>
      <c r="E32" s="165">
        <f>SUM(E21:E30)</f>
        <v>1118906.8889999997</v>
      </c>
      <c r="F32" s="165">
        <f>SUM(F21:F30)</f>
        <v>390428.24000000005</v>
      </c>
      <c r="G32" s="67"/>
      <c r="H32" s="165">
        <f>SUM(H21:H30)</f>
        <v>1092625.39</v>
      </c>
      <c r="I32" s="165">
        <f>SUM(I21:I30)</f>
        <v>356261.04600000003</v>
      </c>
      <c r="J32" s="172"/>
      <c r="K32" s="184">
        <f>(H32/E32-1)*100</f>
        <v>-2.3488548741967596</v>
      </c>
      <c r="L32" s="184">
        <f>(I32/F32-1)*100</f>
        <v>-8.75120969733132</v>
      </c>
    </row>
    <row r="33" spans="1:9" ht="12.75" customHeight="1">
      <c r="A33" s="154" t="s">
        <v>188</v>
      </c>
      <c r="B33" s="63"/>
      <c r="C33" s="63"/>
      <c r="D33" s="63"/>
      <c r="E33" s="63"/>
      <c r="F33" s="63"/>
      <c r="G33" s="63"/>
      <c r="H33" s="63"/>
      <c r="I33" s="63"/>
    </row>
    <row r="34" spans="1:9" ht="12">
      <c r="A34" s="154" t="s">
        <v>189</v>
      </c>
      <c r="B34" s="69"/>
      <c r="C34" s="70"/>
      <c r="D34" s="71"/>
      <c r="E34" s="71"/>
      <c r="F34" s="71"/>
      <c r="G34" s="71"/>
      <c r="H34" s="71"/>
      <c r="I34" s="71"/>
    </row>
    <row r="35" spans="3:5" ht="11.25">
      <c r="C35" s="153"/>
      <c r="D35" s="153"/>
      <c r="E35" s="153"/>
    </row>
  </sheetData>
  <printOptions horizontalCentered="1"/>
  <pageMargins left="0.5" right="0.5" top="0.75" bottom="0.5" header="0.25" footer="0.2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USDA\ERS\GLucier</dc:creator>
  <cp:keywords/>
  <dc:description/>
  <cp:lastModifiedBy>SCUSER1</cp:lastModifiedBy>
  <cp:lastPrinted>2001-08-21T16:51:26Z</cp:lastPrinted>
  <dcterms:created xsi:type="dcterms:W3CDTF">2001-08-09T17:37:25Z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