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55" tabRatio="595" activeTab="0"/>
  </bookViews>
  <sheets>
    <sheet name="TABLE 27" sheetId="1" r:id="rId1"/>
    <sheet name="TABLE 28" sheetId="2" r:id="rId2"/>
    <sheet name="TABLE29" sheetId="3" r:id="rId3"/>
    <sheet name="TABLE 30" sheetId="4" r:id="rId4"/>
  </sheets>
  <definedNames>
    <definedName name="_xlnm.Print_Area" localSheetId="0">'TABLE 27'!$A$1:$P$46</definedName>
    <definedName name="_xlnm.Print_Area" localSheetId="1">'TABLE 28'!$A$1:$P$46</definedName>
  </definedNames>
  <calcPr fullCalcOnLoad="1"/>
</workbook>
</file>

<file path=xl/sharedStrings.xml><?xml version="1.0" encoding="utf-8"?>
<sst xmlns="http://schemas.openxmlformats.org/spreadsheetml/2006/main" count="189" uniqueCount="86">
  <si>
    <t>ACTIVE  GENERAL  AVIATION  AND  AIR  TAXI AIRCRAFT</t>
  </si>
  <si>
    <t>FIXED WING</t>
  </si>
  <si>
    <t>PISTON</t>
  </si>
  <si>
    <t>AS OF</t>
  </si>
  <si>
    <t>SINGLE</t>
  </si>
  <si>
    <t>MULTI-</t>
  </si>
  <si>
    <t>ROTORCRAFT</t>
  </si>
  <si>
    <t>EXPERI-</t>
  </si>
  <si>
    <t>ENGINE</t>
  </si>
  <si>
    <t>TURBINE</t>
  </si>
  <si>
    <t>MENTAL</t>
  </si>
  <si>
    <t>OTHER</t>
  </si>
  <si>
    <t>TOTAL</t>
  </si>
  <si>
    <t>Historical*</t>
  </si>
  <si>
    <t>Forecast</t>
  </si>
  <si>
    <t>ACTIVE  GENERAL  AVIATION  AND  AIR TAXI HOURS FLOWN</t>
  </si>
  <si>
    <t>(In Thousands)</t>
  </si>
  <si>
    <t>CALENDAR</t>
  </si>
  <si>
    <t>YEAR</t>
  </si>
  <si>
    <t>ACTIVE  PILOTS  BY  TYPE  OF CERTIFICATE</t>
  </si>
  <si>
    <t>RECREA-</t>
  </si>
  <si>
    <t>AIRLINE</t>
  </si>
  <si>
    <t>GLIDER</t>
  </si>
  <si>
    <t>INSTRUMENT</t>
  </si>
  <si>
    <t>STUDENTS</t>
  </si>
  <si>
    <t>TIONAL</t>
  </si>
  <si>
    <t>PRIVATE</t>
  </si>
  <si>
    <t>COMMERCIAL</t>
  </si>
  <si>
    <t>TRANSPORT</t>
  </si>
  <si>
    <t>ONLY</t>
  </si>
  <si>
    <t>1/  Instrument rated pilots should not be added to other categories in deriving total.</t>
  </si>
  <si>
    <t>GENERAL  AVIATION  AIRCRAFT  FUEL CONSUMPTION</t>
  </si>
  <si>
    <t>(In Millions of Gallons)</t>
  </si>
  <si>
    <t xml:space="preserve">      PISTON</t>
  </si>
  <si>
    <t>FUEL</t>
  </si>
  <si>
    <t>Historical</t>
  </si>
  <si>
    <t>Note: An active pilot is a person with a pilot certificate and a valid medical certificate.</t>
  </si>
  <si>
    <t xml:space="preserve">Note: An active aircraft is one that has a current registration and was flown at least one hour during the previous calendar year. </t>
  </si>
  <si>
    <t>Note: Detail may not add to total because of independent rounding.</t>
  </si>
  <si>
    <t>TOTAL FUEL CONSUMED</t>
  </si>
  <si>
    <t>AVGAS</t>
  </si>
  <si>
    <t>JET</t>
  </si>
  <si>
    <t>PROP</t>
  </si>
  <si>
    <t>TURBO-</t>
  </si>
  <si>
    <t>Source:  FAA APO Estimates.</t>
  </si>
  <si>
    <t>E:  Estimate</t>
  </si>
  <si>
    <t>to estimates prior to 1995.</t>
  </si>
  <si>
    <t>1/ Estimates have been revised to reflect changes in edit and estimation procedures, and may not be comparable</t>
  </si>
  <si>
    <t xml:space="preserve">Note: An active aircraft is one that has a current registration and was flown at least one hour during the calendar year. </t>
  </si>
  <si>
    <t>PILOTS</t>
  </si>
  <si>
    <t>LESS</t>
  </si>
  <si>
    <t>AT PILOTS</t>
  </si>
  <si>
    <t>SPORT</t>
  </si>
  <si>
    <t>AIRCRAFT</t>
  </si>
  <si>
    <t>NA</t>
  </si>
  <si>
    <t>MENTAL/</t>
  </si>
  <si>
    <t>2/  In March 2001, the FAA Registry changed the definition of this pilot category.  It added approximately 13,000 to this pilot category.</t>
  </si>
  <si>
    <t>* Source:  FAA U.S. Civil Airmen Statistics.</t>
  </si>
  <si>
    <t>FLEET</t>
  </si>
  <si>
    <t>TURBO</t>
  </si>
  <si>
    <t>ROTOR-</t>
  </si>
  <si>
    <t>CRAFT</t>
  </si>
  <si>
    <t>DEC. 31</t>
  </si>
  <si>
    <t>GENERAL</t>
  </si>
  <si>
    <t>AVIATION</t>
  </si>
  <si>
    <t xml:space="preserve">AVIATION </t>
  </si>
  <si>
    <t>HOURS</t>
  </si>
  <si>
    <t>PILOTS 1/</t>
  </si>
  <si>
    <t xml:space="preserve">RATED </t>
  </si>
  <si>
    <t>PILOT</t>
  </si>
  <si>
    <t xml:space="preserve">TOTAL </t>
  </si>
  <si>
    <t>PISTONS</t>
  </si>
  <si>
    <t>TURBINES</t>
  </si>
  <si>
    <t>21,826 2/</t>
  </si>
  <si>
    <t>TABLE 28</t>
  </si>
  <si>
    <t>TABLE 29</t>
  </si>
  <si>
    <t>TABLE 30</t>
  </si>
  <si>
    <t>2006E</t>
  </si>
  <si>
    <t>2000-06</t>
  </si>
  <si>
    <t>2006-10</t>
  </si>
  <si>
    <t>2010-20</t>
  </si>
  <si>
    <t>2006-20</t>
  </si>
  <si>
    <t>TABLE 27</t>
  </si>
  <si>
    <t>Avg Annual Growth:</t>
  </si>
  <si>
    <t>* Source:  2000-2005, FAA General Aviation and Air Taxi Activity (and Avionics) Surveys.</t>
  </si>
  <si>
    <t>* Source:  2000-2005, FAA General Aviation and Air Taxi Surveys.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</si>
</sst>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00_);\(#,##0.000\)"/>
    <numFmt numFmtId="167" formatCode="#,##0.0000_);\(#,##0.0000\)"/>
    <numFmt numFmtId="168" formatCode="0.000_);\(0.000\)"/>
    <numFmt numFmtId="169" formatCode="#,##0.0_);\(#,##0.0\)"/>
    <numFmt numFmtId="170" formatCode="#,##0.0"/>
    <numFmt numFmtId="171" formatCode="0.0_);\(0.0\)"/>
    <numFmt numFmtId="172" formatCode="0.0%"/>
    <numFmt numFmtId="173" formatCode="0.000%"/>
    <numFmt numFmtId="174" formatCode="0.00000"/>
    <numFmt numFmtId="175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 applyProtection="1">
      <alignment/>
      <protection locked="0"/>
    </xf>
    <xf numFmtId="0" fontId="0" fillId="0" borderId="6" xfId="0" applyBorder="1" applyAlignment="1" applyProtection="1">
      <alignment horizontal="right"/>
      <protection locked="0"/>
    </xf>
    <xf numFmtId="37" fontId="0" fillId="0" borderId="1" xfId="0" applyNumberFormat="1" applyBorder="1" applyAlignment="1">
      <alignment horizontal="center"/>
    </xf>
    <xf numFmtId="37" fontId="0" fillId="0" borderId="1" xfId="0" applyNumberFormat="1" applyBorder="1" applyAlignment="1" applyProtection="1">
      <alignment horizontal="center"/>
      <protection locked="0"/>
    </xf>
    <xf numFmtId="37" fontId="0" fillId="0" borderId="6" xfId="0" applyNumberFormat="1" applyBorder="1" applyAlignment="1" applyProtection="1">
      <alignment horizontal="center"/>
      <protection locked="0"/>
    </xf>
    <xf numFmtId="0" fontId="9" fillId="0" borderId="0" xfId="0" applyFont="1" applyAlignment="1">
      <alignment horizontal="centerContinuous"/>
    </xf>
    <xf numFmtId="164" fontId="0" fillId="0" borderId="1" xfId="0" applyNumberFormat="1" applyBorder="1" applyAlignment="1" applyProtection="1">
      <alignment/>
      <protection locked="0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4" xfId="0" applyFont="1" applyBorder="1" applyAlignment="1">
      <alignment horizontal="centerContinuous"/>
    </xf>
    <xf numFmtId="164" fontId="0" fillId="0" borderId="4" xfId="0" applyNumberFormat="1" applyFont="1" applyBorder="1" applyAlignment="1">
      <alignment horizontal="centerContinuous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Continuous"/>
    </xf>
    <xf numFmtId="164" fontId="0" fillId="0" borderId="3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 applyAlignment="1" applyProtection="1">
      <alignment horizontal="center"/>
      <protection locked="0"/>
    </xf>
    <xf numFmtId="37" fontId="8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Continuous"/>
    </xf>
    <xf numFmtId="170" fontId="0" fillId="0" borderId="1" xfId="0" applyNumberForma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37" fontId="0" fillId="0" borderId="2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>
      <alignment horizontal="center"/>
    </xf>
    <xf numFmtId="37" fontId="0" fillId="0" borderId="1" xfId="0" applyNumberFormat="1" applyFill="1" applyBorder="1" applyAlignment="1" applyProtection="1">
      <alignment horizontal="center"/>
      <protection locked="0"/>
    </xf>
    <xf numFmtId="3" fontId="0" fillId="0" borderId="0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172" fontId="0" fillId="0" borderId="0" xfId="0" applyNumberFormat="1" applyAlignment="1">
      <alignment/>
    </xf>
    <xf numFmtId="170" fontId="0" fillId="0" borderId="0" xfId="0" applyNumberFormat="1" applyAlignment="1">
      <alignment/>
    </xf>
    <xf numFmtId="172" fontId="0" fillId="0" borderId="0" xfId="19" applyNumberFormat="1" applyAlignment="1">
      <alignment horizontal="left"/>
    </xf>
    <xf numFmtId="172" fontId="0" fillId="0" borderId="0" xfId="19" applyNumberFormat="1" applyAlignment="1">
      <alignment/>
    </xf>
    <xf numFmtId="39" fontId="0" fillId="0" borderId="0" xfId="0" applyNumberFormat="1" applyAlignment="1">
      <alignment/>
    </xf>
    <xf numFmtId="1" fontId="0" fillId="0" borderId="0" xfId="19" applyNumberFormat="1" applyAlignment="1">
      <alignment/>
    </xf>
    <xf numFmtId="164" fontId="10" fillId="0" borderId="0" xfId="0" applyNumberFormat="1" applyFont="1" applyBorder="1" applyAlignment="1">
      <alignment/>
    </xf>
    <xf numFmtId="164" fontId="10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Continuous"/>
    </xf>
    <xf numFmtId="164" fontId="10" fillId="0" borderId="3" xfId="0" applyNumberFormat="1" applyFont="1" applyBorder="1" applyAlignment="1">
      <alignment horizontal="centerContinuous"/>
    </xf>
    <xf numFmtId="164" fontId="10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Continuous"/>
    </xf>
    <xf numFmtId="164" fontId="10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37" fontId="0" fillId="0" borderId="7" xfId="0" applyNumberFormat="1" applyBorder="1" applyAlignment="1">
      <alignment horizontal="center"/>
    </xf>
    <xf numFmtId="37" fontId="0" fillId="0" borderId="17" xfId="0" applyNumberFormat="1" applyBorder="1" applyAlignment="1">
      <alignment horizontal="center"/>
    </xf>
    <xf numFmtId="37" fontId="0" fillId="0" borderId="7" xfId="0" applyNumberFormat="1" applyBorder="1" applyAlignment="1" applyProtection="1">
      <alignment horizontal="center"/>
      <protection locked="0"/>
    </xf>
    <xf numFmtId="37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Continuous"/>
    </xf>
    <xf numFmtId="37" fontId="0" fillId="0" borderId="7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19" xfId="0" applyFont="1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37" fontId="0" fillId="0" borderId="17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9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 horizontal="centerContinuous"/>
    </xf>
    <xf numFmtId="164" fontId="0" fillId="0" borderId="7" xfId="0" applyNumberFormat="1" applyFont="1" applyBorder="1" applyAlignment="1">
      <alignment horizontal="centerContinuous"/>
    </xf>
    <xf numFmtId="164" fontId="0" fillId="0" borderId="14" xfId="0" applyNumberFormat="1" applyFont="1" applyBorder="1" applyAlignment="1">
      <alignment horizontal="centerContinuous"/>
    </xf>
    <xf numFmtId="37" fontId="0" fillId="0" borderId="16" xfId="0" applyNumberForma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20" xfId="0" applyNumberFormat="1" applyFont="1" applyBorder="1" applyAlignment="1">
      <alignment horizontal="centerContinuous"/>
    </xf>
    <xf numFmtId="37" fontId="0" fillId="0" borderId="15" xfId="0" applyNumberForma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>
      <alignment horizontal="centerContinuous"/>
    </xf>
    <xf numFmtId="164" fontId="0" fillId="0" borderId="21" xfId="0" applyNumberFormat="1" applyFont="1" applyBorder="1" applyAlignment="1">
      <alignment horizontal="centerContinuous"/>
    </xf>
    <xf numFmtId="164" fontId="0" fillId="0" borderId="22" xfId="0" applyNumberFormat="1" applyFont="1" applyBorder="1" applyAlignment="1">
      <alignment horizontal="centerContinuous"/>
    </xf>
    <xf numFmtId="0" fontId="0" fillId="0" borderId="18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37" fontId="8" fillId="0" borderId="16" xfId="0" applyNumberFormat="1" applyFont="1" applyBorder="1" applyAlignment="1">
      <alignment horizontal="center"/>
    </xf>
    <xf numFmtId="37" fontId="0" fillId="0" borderId="17" xfId="0" applyNumberFormat="1" applyFont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>
      <alignment/>
    </xf>
    <xf numFmtId="0" fontId="10" fillId="0" borderId="25" xfId="0" applyFont="1" applyBorder="1" applyAlignment="1">
      <alignment/>
    </xf>
    <xf numFmtId="164" fontId="10" fillId="0" borderId="25" xfId="0" applyNumberFormat="1" applyFont="1" applyBorder="1" applyAlignment="1">
      <alignment horizontal="centerContinuous"/>
    </xf>
    <xf numFmtId="164" fontId="10" fillId="0" borderId="11" xfId="0" applyNumberFormat="1" applyFont="1" applyBorder="1" applyAlignment="1">
      <alignment/>
    </xf>
    <xf numFmtId="164" fontId="10" fillId="0" borderId="13" xfId="0" applyNumberFormat="1" applyFont="1" applyBorder="1" applyAlignment="1">
      <alignment horizontal="centerContinuous"/>
    </xf>
    <xf numFmtId="164" fontId="10" fillId="0" borderId="20" xfId="0" applyNumberFormat="1" applyFont="1" applyBorder="1" applyAlignment="1">
      <alignment horizontal="centerContinuous"/>
    </xf>
    <xf numFmtId="164" fontId="0" fillId="0" borderId="13" xfId="0" applyNumberFormat="1" applyBorder="1" applyAlignment="1" applyProtection="1">
      <alignment horizontal="left"/>
      <protection locked="0"/>
    </xf>
    <xf numFmtId="37" fontId="0" fillId="0" borderId="13" xfId="0" applyNumberForma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left"/>
    </xf>
    <xf numFmtId="37" fontId="0" fillId="0" borderId="27" xfId="0" applyNumberFormat="1" applyFont="1" applyBorder="1" applyAlignment="1">
      <alignment horizontal="center"/>
    </xf>
    <xf numFmtId="164" fontId="0" fillId="0" borderId="29" xfId="0" applyNumberFormat="1" applyBorder="1" applyAlignment="1" applyProtection="1">
      <alignment horizontal="left"/>
      <protection locked="0"/>
    </xf>
    <xf numFmtId="0" fontId="0" fillId="0" borderId="20" xfId="0" applyBorder="1" applyAlignment="1">
      <alignment horizontal="center"/>
    </xf>
    <xf numFmtId="165" fontId="8" fillId="0" borderId="16" xfId="0" applyNumberFormat="1" applyFont="1" applyBorder="1" applyAlignment="1">
      <alignment horizontal="right"/>
    </xf>
    <xf numFmtId="170" fontId="0" fillId="0" borderId="17" xfId="0" applyNumberFormat="1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70" fontId="0" fillId="0" borderId="7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7" fontId="0" fillId="0" borderId="19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7" fontId="0" fillId="0" borderId="30" xfId="0" applyNumberFormat="1" applyBorder="1" applyAlignment="1" applyProtection="1">
      <alignment horizontal="center"/>
      <protection locked="0"/>
    </xf>
    <xf numFmtId="170" fontId="0" fillId="0" borderId="13" xfId="0" applyNumberFormat="1" applyBorder="1" applyAlignment="1">
      <alignment horizontal="center"/>
    </xf>
    <xf numFmtId="37" fontId="0" fillId="0" borderId="1" xfId="0" applyNumberFormat="1" applyFill="1" applyBorder="1" applyAlignment="1">
      <alignment horizontal="center"/>
    </xf>
    <xf numFmtId="37" fontId="0" fillId="0" borderId="17" xfId="0" applyNumberFormat="1" applyFont="1" applyFill="1" applyBorder="1" applyAlignment="1">
      <alignment horizontal="center"/>
    </xf>
    <xf numFmtId="172" fontId="0" fillId="0" borderId="0" xfId="19" applyNumberFormat="1" applyFill="1" applyAlignment="1">
      <alignment/>
    </xf>
    <xf numFmtId="165" fontId="0" fillId="0" borderId="0" xfId="19" applyNumberFormat="1" applyFill="1" applyAlignment="1">
      <alignment/>
    </xf>
    <xf numFmtId="0" fontId="0" fillId="0" borderId="0" xfId="0" applyFill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Continuous"/>
    </xf>
    <xf numFmtId="164" fontId="0" fillId="0" borderId="13" xfId="0" applyNumberFormat="1" applyFont="1" applyBorder="1" applyAlignment="1">
      <alignment horizontal="centerContinuous"/>
    </xf>
    <xf numFmtId="164" fontId="0" fillId="0" borderId="23" xfId="0" applyNumberFormat="1" applyFont="1" applyBorder="1" applyAlignment="1">
      <alignment horizontal="centerContinuous"/>
    </xf>
    <xf numFmtId="164" fontId="0" fillId="0" borderId="3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10" fillId="0" borderId="32" xfId="0" applyNumberFormat="1" applyFont="1" applyBorder="1" applyAlignment="1">
      <alignment/>
    </xf>
    <xf numFmtId="164" fontId="10" fillId="0" borderId="29" xfId="0" applyNumberFormat="1" applyFont="1" applyBorder="1" applyAlignment="1">
      <alignment horizontal="centerContinuous"/>
    </xf>
    <xf numFmtId="3" fontId="0" fillId="0" borderId="29" xfId="0" applyNumberFormat="1" applyBorder="1" applyAlignment="1">
      <alignment horizontal="center"/>
    </xf>
    <xf numFmtId="164" fontId="0" fillId="0" borderId="0" xfId="0" applyNumberFormat="1" applyBorder="1" applyAlignment="1" applyProtection="1">
      <alignment horizontal="left"/>
      <protection locked="0"/>
    </xf>
    <xf numFmtId="164" fontId="10" fillId="0" borderId="1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5" fontId="0" fillId="0" borderId="33" xfId="0" applyNumberFormat="1" applyBorder="1" applyAlignment="1" applyProtection="1">
      <alignment horizontal="center"/>
      <protection locked="0"/>
    </xf>
    <xf numFmtId="170" fontId="0" fillId="0" borderId="27" xfId="0" applyNumberFormat="1" applyBorder="1" applyAlignment="1">
      <alignment horizontal="center"/>
    </xf>
    <xf numFmtId="164" fontId="0" fillId="0" borderId="17" xfId="0" applyNumberFormat="1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37" fontId="0" fillId="0" borderId="2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/>
      <protection locked="0"/>
    </xf>
    <xf numFmtId="169" fontId="0" fillId="0" borderId="1" xfId="0" applyNumberFormat="1" applyBorder="1" applyAlignment="1" applyProtection="1">
      <alignment horizontal="center"/>
      <protection locked="0"/>
    </xf>
    <xf numFmtId="169" fontId="0" fillId="0" borderId="2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/>
    </xf>
    <xf numFmtId="37" fontId="0" fillId="0" borderId="1" xfId="0" applyNumberFormat="1" applyFont="1" applyBorder="1" applyAlignment="1" applyProtection="1">
      <alignment horizontal="center"/>
      <protection locked="0"/>
    </xf>
    <xf numFmtId="169" fontId="0" fillId="0" borderId="7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>
      <alignment horizontal="center"/>
    </xf>
    <xf numFmtId="37" fontId="0" fillId="0" borderId="7" xfId="0" applyNumberFormat="1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4" fontId="10" fillId="0" borderId="24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164" fontId="10" fillId="0" borderId="4" xfId="0" applyNumberFormat="1" applyFont="1" applyBorder="1" applyAlignment="1">
      <alignment horizontal="centerContinuous"/>
    </xf>
    <xf numFmtId="164" fontId="0" fillId="0" borderId="2" xfId="0" applyNumberFormat="1" applyBorder="1" applyAlignment="1" applyProtection="1">
      <alignment horizontal="left"/>
      <protection locked="0"/>
    </xf>
    <xf numFmtId="164" fontId="10" fillId="0" borderId="1" xfId="0" applyNumberFormat="1" applyFont="1" applyBorder="1" applyAlignment="1">
      <alignment horizontal="centerContinuous"/>
    </xf>
    <xf numFmtId="37" fontId="0" fillId="0" borderId="29" xfId="0" applyNumberFormat="1" applyBorder="1" applyAlignment="1" applyProtection="1">
      <alignment horizontal="center"/>
      <protection locked="0"/>
    </xf>
    <xf numFmtId="170" fontId="0" fillId="0" borderId="19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17" xfId="0" applyNumberFormat="1" applyFont="1" applyBorder="1" applyAlignment="1" applyProtection="1">
      <alignment horizontal="center"/>
      <protection locked="0"/>
    </xf>
    <xf numFmtId="170" fontId="0" fillId="0" borderId="7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0" xfId="0" applyBorder="1" applyAlignment="1" applyProtection="1">
      <alignment/>
      <protection locked="0"/>
    </xf>
    <xf numFmtId="37" fontId="0" fillId="0" borderId="13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23" xfId="0" applyFill="1" applyBorder="1" applyAlignment="1">
      <alignment horizontal="center"/>
    </xf>
    <xf numFmtId="3" fontId="0" fillId="0" borderId="2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4" fontId="8" fillId="0" borderId="30" xfId="0" applyNumberFormat="1" applyFont="1" applyBorder="1" applyAlignment="1">
      <alignment horizontal="left"/>
    </xf>
    <xf numFmtId="170" fontId="0" fillId="0" borderId="29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69" fontId="0" fillId="0" borderId="29" xfId="0" applyNumberFormat="1" applyFont="1" applyBorder="1" applyAlignment="1" applyProtection="1">
      <alignment horizontal="center"/>
      <protection locked="0"/>
    </xf>
    <xf numFmtId="169" fontId="0" fillId="0" borderId="27" xfId="0" applyNumberFormat="1" applyFont="1" applyBorder="1" applyAlignment="1" applyProtection="1">
      <alignment horizontal="center"/>
      <protection locked="0"/>
    </xf>
    <xf numFmtId="170" fontId="0" fillId="0" borderId="2" xfId="0" applyNumberFormat="1" applyBorder="1" applyAlignment="1">
      <alignment horizontal="center"/>
    </xf>
    <xf numFmtId="164" fontId="10" fillId="0" borderId="36" xfId="0" applyNumberFormat="1" applyFont="1" applyBorder="1" applyAlignment="1">
      <alignment/>
    </xf>
    <xf numFmtId="164" fontId="10" fillId="0" borderId="17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37" fontId="0" fillId="0" borderId="2" xfId="0" applyNumberFormat="1" applyBorder="1" applyAlignment="1">
      <alignment horizontal="center"/>
    </xf>
    <xf numFmtId="37" fontId="0" fillId="0" borderId="13" xfId="0" applyNumberFormat="1" applyBorder="1" applyAlignment="1">
      <alignment/>
    </xf>
    <xf numFmtId="37" fontId="0" fillId="0" borderId="17" xfId="0" applyNumberForma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3" fontId="0" fillId="0" borderId="13" xfId="0" applyNumberFormat="1" applyFill="1" applyBorder="1" applyAlignment="1">
      <alignment horizontal="center"/>
    </xf>
    <xf numFmtId="37" fontId="0" fillId="0" borderId="7" xfId="0" applyNumberFormat="1" applyFont="1" applyBorder="1" applyAlignment="1">
      <alignment horizontal="center"/>
    </xf>
    <xf numFmtId="172" fontId="0" fillId="0" borderId="19" xfId="19" applyNumberFormat="1" applyBorder="1" applyAlignment="1">
      <alignment horizontal="center"/>
    </xf>
    <xf numFmtId="172" fontId="0" fillId="0" borderId="1" xfId="19" applyNumberFormat="1" applyBorder="1" applyAlignment="1">
      <alignment horizontal="center"/>
    </xf>
    <xf numFmtId="172" fontId="0" fillId="0" borderId="17" xfId="19" applyNumberFormat="1" applyBorder="1" applyAlignment="1">
      <alignment horizontal="center"/>
    </xf>
    <xf numFmtId="0" fontId="0" fillId="0" borderId="37" xfId="0" applyBorder="1" applyAlignment="1">
      <alignment horizontal="left"/>
    </xf>
    <xf numFmtId="172" fontId="0" fillId="0" borderId="37" xfId="19" applyNumberFormat="1" applyBorder="1" applyAlignment="1">
      <alignment horizontal="center"/>
    </xf>
    <xf numFmtId="172" fontId="0" fillId="0" borderId="38" xfId="19" applyNumberFormat="1" applyBorder="1" applyAlignment="1">
      <alignment horizontal="center"/>
    </xf>
    <xf numFmtId="172" fontId="0" fillId="0" borderId="39" xfId="19" applyNumberFormat="1" applyBorder="1" applyAlignment="1">
      <alignment horizontal="center"/>
    </xf>
    <xf numFmtId="49" fontId="0" fillId="0" borderId="12" xfId="0" applyNumberFormat="1" applyFont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0" fillId="0" borderId="19" xfId="0" applyNumberFormat="1" applyBorder="1" applyAlignment="1" applyProtection="1">
      <alignment horizontal="center"/>
      <protection locked="0"/>
    </xf>
    <xf numFmtId="37" fontId="0" fillId="0" borderId="0" xfId="0" applyNumberFormat="1" applyFill="1" applyBorder="1" applyAlignment="1" applyProtection="1">
      <alignment horizontal="center"/>
      <protection locked="0"/>
    </xf>
    <xf numFmtId="3" fontId="0" fillId="2" borderId="7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>
      <alignment horizontal="center"/>
    </xf>
    <xf numFmtId="37" fontId="0" fillId="0" borderId="29" xfId="0" applyNumberFormat="1" applyBorder="1" applyAlignment="1">
      <alignment horizontal="center"/>
    </xf>
    <xf numFmtId="3" fontId="0" fillId="0" borderId="2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7" fontId="0" fillId="0" borderId="27" xfId="0" applyNumberFormat="1" applyBorder="1" applyAlignment="1">
      <alignment horizontal="center"/>
    </xf>
    <xf numFmtId="172" fontId="0" fillId="0" borderId="29" xfId="19" applyNumberFormat="1" applyBorder="1" applyAlignment="1">
      <alignment horizontal="center"/>
    </xf>
    <xf numFmtId="172" fontId="0" fillId="0" borderId="27" xfId="19" applyNumberFormat="1" applyBorder="1" applyAlignment="1">
      <alignment horizontal="center"/>
    </xf>
    <xf numFmtId="172" fontId="0" fillId="0" borderId="0" xfId="19" applyNumberFormat="1" applyBorder="1" applyAlignment="1">
      <alignment horizontal="center"/>
    </xf>
    <xf numFmtId="172" fontId="0" fillId="0" borderId="40" xfId="19" applyNumberFormat="1" applyBorder="1" applyAlignment="1">
      <alignment horizontal="center"/>
    </xf>
    <xf numFmtId="172" fontId="0" fillId="0" borderId="41" xfId="19" applyNumberFormat="1" applyBorder="1" applyAlignment="1">
      <alignment horizontal="center"/>
    </xf>
    <xf numFmtId="172" fontId="0" fillId="0" borderId="42" xfId="19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30" xfId="0" applyNumberFormat="1" applyBorder="1" applyAlignment="1" applyProtection="1">
      <alignment horizontal="center"/>
      <protection locked="0"/>
    </xf>
    <xf numFmtId="169" fontId="0" fillId="0" borderId="0" xfId="0" applyNumberFormat="1" applyFont="1" applyBorder="1" applyAlignment="1" applyProtection="1">
      <alignment horizontal="center"/>
      <protection locked="0"/>
    </xf>
    <xf numFmtId="170" fontId="0" fillId="0" borderId="27" xfId="0" applyNumberFormat="1" applyFont="1" applyBorder="1" applyAlignment="1">
      <alignment horizontal="center"/>
    </xf>
    <xf numFmtId="170" fontId="1" fillId="0" borderId="27" xfId="0" applyNumberFormat="1" applyFont="1" applyBorder="1" applyAlignment="1">
      <alignment horizontal="center"/>
    </xf>
    <xf numFmtId="172" fontId="0" fillId="0" borderId="7" xfId="19" applyNumberFormat="1" applyBorder="1" applyAlignment="1">
      <alignment horizontal="center"/>
    </xf>
    <xf numFmtId="172" fontId="0" fillId="0" borderId="43" xfId="19" applyNumberFormat="1" applyBorder="1" applyAlignment="1">
      <alignment horizontal="center"/>
    </xf>
    <xf numFmtId="37" fontId="0" fillId="0" borderId="13" xfId="0" applyNumberFormat="1" applyFont="1" applyFill="1" applyBorder="1" applyAlignment="1">
      <alignment horizontal="center"/>
    </xf>
    <xf numFmtId="37" fontId="0" fillId="0" borderId="1" xfId="0" applyNumberFormat="1" applyFont="1" applyBorder="1" applyAlignment="1">
      <alignment horizontal="center"/>
    </xf>
    <xf numFmtId="37" fontId="0" fillId="0" borderId="29" xfId="0" applyNumberFormat="1" applyFill="1" applyBorder="1" applyAlignment="1">
      <alignment horizontal="center"/>
    </xf>
    <xf numFmtId="37" fontId="0" fillId="0" borderId="19" xfId="0" applyNumberFormat="1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7" fillId="0" borderId="33" xfId="0" applyFont="1" applyFill="1" applyBorder="1" applyAlignment="1">
      <alignment/>
    </xf>
    <xf numFmtId="0" fontId="0" fillId="0" borderId="27" xfId="0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7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7" fillId="0" borderId="19" xfId="0" applyFont="1" applyFill="1" applyBorder="1" applyAlignment="1">
      <alignment/>
    </xf>
    <xf numFmtId="1" fontId="0" fillId="0" borderId="7" xfId="0" applyNumberForma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7" xfId="0" applyNumberFormat="1" applyFont="1" applyFill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7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75" zoomScaleNormal="75" workbookViewId="0" topLeftCell="A7">
      <selection activeCell="K38" sqref="K38"/>
    </sheetView>
  </sheetViews>
  <sheetFormatPr defaultColWidth="9.140625" defaultRowHeight="12.75"/>
  <cols>
    <col min="1" max="1" width="20.7109375" style="0" customWidth="1"/>
    <col min="3" max="3" width="8.7109375" style="0" customWidth="1"/>
    <col min="4" max="4" width="9.00390625" style="0" customWidth="1"/>
    <col min="5" max="5" width="7.28125" style="0" customWidth="1"/>
    <col min="6" max="6" width="8.00390625" style="0" customWidth="1"/>
    <col min="7" max="7" width="8.8515625" style="0" customWidth="1"/>
    <col min="8" max="9" width="9.28125" style="0" customWidth="1"/>
    <col min="10" max="10" width="8.7109375" style="0" customWidth="1"/>
    <col min="11" max="11" width="8.8515625" style="0" customWidth="1"/>
    <col min="12" max="12" width="9.7109375" style="0" customWidth="1"/>
    <col min="13" max="13" width="8.00390625" style="0" customWidth="1"/>
    <col min="14" max="14" width="9.7109375" style="0" customWidth="1"/>
    <col min="15" max="15" width="10.8515625" style="0" customWidth="1"/>
    <col min="16" max="16" width="12.28125" style="0" bestFit="1" customWidth="1"/>
  </cols>
  <sheetData>
    <row r="1" spans="1:16" ht="18">
      <c r="A1" s="312" t="s">
        <v>82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6" ht="20.25">
      <c r="A3" s="313" t="s">
        <v>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4" ht="18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16.5" thickBo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6" ht="13.5" thickBot="1">
      <c r="A6" s="78"/>
      <c r="B6" s="84" t="s">
        <v>1</v>
      </c>
      <c r="C6" s="66"/>
      <c r="D6" s="67"/>
      <c r="E6" s="84"/>
      <c r="F6" s="66"/>
      <c r="G6" s="66"/>
      <c r="H6" s="78"/>
      <c r="I6" s="79"/>
      <c r="J6" s="80"/>
      <c r="K6" s="91"/>
      <c r="L6" s="91"/>
      <c r="M6" s="91"/>
      <c r="N6" s="97" t="s">
        <v>12</v>
      </c>
      <c r="O6" s="219"/>
      <c r="P6" s="80"/>
    </row>
    <row r="7" spans="1:16" ht="12.75">
      <c r="A7" s="81"/>
      <c r="B7" s="65" t="s">
        <v>2</v>
      </c>
      <c r="C7" s="85"/>
      <c r="D7" s="86"/>
      <c r="E7" s="310" t="s">
        <v>9</v>
      </c>
      <c r="F7" s="311"/>
      <c r="G7" s="311"/>
      <c r="H7" s="81"/>
      <c r="I7" s="10"/>
      <c r="J7" s="77"/>
      <c r="K7" s="9"/>
      <c r="L7" s="9"/>
      <c r="M7" s="9"/>
      <c r="N7" s="93" t="s">
        <v>63</v>
      </c>
      <c r="O7" s="217"/>
      <c r="P7" s="77"/>
    </row>
    <row r="8" spans="1:16" ht="12.75">
      <c r="A8" s="92" t="s">
        <v>3</v>
      </c>
      <c r="B8" s="63" t="s">
        <v>4</v>
      </c>
      <c r="C8" s="39" t="s">
        <v>5</v>
      </c>
      <c r="D8" s="87"/>
      <c r="E8" s="89" t="s">
        <v>59</v>
      </c>
      <c r="F8" s="46" t="s">
        <v>59</v>
      </c>
      <c r="G8" s="40"/>
      <c r="H8" s="68" t="s">
        <v>6</v>
      </c>
      <c r="I8" s="12"/>
      <c r="J8" s="82"/>
      <c r="K8" s="39" t="s">
        <v>7</v>
      </c>
      <c r="L8" s="11" t="s">
        <v>52</v>
      </c>
      <c r="M8" s="9"/>
      <c r="N8" s="93" t="s">
        <v>64</v>
      </c>
      <c r="O8" s="89" t="s">
        <v>70</v>
      </c>
      <c r="P8" s="69" t="s">
        <v>70</v>
      </c>
    </row>
    <row r="9" spans="1:16" ht="12.75">
      <c r="A9" s="256" t="s">
        <v>62</v>
      </c>
      <c r="B9" s="70" t="s">
        <v>8</v>
      </c>
      <c r="C9" s="13" t="s">
        <v>8</v>
      </c>
      <c r="D9" s="88" t="s">
        <v>12</v>
      </c>
      <c r="E9" s="90" t="s">
        <v>42</v>
      </c>
      <c r="F9" s="28" t="s">
        <v>41</v>
      </c>
      <c r="G9" s="180" t="s">
        <v>12</v>
      </c>
      <c r="H9" s="70" t="s">
        <v>2</v>
      </c>
      <c r="I9" s="13" t="s">
        <v>9</v>
      </c>
      <c r="J9" s="82" t="s">
        <v>12</v>
      </c>
      <c r="K9" s="25" t="s">
        <v>10</v>
      </c>
      <c r="L9" s="13" t="s">
        <v>53</v>
      </c>
      <c r="M9" s="25" t="s">
        <v>11</v>
      </c>
      <c r="N9" s="94" t="s">
        <v>58</v>
      </c>
      <c r="O9" s="146" t="s">
        <v>71</v>
      </c>
      <c r="P9" s="220" t="s">
        <v>72</v>
      </c>
    </row>
    <row r="10" spans="1:16" ht="12.75">
      <c r="A10" s="289" t="s">
        <v>13</v>
      </c>
      <c r="B10" s="71"/>
      <c r="C10" s="15"/>
      <c r="D10" s="72"/>
      <c r="E10" s="71"/>
      <c r="F10" s="15"/>
      <c r="G10" s="181"/>
      <c r="H10" s="222"/>
      <c r="I10" s="16"/>
      <c r="J10" s="184"/>
      <c r="K10" s="182"/>
      <c r="L10" s="15"/>
      <c r="M10" s="15"/>
      <c r="N10" s="95"/>
      <c r="O10" s="147"/>
      <c r="P10" s="148"/>
    </row>
    <row r="11" spans="1:18" ht="12.75">
      <c r="A11" s="290">
        <v>2000</v>
      </c>
      <c r="B11" s="191">
        <v>149422</v>
      </c>
      <c r="C11" s="188">
        <v>21091</v>
      </c>
      <c r="D11" s="96">
        <f aca="true" t="shared" si="0" ref="D11:D16">B11+C11</f>
        <v>170513</v>
      </c>
      <c r="E11" s="191">
        <v>5762</v>
      </c>
      <c r="F11" s="48">
        <v>7001</v>
      </c>
      <c r="G11" s="283">
        <f>E11+F11</f>
        <v>12763</v>
      </c>
      <c r="H11" s="149">
        <v>2680</v>
      </c>
      <c r="I11" s="284">
        <v>4470</v>
      </c>
      <c r="J11" s="96">
        <f>H11+I11</f>
        <v>7150</v>
      </c>
      <c r="K11" s="75">
        <v>20407</v>
      </c>
      <c r="L11" s="285" t="s">
        <v>54</v>
      </c>
      <c r="M11" s="49">
        <v>6700</v>
      </c>
      <c r="N11" s="96">
        <f>D11+G11+J11+K11+M11</f>
        <v>217533</v>
      </c>
      <c r="O11" s="73">
        <f>D11+H11</f>
        <v>173193</v>
      </c>
      <c r="P11" s="74">
        <f>+G11+I11</f>
        <v>17233</v>
      </c>
      <c r="R11" s="287"/>
    </row>
    <row r="12" spans="1:18" ht="12.75">
      <c r="A12" s="290">
        <v>2001</v>
      </c>
      <c r="B12" s="75">
        <v>145034</v>
      </c>
      <c r="C12" s="47">
        <v>18281</v>
      </c>
      <c r="D12" s="74">
        <f t="shared" si="0"/>
        <v>163315</v>
      </c>
      <c r="E12" s="75">
        <v>6596</v>
      </c>
      <c r="F12" s="47">
        <v>7787</v>
      </c>
      <c r="G12" s="74">
        <f aca="true" t="shared" si="1" ref="G12:G34">E12+F12</f>
        <v>14383</v>
      </c>
      <c r="H12" s="73">
        <v>2292</v>
      </c>
      <c r="I12" s="257">
        <v>4491</v>
      </c>
      <c r="J12" s="74">
        <f aca="true" t="shared" si="2" ref="J12:J17">H12+I12</f>
        <v>6783</v>
      </c>
      <c r="K12" s="258">
        <v>20421</v>
      </c>
      <c r="L12" s="18" t="s">
        <v>54</v>
      </c>
      <c r="M12" s="257">
        <v>6633</v>
      </c>
      <c r="N12" s="96">
        <f>B12+C12+E12+F12+H12+I12+K12+M12</f>
        <v>211535</v>
      </c>
      <c r="O12" s="73">
        <f aca="true" t="shared" si="3" ref="O12:O17">D12+H12</f>
        <v>165607</v>
      </c>
      <c r="P12" s="128">
        <f aca="true" t="shared" si="4" ref="P12:P17">I12+G12</f>
        <v>18874</v>
      </c>
      <c r="R12" s="287"/>
    </row>
    <row r="13" spans="1:18" ht="12.75">
      <c r="A13" s="290">
        <v>2002</v>
      </c>
      <c r="B13" s="75">
        <v>143503</v>
      </c>
      <c r="C13" s="47">
        <v>17584</v>
      </c>
      <c r="D13" s="74">
        <f t="shared" si="0"/>
        <v>161087</v>
      </c>
      <c r="E13" s="75">
        <v>6841</v>
      </c>
      <c r="F13" s="47">
        <v>8355</v>
      </c>
      <c r="G13" s="74">
        <f t="shared" si="1"/>
        <v>15196</v>
      </c>
      <c r="H13" s="75">
        <v>2351</v>
      </c>
      <c r="I13" s="259">
        <v>4297</v>
      </c>
      <c r="J13" s="74">
        <f t="shared" si="2"/>
        <v>6648</v>
      </c>
      <c r="K13" s="258">
        <v>21936</v>
      </c>
      <c r="L13" s="18" t="s">
        <v>54</v>
      </c>
      <c r="M13" s="259">
        <v>6478</v>
      </c>
      <c r="N13" s="96">
        <f>B13+C13+E13+F13+H13+I13+K13+M13</f>
        <v>211345</v>
      </c>
      <c r="O13" s="73">
        <f t="shared" si="3"/>
        <v>163438</v>
      </c>
      <c r="P13" s="128">
        <f t="shared" si="4"/>
        <v>19493</v>
      </c>
      <c r="R13" s="287"/>
    </row>
    <row r="14" spans="1:18" ht="12.75">
      <c r="A14" s="290">
        <v>2003</v>
      </c>
      <c r="B14" s="75">
        <v>143265</v>
      </c>
      <c r="C14" s="47">
        <v>17673</v>
      </c>
      <c r="D14" s="74">
        <f t="shared" si="0"/>
        <v>160938</v>
      </c>
      <c r="E14" s="75">
        <v>7689</v>
      </c>
      <c r="F14" s="47">
        <v>7997</v>
      </c>
      <c r="G14" s="74">
        <f t="shared" si="1"/>
        <v>15686</v>
      </c>
      <c r="H14" s="75">
        <v>2123</v>
      </c>
      <c r="I14" s="225">
        <v>4403</v>
      </c>
      <c r="J14" s="128">
        <f t="shared" si="2"/>
        <v>6526</v>
      </c>
      <c r="K14" s="258">
        <v>20550</v>
      </c>
      <c r="L14" s="18" t="s">
        <v>54</v>
      </c>
      <c r="M14" s="259">
        <v>6088</v>
      </c>
      <c r="N14" s="96">
        <f>B14+C14+E14+F14+H14+I14+K14+M14</f>
        <v>209788</v>
      </c>
      <c r="O14" s="73">
        <f t="shared" si="3"/>
        <v>163061</v>
      </c>
      <c r="P14" s="128">
        <f t="shared" si="4"/>
        <v>20089</v>
      </c>
      <c r="R14" s="287"/>
    </row>
    <row r="15" spans="1:18" ht="12.75">
      <c r="A15" s="290">
        <v>2004</v>
      </c>
      <c r="B15" s="75">
        <v>146613</v>
      </c>
      <c r="C15" s="47">
        <v>18576</v>
      </c>
      <c r="D15" s="74">
        <f t="shared" si="0"/>
        <v>165189</v>
      </c>
      <c r="E15" s="75">
        <v>8379</v>
      </c>
      <c r="F15" s="47">
        <v>9298</v>
      </c>
      <c r="G15" s="74">
        <f t="shared" si="1"/>
        <v>17677</v>
      </c>
      <c r="H15" s="75">
        <v>2315</v>
      </c>
      <c r="I15" s="225">
        <v>5506</v>
      </c>
      <c r="J15" s="74">
        <f t="shared" si="2"/>
        <v>7821</v>
      </c>
      <c r="K15" s="258">
        <v>22800</v>
      </c>
      <c r="L15" s="18" t="s">
        <v>54</v>
      </c>
      <c r="M15" s="18">
        <v>5939</v>
      </c>
      <c r="N15" s="96">
        <f>B15+C15+E15+F15+H15+I15+K15+M15</f>
        <v>219426</v>
      </c>
      <c r="O15" s="73">
        <f t="shared" si="3"/>
        <v>167504</v>
      </c>
      <c r="P15" s="128">
        <f t="shared" si="4"/>
        <v>23183</v>
      </c>
      <c r="R15" s="287"/>
    </row>
    <row r="16" spans="1:18" s="45" customFormat="1" ht="12.75">
      <c r="A16" s="290">
        <v>2005</v>
      </c>
      <c r="B16" s="75">
        <v>148101</v>
      </c>
      <c r="C16" s="47">
        <v>19507</v>
      </c>
      <c r="D16" s="74">
        <f t="shared" si="0"/>
        <v>167608</v>
      </c>
      <c r="E16" s="75">
        <v>7942</v>
      </c>
      <c r="F16" s="47">
        <v>9823</v>
      </c>
      <c r="G16" s="74">
        <f t="shared" si="1"/>
        <v>17765</v>
      </c>
      <c r="H16" s="75">
        <v>3039</v>
      </c>
      <c r="I16" s="259">
        <v>5689</v>
      </c>
      <c r="J16" s="74">
        <f t="shared" si="2"/>
        <v>8728</v>
      </c>
      <c r="K16" s="258">
        <v>23627</v>
      </c>
      <c r="L16" s="18">
        <v>170</v>
      </c>
      <c r="M16" s="224">
        <v>6454</v>
      </c>
      <c r="N16" s="96">
        <f>B16+C16+E16+F16+H16+I16+K16+L16+M16</f>
        <v>224352</v>
      </c>
      <c r="O16" s="73">
        <f t="shared" si="3"/>
        <v>170647</v>
      </c>
      <c r="P16" s="128">
        <f t="shared" si="4"/>
        <v>23454</v>
      </c>
      <c r="Q16" s="155"/>
      <c r="R16" s="287"/>
    </row>
    <row r="17" spans="1:18" ht="12.75">
      <c r="A17" s="290" t="s">
        <v>77</v>
      </c>
      <c r="B17" s="260">
        <v>148235.99</v>
      </c>
      <c r="C17" s="225">
        <v>19363.85605</v>
      </c>
      <c r="D17" s="74">
        <f aca="true" t="shared" si="5" ref="D17:D34">B17+C17</f>
        <v>167599.84605</v>
      </c>
      <c r="E17" s="260">
        <v>8025.58</v>
      </c>
      <c r="F17" s="50">
        <v>10032</v>
      </c>
      <c r="G17" s="74">
        <f t="shared" si="1"/>
        <v>18057.58</v>
      </c>
      <c r="H17" s="211">
        <v>3366.8727</v>
      </c>
      <c r="I17" s="243">
        <v>5865.0177</v>
      </c>
      <c r="J17" s="74">
        <f t="shared" si="2"/>
        <v>9231.8904</v>
      </c>
      <c r="K17" s="261">
        <v>24540.73</v>
      </c>
      <c r="L17" s="18">
        <v>400</v>
      </c>
      <c r="M17" s="224">
        <v>6592</v>
      </c>
      <c r="N17" s="96">
        <f>B17+C17+E17+F17+H17+I17+K17+L17+M17</f>
        <v>226422.04645</v>
      </c>
      <c r="O17" s="73">
        <f t="shared" si="3"/>
        <v>170966.71875</v>
      </c>
      <c r="P17" s="128">
        <f t="shared" si="4"/>
        <v>23922.597700000002</v>
      </c>
      <c r="R17" s="287"/>
    </row>
    <row r="18" spans="1:16" ht="12.75">
      <c r="A18" s="291"/>
      <c r="B18" s="262"/>
      <c r="C18" s="263"/>
      <c r="D18" s="74"/>
      <c r="E18" s="325"/>
      <c r="F18" s="263"/>
      <c r="G18" s="74"/>
      <c r="H18" s="262"/>
      <c r="I18" s="263"/>
      <c r="J18" s="74"/>
      <c r="K18" s="262"/>
      <c r="L18" s="264"/>
      <c r="M18" s="263"/>
      <c r="N18" s="96"/>
      <c r="O18" s="211"/>
      <c r="P18" s="247"/>
    </row>
    <row r="19" spans="1:16" ht="12.75">
      <c r="A19" s="292" t="s">
        <v>14</v>
      </c>
      <c r="B19" s="83"/>
      <c r="C19" s="47"/>
      <c r="D19" s="74"/>
      <c r="E19" s="326"/>
      <c r="F19" s="245"/>
      <c r="G19" s="74"/>
      <c r="H19" s="73"/>
      <c r="I19" s="240"/>
      <c r="J19" s="74"/>
      <c r="K19" s="75"/>
      <c r="L19" s="18"/>
      <c r="M19" s="18"/>
      <c r="N19" s="96"/>
      <c r="O19" s="214"/>
      <c r="P19" s="247"/>
    </row>
    <row r="20" spans="1:18" ht="12.75">
      <c r="A20" s="290">
        <v>2007</v>
      </c>
      <c r="B20" s="327">
        <v>148569.63009999998</v>
      </c>
      <c r="C20" s="225">
        <v>19317.1203</v>
      </c>
      <c r="D20" s="128">
        <f t="shared" si="5"/>
        <v>167886.7504</v>
      </c>
      <c r="E20" s="327">
        <v>8087.3242</v>
      </c>
      <c r="F20" s="50">
        <v>10835</v>
      </c>
      <c r="G20" s="74">
        <f t="shared" si="1"/>
        <v>18922.3242</v>
      </c>
      <c r="H20" s="211">
        <v>3709.51588911</v>
      </c>
      <c r="I20" s="243">
        <v>6040.912187610001</v>
      </c>
      <c r="J20" s="74">
        <f aca="true" t="shared" si="6" ref="J20:J34">H20+I20</f>
        <v>9750.42807672</v>
      </c>
      <c r="K20" s="50">
        <v>25395.3227</v>
      </c>
      <c r="L20" s="18">
        <v>2700</v>
      </c>
      <c r="M20" s="245">
        <v>6687.8614</v>
      </c>
      <c r="N20" s="96">
        <f>B20+C20+E20+F20+H20+I20+K20+L20+M20</f>
        <v>231342.68677671996</v>
      </c>
      <c r="O20" s="73">
        <f aca="true" t="shared" si="7" ref="O20:O35">D20+H20</f>
        <v>171596.26628911</v>
      </c>
      <c r="P20" s="128">
        <f aca="true" t="shared" si="8" ref="P20:P35">I20+G20</f>
        <v>24963.23638761</v>
      </c>
      <c r="R20" s="287"/>
    </row>
    <row r="21" spans="1:18" ht="12.75">
      <c r="A21" s="290">
        <v>2008</v>
      </c>
      <c r="B21" s="327">
        <v>149099.933799</v>
      </c>
      <c r="C21" s="225">
        <v>19271.5346985</v>
      </c>
      <c r="D21" s="128">
        <f t="shared" si="5"/>
        <v>168371.4684975</v>
      </c>
      <c r="E21" s="327">
        <v>8146.450958</v>
      </c>
      <c r="F21" s="261">
        <v>11670</v>
      </c>
      <c r="G21" s="74">
        <f t="shared" si="1"/>
        <v>19816.450958</v>
      </c>
      <c r="H21" s="211">
        <v>4066.919227987623</v>
      </c>
      <c r="I21" s="243">
        <v>6206.683549078673</v>
      </c>
      <c r="J21" s="74">
        <f t="shared" si="6"/>
        <v>10273.602777066297</v>
      </c>
      <c r="K21" s="224">
        <v>26241.369473</v>
      </c>
      <c r="L21" s="18">
        <v>3800</v>
      </c>
      <c r="M21" s="224">
        <v>6750.518786</v>
      </c>
      <c r="N21" s="96">
        <f>B21+C21+E21+F21+H21+I21+K21+L21+M21</f>
        <v>235253.4104915663</v>
      </c>
      <c r="O21" s="73">
        <f t="shared" si="7"/>
        <v>172438.3877254876</v>
      </c>
      <c r="P21" s="128">
        <f t="shared" si="8"/>
        <v>26023.134507078674</v>
      </c>
      <c r="R21" s="287"/>
    </row>
    <row r="22" spans="1:18" ht="12.75">
      <c r="A22" s="290">
        <v>2009</v>
      </c>
      <c r="B22" s="327">
        <v>149724.93446100998</v>
      </c>
      <c r="C22" s="225">
        <v>19227.1770250075</v>
      </c>
      <c r="D22" s="128">
        <f t="shared" si="5"/>
        <v>168952.11148601747</v>
      </c>
      <c r="E22" s="327">
        <v>8198.98644842</v>
      </c>
      <c r="F22" s="50">
        <v>12500</v>
      </c>
      <c r="G22" s="74">
        <f t="shared" si="1"/>
        <v>20698.98644842</v>
      </c>
      <c r="H22" s="211">
        <v>4439.072384528031</v>
      </c>
      <c r="I22" s="243">
        <v>6372.338870594318</v>
      </c>
      <c r="J22" s="74">
        <f t="shared" si="6"/>
        <v>10811.411255122348</v>
      </c>
      <c r="K22" s="224">
        <v>26978.95577827</v>
      </c>
      <c r="L22" s="18">
        <v>4700</v>
      </c>
      <c r="M22" s="224">
        <v>6786.64239814</v>
      </c>
      <c r="N22" s="96">
        <f>B22+C22+E22+F22+H22+I22+K22+L22+M22</f>
        <v>238928.1073659698</v>
      </c>
      <c r="O22" s="73">
        <f t="shared" si="7"/>
        <v>173391.1838705455</v>
      </c>
      <c r="P22" s="128">
        <f t="shared" si="8"/>
        <v>27071.32531901432</v>
      </c>
      <c r="R22" s="287"/>
    </row>
    <row r="23" spans="1:18" ht="12.75">
      <c r="A23" s="290">
        <v>2010</v>
      </c>
      <c r="B23" s="216">
        <v>150443.6851163999</v>
      </c>
      <c r="C23" s="225">
        <v>19184.04113988246</v>
      </c>
      <c r="D23" s="128">
        <f t="shared" si="5"/>
        <v>169627.72625628236</v>
      </c>
      <c r="E23" s="327">
        <v>8247.996583935801</v>
      </c>
      <c r="F23" s="50">
        <v>13436</v>
      </c>
      <c r="G23" s="74">
        <f t="shared" si="1"/>
        <v>21683.9965839358</v>
      </c>
      <c r="H23" s="211">
        <v>4815.965033858861</v>
      </c>
      <c r="I23" s="243">
        <v>6527.878233384902</v>
      </c>
      <c r="J23" s="74">
        <f t="shared" si="6"/>
        <v>11343.843267243763</v>
      </c>
      <c r="K23" s="224">
        <v>27709.1662204873</v>
      </c>
      <c r="L23" s="18">
        <v>5600</v>
      </c>
      <c r="M23" s="224">
        <v>6801.679014158601</v>
      </c>
      <c r="N23" s="96">
        <f>B23+C23+E23+F23+H23+I23+K23+L23+M23</f>
        <v>242766.41134210784</v>
      </c>
      <c r="O23" s="73">
        <f t="shared" si="7"/>
        <v>174443.69129014123</v>
      </c>
      <c r="P23" s="128">
        <f t="shared" si="8"/>
        <v>28211.874817320702</v>
      </c>
      <c r="R23" s="287"/>
    </row>
    <row r="24" spans="1:16" ht="12.75">
      <c r="A24" s="290"/>
      <c r="B24" s="216"/>
      <c r="C24" s="225"/>
      <c r="D24" s="128"/>
      <c r="E24" s="327"/>
      <c r="F24" s="50"/>
      <c r="G24" s="74"/>
      <c r="H24" s="211"/>
      <c r="I24" s="243"/>
      <c r="J24" s="74"/>
      <c r="K24" s="224"/>
      <c r="L24" s="18"/>
      <c r="M24" s="224"/>
      <c r="N24" s="96"/>
      <c r="O24" s="73"/>
      <c r="P24" s="128"/>
    </row>
    <row r="25" spans="1:18" ht="12.75">
      <c r="A25" s="290">
        <v>2011</v>
      </c>
      <c r="B25" s="216">
        <v>151195.2482652359</v>
      </c>
      <c r="C25" s="225">
        <v>19142.12093418305</v>
      </c>
      <c r="D25" s="128">
        <f t="shared" si="5"/>
        <v>170337.36919941893</v>
      </c>
      <c r="E25" s="327">
        <v>8299.516618096442</v>
      </c>
      <c r="F25" s="50">
        <v>14372</v>
      </c>
      <c r="G25" s="74">
        <f t="shared" si="1"/>
        <v>22671.516618096444</v>
      </c>
      <c r="H25" s="211">
        <v>5162.59385833516</v>
      </c>
      <c r="I25" s="243">
        <v>6683.3087186215325</v>
      </c>
      <c r="J25" s="74">
        <f t="shared" si="6"/>
        <v>11845.902576956692</v>
      </c>
      <c r="K25" s="224">
        <v>28432.074558282427</v>
      </c>
      <c r="L25" s="18">
        <v>6600</v>
      </c>
      <c r="M25" s="224">
        <v>6799.9846560170145</v>
      </c>
      <c r="N25" s="96">
        <f aca="true" t="shared" si="9" ref="N25:N35">B25+C25+E25+F25+H25+I25+K25+L25+M25</f>
        <v>246686.8476087715</v>
      </c>
      <c r="O25" s="73">
        <f t="shared" si="7"/>
        <v>175499.9630577541</v>
      </c>
      <c r="P25" s="128">
        <f t="shared" si="8"/>
        <v>29354.82533671798</v>
      </c>
      <c r="R25" s="287"/>
    </row>
    <row r="26" spans="1:18" ht="12.75">
      <c r="A26" s="290">
        <v>2012</v>
      </c>
      <c r="B26" s="216">
        <v>151989.29578258353</v>
      </c>
      <c r="C26" s="225">
        <v>19101.410329512135</v>
      </c>
      <c r="D26" s="128">
        <f t="shared" si="5"/>
        <v>171090.70611209568</v>
      </c>
      <c r="E26" s="327">
        <v>8351.521451915478</v>
      </c>
      <c r="F26" s="50">
        <v>15304</v>
      </c>
      <c r="G26" s="74">
        <f t="shared" si="1"/>
        <v>23655.521451915476</v>
      </c>
      <c r="H26" s="211">
        <v>5478.980042634325</v>
      </c>
      <c r="I26" s="243">
        <v>6828.630402518497</v>
      </c>
      <c r="J26" s="74">
        <f t="shared" si="6"/>
        <v>12307.610445152823</v>
      </c>
      <c r="K26" s="224">
        <v>29147.753812699604</v>
      </c>
      <c r="L26" s="265">
        <v>7600</v>
      </c>
      <c r="M26" s="224">
        <v>6785.042755056844</v>
      </c>
      <c r="N26" s="96">
        <f t="shared" si="9"/>
        <v>250586.63457692042</v>
      </c>
      <c r="O26" s="73">
        <f t="shared" si="7"/>
        <v>176569.68615473</v>
      </c>
      <c r="P26" s="128">
        <f t="shared" si="8"/>
        <v>30484.151854433974</v>
      </c>
      <c r="R26" s="287"/>
    </row>
    <row r="27" spans="1:18" ht="12.75">
      <c r="A27" s="290">
        <v>2013</v>
      </c>
      <c r="B27" s="216">
        <v>152769.4028247577</v>
      </c>
      <c r="C27" s="225">
        <v>19061.903277864574</v>
      </c>
      <c r="D27" s="128">
        <f t="shared" si="5"/>
        <v>171831.30610262227</v>
      </c>
      <c r="E27" s="327">
        <v>8402.006237396323</v>
      </c>
      <c r="F27" s="50">
        <v>16205</v>
      </c>
      <c r="G27" s="74">
        <f t="shared" si="1"/>
        <v>24607.006237396323</v>
      </c>
      <c r="H27" s="211">
        <v>5775.144756604482</v>
      </c>
      <c r="I27" s="243">
        <v>6973.850361236734</v>
      </c>
      <c r="J27" s="74">
        <f t="shared" si="6"/>
        <v>12748.995117841216</v>
      </c>
      <c r="K27" s="224">
        <v>29806.276274572607</v>
      </c>
      <c r="L27" s="265">
        <v>8500</v>
      </c>
      <c r="M27" s="224">
        <v>6767.192327506275</v>
      </c>
      <c r="N27" s="96">
        <f t="shared" si="9"/>
        <v>254260.77605993868</v>
      </c>
      <c r="O27" s="73">
        <f t="shared" si="7"/>
        <v>177606.45085922675</v>
      </c>
      <c r="P27" s="128">
        <f t="shared" si="8"/>
        <v>31580.856598633058</v>
      </c>
      <c r="R27" s="287"/>
    </row>
    <row r="28" spans="1:18" ht="12.75">
      <c r="A28" s="290">
        <v>2014</v>
      </c>
      <c r="B28" s="216">
        <v>153441.70879651012</v>
      </c>
      <c r="C28" s="225">
        <v>19023.59376147525</v>
      </c>
      <c r="D28" s="128">
        <f t="shared" si="5"/>
        <v>172465.3025579854</v>
      </c>
      <c r="E28" s="327">
        <v>8453.986175022359</v>
      </c>
      <c r="F28" s="50">
        <v>17093</v>
      </c>
      <c r="G28" s="74">
        <f t="shared" si="1"/>
        <v>25546.986175022357</v>
      </c>
      <c r="H28" s="211">
        <v>6071.102155274859</v>
      </c>
      <c r="I28" s="243">
        <v>7108.968665983868</v>
      </c>
      <c r="J28" s="74">
        <f t="shared" si="6"/>
        <v>13180.070821258727</v>
      </c>
      <c r="K28" s="224">
        <v>30458.21351182688</v>
      </c>
      <c r="L28" s="265">
        <v>9500</v>
      </c>
      <c r="M28" s="224">
        <v>6749.5204042312125</v>
      </c>
      <c r="N28" s="96">
        <f t="shared" si="9"/>
        <v>257900.09347032456</v>
      </c>
      <c r="O28" s="73">
        <f t="shared" si="7"/>
        <v>178536.40471326024</v>
      </c>
      <c r="P28" s="128">
        <f t="shared" si="8"/>
        <v>32655.954841006227</v>
      </c>
      <c r="R28" s="287"/>
    </row>
    <row r="29" spans="1:18" ht="12.75">
      <c r="A29" s="290">
        <v>2015</v>
      </c>
      <c r="B29" s="216">
        <v>154007.29170854503</v>
      </c>
      <c r="C29" s="225">
        <v>18986.475792667876</v>
      </c>
      <c r="D29" s="128">
        <f t="shared" si="5"/>
        <v>172993.76750121292</v>
      </c>
      <c r="E29" s="327">
        <v>8504.446313272136</v>
      </c>
      <c r="F29" s="50">
        <v>17999</v>
      </c>
      <c r="G29" s="74">
        <f t="shared" si="1"/>
        <v>26503.446313272136</v>
      </c>
      <c r="H29" s="211">
        <v>6326.852383766167</v>
      </c>
      <c r="I29" s="243">
        <v>7243.9923879176795</v>
      </c>
      <c r="J29" s="74">
        <f t="shared" si="6"/>
        <v>13570.844771683845</v>
      </c>
      <c r="K29" s="224">
        <v>31103.631376708614</v>
      </c>
      <c r="L29" s="265">
        <v>10500</v>
      </c>
      <c r="M29" s="224">
        <v>6732.0252001889</v>
      </c>
      <c r="N29" s="96">
        <f t="shared" si="9"/>
        <v>261403.71516306643</v>
      </c>
      <c r="O29" s="73">
        <f t="shared" si="7"/>
        <v>179320.6198849791</v>
      </c>
      <c r="P29" s="128">
        <f t="shared" si="8"/>
        <v>33747.438701189814</v>
      </c>
      <c r="R29" s="287"/>
    </row>
    <row r="30" spans="1:16" ht="12.75">
      <c r="A30" s="290"/>
      <c r="B30" s="83"/>
      <c r="C30" s="47"/>
      <c r="D30" s="128"/>
      <c r="E30" s="326"/>
      <c r="F30" s="245"/>
      <c r="G30" s="74"/>
      <c r="H30" s="75"/>
      <c r="I30" s="245"/>
      <c r="J30" s="74"/>
      <c r="K30" s="47"/>
      <c r="L30" s="265"/>
      <c r="M30" s="47"/>
      <c r="N30" s="96"/>
      <c r="O30" s="89"/>
      <c r="P30" s="247"/>
    </row>
    <row r="31" spans="1:18" ht="12.75">
      <c r="A31" s="290">
        <v>2016</v>
      </c>
      <c r="B31" s="216">
        <v>154467.21879145957</v>
      </c>
      <c r="C31" s="225">
        <v>18950.543413704538</v>
      </c>
      <c r="D31" s="128">
        <f t="shared" si="5"/>
        <v>173417.76220516412</v>
      </c>
      <c r="E31" s="327">
        <v>8554.401850139415</v>
      </c>
      <c r="F31" s="50">
        <v>18930</v>
      </c>
      <c r="G31" s="74">
        <f t="shared" si="1"/>
        <v>27484.401850139417</v>
      </c>
      <c r="H31" s="211">
        <v>6562.423587097531</v>
      </c>
      <c r="I31" s="243">
        <v>7368.9215932461375</v>
      </c>
      <c r="J31" s="74">
        <f t="shared" si="6"/>
        <v>13931.34518034367</v>
      </c>
      <c r="K31" s="224">
        <v>31692.595062941527</v>
      </c>
      <c r="L31" s="265">
        <v>11500</v>
      </c>
      <c r="M31" s="224">
        <v>6714.704948187011</v>
      </c>
      <c r="N31" s="96">
        <f t="shared" si="9"/>
        <v>264740.8092467757</v>
      </c>
      <c r="O31" s="73">
        <f t="shared" si="7"/>
        <v>179980.18579226165</v>
      </c>
      <c r="P31" s="128">
        <f t="shared" si="8"/>
        <v>34853.323443385554</v>
      </c>
      <c r="R31" s="287"/>
    </row>
    <row r="32" spans="1:18" s="10" customFormat="1" ht="12.75">
      <c r="A32" s="293">
        <v>2017</v>
      </c>
      <c r="B32" s="216">
        <v>154823</v>
      </c>
      <c r="C32" s="225">
        <v>18916</v>
      </c>
      <c r="D32" s="128">
        <f t="shared" si="5"/>
        <v>173739</v>
      </c>
      <c r="E32" s="327">
        <v>8604.85783163802</v>
      </c>
      <c r="F32" s="50">
        <v>19881</v>
      </c>
      <c r="G32" s="74">
        <f t="shared" si="1"/>
        <v>28485.857831638023</v>
      </c>
      <c r="H32" s="211">
        <v>6777.829890586562</v>
      </c>
      <c r="I32" s="243">
        <v>7493.763348130865</v>
      </c>
      <c r="J32" s="74">
        <f t="shared" si="6"/>
        <v>14271.593238717427</v>
      </c>
      <c r="K32" s="224">
        <v>32275.669112312113</v>
      </c>
      <c r="L32" s="265">
        <v>12000</v>
      </c>
      <c r="M32" s="224">
        <v>6697.55789870514</v>
      </c>
      <c r="N32" s="96">
        <f t="shared" si="9"/>
        <v>267469.6780813727</v>
      </c>
      <c r="O32" s="73">
        <f t="shared" si="7"/>
        <v>180516.82989058655</v>
      </c>
      <c r="P32" s="128">
        <f t="shared" si="8"/>
        <v>35979.62117976889</v>
      </c>
      <c r="R32" s="287"/>
    </row>
    <row r="33" spans="1:20" ht="12.75">
      <c r="A33" s="294">
        <v>2018</v>
      </c>
      <c r="B33" s="216">
        <v>155074</v>
      </c>
      <c r="C33" s="225">
        <v>18882</v>
      </c>
      <c r="D33" s="128">
        <f t="shared" si="5"/>
        <v>173956</v>
      </c>
      <c r="E33" s="327">
        <v>8656</v>
      </c>
      <c r="F33" s="50">
        <v>20854</v>
      </c>
      <c r="G33" s="74">
        <f t="shared" si="1"/>
        <v>29510</v>
      </c>
      <c r="H33" s="211">
        <v>6973</v>
      </c>
      <c r="I33" s="243">
        <v>7619</v>
      </c>
      <c r="J33" s="74">
        <f t="shared" si="6"/>
        <v>14592</v>
      </c>
      <c r="K33" s="224">
        <v>32852.912421188994</v>
      </c>
      <c r="L33" s="265">
        <v>12500</v>
      </c>
      <c r="M33" s="224">
        <v>6681</v>
      </c>
      <c r="N33" s="96">
        <f t="shared" si="9"/>
        <v>270091.912421189</v>
      </c>
      <c r="O33" s="73">
        <f t="shared" si="7"/>
        <v>180929</v>
      </c>
      <c r="P33" s="128">
        <f t="shared" si="8"/>
        <v>37129</v>
      </c>
      <c r="R33" s="287"/>
      <c r="S33" s="52"/>
      <c r="T33" s="52"/>
    </row>
    <row r="34" spans="1:20" ht="12.75">
      <c r="A34" s="294">
        <v>2019</v>
      </c>
      <c r="B34" s="216">
        <v>155323.57792613443</v>
      </c>
      <c r="C34" s="225">
        <v>18849</v>
      </c>
      <c r="D34" s="128">
        <f t="shared" si="5"/>
        <v>174172.57792613443</v>
      </c>
      <c r="E34" s="327">
        <v>8708.251160788424</v>
      </c>
      <c r="F34" s="50">
        <v>21825.46</v>
      </c>
      <c r="G34" s="74">
        <f t="shared" si="1"/>
        <v>30533.71116078842</v>
      </c>
      <c r="H34" s="211">
        <v>7168</v>
      </c>
      <c r="I34" s="243">
        <v>7743.184751387522</v>
      </c>
      <c r="J34" s="74">
        <f t="shared" si="6"/>
        <v>14911.184751387522</v>
      </c>
      <c r="K34" s="224">
        <v>33374</v>
      </c>
      <c r="L34" s="265">
        <v>12900</v>
      </c>
      <c r="M34" s="224">
        <v>6663.776496520908</v>
      </c>
      <c r="N34" s="96">
        <f t="shared" si="9"/>
        <v>272555.25033483125</v>
      </c>
      <c r="O34" s="73">
        <f t="shared" si="7"/>
        <v>181340.57792613443</v>
      </c>
      <c r="P34" s="128">
        <f t="shared" si="8"/>
        <v>38276.89591217594</v>
      </c>
      <c r="R34" s="287"/>
      <c r="S34" s="52"/>
      <c r="T34" s="52"/>
    </row>
    <row r="35" spans="1:20" ht="12.75">
      <c r="A35" s="294">
        <v>2020</v>
      </c>
      <c r="B35" s="214">
        <v>155570.3421468731</v>
      </c>
      <c r="C35" s="225">
        <v>18816.790696636013</v>
      </c>
      <c r="D35" s="128">
        <f>B35+C35</f>
        <v>174387.1328435091</v>
      </c>
      <c r="E35" s="327">
        <v>8761</v>
      </c>
      <c r="F35" s="50">
        <v>22797.2054</v>
      </c>
      <c r="G35" s="74">
        <f>E35+F35</f>
        <v>31558.2054</v>
      </c>
      <c r="H35" s="211">
        <v>7363.186506901474</v>
      </c>
      <c r="I35" s="243">
        <v>7867.76452206155</v>
      </c>
      <c r="J35" s="74">
        <f>H35+I35</f>
        <v>15230.951028963023</v>
      </c>
      <c r="K35" s="224">
        <v>33890.639464007334</v>
      </c>
      <c r="L35" s="265">
        <v>13200</v>
      </c>
      <c r="M35" s="224">
        <v>6647</v>
      </c>
      <c r="N35" s="96">
        <f t="shared" si="9"/>
        <v>274913.9287364795</v>
      </c>
      <c r="O35" s="73">
        <f t="shared" si="7"/>
        <v>181750.31935041057</v>
      </c>
      <c r="P35" s="128">
        <f t="shared" si="8"/>
        <v>39425.96992206155</v>
      </c>
      <c r="R35" s="287"/>
      <c r="S35" s="52"/>
      <c r="T35" s="52"/>
    </row>
    <row r="36" spans="1:20" ht="12.75">
      <c r="A36" s="290"/>
      <c r="B36" s="190"/>
      <c r="C36" s="187"/>
      <c r="D36" s="192"/>
      <c r="E36" s="328"/>
      <c r="F36" s="48"/>
      <c r="G36" s="212"/>
      <c r="H36" s="150"/>
      <c r="I36" s="48"/>
      <c r="J36" s="96"/>
      <c r="K36" s="216"/>
      <c r="L36" s="218"/>
      <c r="M36" s="195"/>
      <c r="N36" s="96"/>
      <c r="O36" s="73"/>
      <c r="P36" s="74"/>
      <c r="S36" s="52"/>
      <c r="T36" s="52"/>
    </row>
    <row r="37" spans="1:20" ht="12.75">
      <c r="A37" s="157" t="s">
        <v>83</v>
      </c>
      <c r="B37" s="214"/>
      <c r="C37" s="48"/>
      <c r="D37" s="74"/>
      <c r="E37" s="214"/>
      <c r="F37" s="48"/>
      <c r="G37" s="74"/>
      <c r="H37" s="214"/>
      <c r="I37" s="48"/>
      <c r="J37" s="74"/>
      <c r="K37" s="214"/>
      <c r="L37" s="48"/>
      <c r="M37" s="48"/>
      <c r="N37" s="74"/>
      <c r="O37" s="248"/>
      <c r="P37" s="241"/>
      <c r="S37" s="52"/>
      <c r="T37" s="52"/>
    </row>
    <row r="38" spans="1:20" ht="12.75">
      <c r="A38" s="157" t="s">
        <v>78</v>
      </c>
      <c r="B38" s="281">
        <f>RATE(6,,-B11,B17)</f>
        <v>-0.0013272828240172068</v>
      </c>
      <c r="C38" s="250">
        <f aca="true" t="shared" si="10" ref="C38:P38">RATE(6,,-C11,C17)</f>
        <v>-0.014138790235474406</v>
      </c>
      <c r="D38" s="272">
        <f t="shared" si="10"/>
        <v>-0.0028679247339747915</v>
      </c>
      <c r="E38" s="281">
        <f>RATE(6,,-E11,E17)</f>
        <v>0.05677824045305404</v>
      </c>
      <c r="F38" s="250">
        <f t="shared" si="10"/>
        <v>0.06178823193954787</v>
      </c>
      <c r="G38" s="272">
        <f t="shared" si="10"/>
        <v>0.05954107211357429</v>
      </c>
      <c r="H38" s="281">
        <f>RATE(6,,-H11,H17)</f>
        <v>0.03876023757146475</v>
      </c>
      <c r="I38" s="250">
        <f t="shared" si="10"/>
        <v>0.04630981834255213</v>
      </c>
      <c r="J38" s="272">
        <f t="shared" si="10"/>
        <v>0.04351196484555802</v>
      </c>
      <c r="K38" s="281">
        <f>RATE(6,,-K11,K17)</f>
        <v>0.03122013800088641</v>
      </c>
      <c r="L38" s="250"/>
      <c r="M38" s="272">
        <f t="shared" si="10"/>
        <v>-0.0027047910748328693</v>
      </c>
      <c r="N38" s="251">
        <f t="shared" si="10"/>
        <v>0.006697353762266182</v>
      </c>
      <c r="O38" s="281">
        <f t="shared" si="10"/>
        <v>-0.002153955108827139</v>
      </c>
      <c r="P38" s="272">
        <f t="shared" si="10"/>
        <v>0.0561880306181063</v>
      </c>
      <c r="S38" s="52"/>
      <c r="T38" s="52"/>
    </row>
    <row r="39" spans="1:16" ht="12.75">
      <c r="A39" s="157" t="s">
        <v>79</v>
      </c>
      <c r="B39" s="249">
        <f aca="true" t="shared" si="11" ref="B39:P39">RATE(4,,-B17,B23)</f>
        <v>0.003702662482868186</v>
      </c>
      <c r="C39" s="250">
        <f t="shared" si="11"/>
        <v>-0.002329655974493408</v>
      </c>
      <c r="D39" s="251">
        <f t="shared" si="11"/>
        <v>0.0030112549443927026</v>
      </c>
      <c r="E39" s="249">
        <f t="shared" si="11"/>
        <v>0.006857503737782652</v>
      </c>
      <c r="F39" s="250">
        <f t="shared" si="11"/>
        <v>0.07577294516331855</v>
      </c>
      <c r="G39" s="251">
        <f t="shared" si="11"/>
        <v>0.046815020625008065</v>
      </c>
      <c r="H39" s="249">
        <f t="shared" si="11"/>
        <v>0.09361424164418104</v>
      </c>
      <c r="I39" s="250">
        <f t="shared" si="11"/>
        <v>0.027130627487814286</v>
      </c>
      <c r="J39" s="251">
        <f t="shared" si="11"/>
        <v>0.05285216464673219</v>
      </c>
      <c r="K39" s="249">
        <f t="shared" si="11"/>
        <v>0.030822750925941122</v>
      </c>
      <c r="L39" s="250">
        <f t="shared" si="11"/>
        <v>0.9343364202676693</v>
      </c>
      <c r="M39" s="250">
        <f t="shared" si="11"/>
        <v>0.007858896014119545</v>
      </c>
      <c r="N39" s="251">
        <f t="shared" si="11"/>
        <v>0.017577444258458492</v>
      </c>
      <c r="O39" s="249">
        <f t="shared" si="11"/>
        <v>0.005045961494933064</v>
      </c>
      <c r="P39" s="251">
        <f t="shared" si="11"/>
        <v>0.04209161826004257</v>
      </c>
    </row>
    <row r="40" spans="1:16" ht="12.75">
      <c r="A40" s="157" t="s">
        <v>80</v>
      </c>
      <c r="B40" s="249">
        <f aca="true" t="shared" si="12" ref="B40:P40">RATE(10,,-B23,B35)</f>
        <v>0.0033565367475170385</v>
      </c>
      <c r="C40" s="250">
        <f t="shared" si="12"/>
        <v>-0.001931048060057473</v>
      </c>
      <c r="D40" s="251">
        <f t="shared" si="12"/>
        <v>0.002770985994681494</v>
      </c>
      <c r="E40" s="249">
        <f t="shared" si="12"/>
        <v>0.006052213193847054</v>
      </c>
      <c r="F40" s="250">
        <f t="shared" si="12"/>
        <v>0.054292608382897435</v>
      </c>
      <c r="G40" s="251">
        <f t="shared" si="12"/>
        <v>0.03823890034624106</v>
      </c>
      <c r="H40" s="249">
        <f t="shared" si="12"/>
        <v>0.04336976528558376</v>
      </c>
      <c r="I40" s="250">
        <f t="shared" si="12"/>
        <v>0.01884455979908486</v>
      </c>
      <c r="J40" s="251">
        <f t="shared" si="12"/>
        <v>0.029903847154990535</v>
      </c>
      <c r="K40" s="249">
        <f t="shared" si="12"/>
        <v>0.02034168707722331</v>
      </c>
      <c r="L40" s="250">
        <f t="shared" si="12"/>
        <v>0.08952848838157848</v>
      </c>
      <c r="M40" s="250">
        <f t="shared" si="12"/>
        <v>-0.0022977431865281515</v>
      </c>
      <c r="N40" s="251">
        <f t="shared" si="12"/>
        <v>0.012513481674144563</v>
      </c>
      <c r="O40" s="249">
        <f t="shared" si="12"/>
        <v>0.0041116165918665135</v>
      </c>
      <c r="P40" s="251">
        <f t="shared" si="12"/>
        <v>0.03403453527339581</v>
      </c>
    </row>
    <row r="41" spans="1:18" ht="13.5" thickBot="1">
      <c r="A41" s="295" t="s">
        <v>81</v>
      </c>
      <c r="B41" s="253">
        <f aca="true" t="shared" si="13" ref="B41:P41">RATE(14,,-B17,B35)</f>
        <v>0.003455417633258591</v>
      </c>
      <c r="C41" s="254">
        <f t="shared" si="13"/>
        <v>-0.0020449522837772036</v>
      </c>
      <c r="D41" s="255">
        <f t="shared" si="13"/>
        <v>0.002839628392378306</v>
      </c>
      <c r="E41" s="253">
        <f t="shared" si="13"/>
        <v>0.006282230461272303</v>
      </c>
      <c r="F41" s="254">
        <f t="shared" si="13"/>
        <v>0.060385702747712884</v>
      </c>
      <c r="G41" s="255">
        <f t="shared" si="13"/>
        <v>0.04068202568691435</v>
      </c>
      <c r="H41" s="253">
        <f t="shared" si="13"/>
        <v>0.05748501456752581</v>
      </c>
      <c r="I41" s="254">
        <f t="shared" si="13"/>
        <v>0.021205163063053794</v>
      </c>
      <c r="J41" s="255">
        <f t="shared" si="13"/>
        <v>0.03640898678036628</v>
      </c>
      <c r="K41" s="253">
        <f t="shared" si="13"/>
        <v>0.02332535480185376</v>
      </c>
      <c r="L41" s="254">
        <f t="shared" si="13"/>
        <v>0.2837051437911656</v>
      </c>
      <c r="M41" s="254">
        <f t="shared" si="13"/>
        <v>0.0005936641811732186</v>
      </c>
      <c r="N41" s="255">
        <f t="shared" si="13"/>
        <v>0.013957751121370631</v>
      </c>
      <c r="O41" s="253">
        <f t="shared" si="13"/>
        <v>0.004378483608696607</v>
      </c>
      <c r="P41" s="255">
        <f t="shared" si="13"/>
        <v>0.03633018124473071</v>
      </c>
      <c r="R41" s="52"/>
    </row>
    <row r="42" spans="1:14" ht="12.75">
      <c r="A42" s="34"/>
      <c r="B42" s="36"/>
      <c r="C42" s="36"/>
      <c r="D42" s="36"/>
      <c r="E42" s="36"/>
      <c r="F42" s="36"/>
      <c r="G42" s="36"/>
      <c r="H42" s="35"/>
      <c r="I42" s="35"/>
      <c r="J42" s="35"/>
      <c r="K42" s="35"/>
      <c r="L42" s="35"/>
      <c r="M42" s="36"/>
      <c r="N42" s="38"/>
    </row>
    <row r="43" spans="1:14" ht="12.75">
      <c r="A43" s="51" t="s">
        <v>84</v>
      </c>
      <c r="N43" s="7"/>
    </row>
    <row r="44" spans="1:14" ht="12.75">
      <c r="A44" s="51"/>
      <c r="N44" s="7"/>
    </row>
    <row r="45" spans="1:14" ht="12.75">
      <c r="A45" s="26" t="s">
        <v>48</v>
      </c>
      <c r="N45" s="7"/>
    </row>
    <row r="48" spans="8:16" ht="12.75">
      <c r="H48" s="52"/>
      <c r="I48" s="52"/>
      <c r="J48" s="52"/>
      <c r="N48" s="52"/>
      <c r="P48" s="52"/>
    </row>
    <row r="49" spans="8:10" ht="12.75">
      <c r="H49" s="52"/>
      <c r="I49" s="52"/>
      <c r="J49" s="52"/>
    </row>
    <row r="50" spans="9:10" ht="12.75">
      <c r="I50" s="52"/>
      <c r="J50" s="52"/>
    </row>
  </sheetData>
  <mergeCells count="3">
    <mergeCell ref="E7:G7"/>
    <mergeCell ref="A1:P1"/>
    <mergeCell ref="A3:P3"/>
  </mergeCells>
  <printOptions gridLines="1" horizontalCentered="1"/>
  <pageMargins left="0.6" right="0.6" top="0.75" bottom="0.2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75" zoomScaleNormal="75" workbookViewId="0" topLeftCell="A1">
      <selection activeCell="M40" sqref="M40"/>
    </sheetView>
  </sheetViews>
  <sheetFormatPr defaultColWidth="9.140625" defaultRowHeight="12.75"/>
  <cols>
    <col min="1" max="1" width="20.28125" style="0" customWidth="1"/>
    <col min="2" max="2" width="8.140625" style="0" customWidth="1"/>
    <col min="3" max="3" width="9.00390625" style="0" customWidth="1"/>
    <col min="5" max="5" width="8.00390625" style="0" customWidth="1"/>
    <col min="6" max="6" width="7.7109375" style="0" customWidth="1"/>
    <col min="7" max="7" width="7.8515625" style="0" customWidth="1"/>
    <col min="8" max="9" width="8.7109375" style="0" customWidth="1"/>
    <col min="10" max="10" width="7.8515625" style="0" customWidth="1"/>
    <col min="11" max="11" width="9.00390625" style="0" customWidth="1"/>
    <col min="12" max="12" width="9.7109375" style="0" customWidth="1"/>
    <col min="13" max="13" width="8.7109375" style="0" customWidth="1"/>
    <col min="14" max="14" width="10.7109375" style="0" customWidth="1"/>
    <col min="16" max="16" width="11.28125" style="0" bestFit="1" customWidth="1"/>
  </cols>
  <sheetData>
    <row r="1" spans="1:16" ht="18">
      <c r="A1" s="312" t="s">
        <v>74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4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0.25">
      <c r="A3" s="313" t="s">
        <v>15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 ht="15.75">
      <c r="A4" s="317" t="s">
        <v>16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2:14" ht="13.5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6" ht="13.5" thickBot="1">
      <c r="A6" s="114"/>
      <c r="B6" s="111" t="s">
        <v>1</v>
      </c>
      <c r="C6" s="99"/>
      <c r="D6" s="159"/>
      <c r="E6" s="111"/>
      <c r="F6" s="99"/>
      <c r="G6" s="159"/>
      <c r="H6" s="104"/>
      <c r="I6" s="105"/>
      <c r="J6" s="106"/>
      <c r="K6" s="162"/>
      <c r="L6" s="115"/>
      <c r="M6" s="115"/>
      <c r="N6" s="116" t="s">
        <v>12</v>
      </c>
      <c r="O6" s="219"/>
      <c r="P6" s="226"/>
    </row>
    <row r="7" spans="1:16" ht="12.75">
      <c r="A7" s="296"/>
      <c r="B7" s="98" t="s">
        <v>2</v>
      </c>
      <c r="C7" s="112"/>
      <c r="D7" s="113"/>
      <c r="E7" s="314" t="s">
        <v>9</v>
      </c>
      <c r="F7" s="315"/>
      <c r="G7" s="316"/>
      <c r="H7" s="107"/>
      <c r="I7" s="31"/>
      <c r="J7" s="108"/>
      <c r="K7" s="163"/>
      <c r="L7" s="30"/>
      <c r="M7" s="30"/>
      <c r="N7" s="117" t="s">
        <v>63</v>
      </c>
      <c r="O7" s="217"/>
      <c r="P7" s="221"/>
    </row>
    <row r="8" spans="1:16" ht="12.75">
      <c r="A8" s="296" t="s">
        <v>17</v>
      </c>
      <c r="B8" s="101" t="s">
        <v>4</v>
      </c>
      <c r="C8" s="44" t="s">
        <v>5</v>
      </c>
      <c r="D8" s="160"/>
      <c r="E8" s="164" t="s">
        <v>59</v>
      </c>
      <c r="F8" s="44" t="s">
        <v>59</v>
      </c>
      <c r="G8" s="179"/>
      <c r="H8" s="100" t="s">
        <v>6</v>
      </c>
      <c r="I8" s="29"/>
      <c r="J8" s="109"/>
      <c r="K8" s="164" t="s">
        <v>7</v>
      </c>
      <c r="L8" s="32" t="s">
        <v>52</v>
      </c>
      <c r="M8" s="30"/>
      <c r="N8" s="117" t="s">
        <v>65</v>
      </c>
      <c r="O8" s="89" t="s">
        <v>70</v>
      </c>
      <c r="P8" s="173" t="s">
        <v>70</v>
      </c>
    </row>
    <row r="9" spans="1:16" ht="12.75">
      <c r="A9" s="297" t="s">
        <v>18</v>
      </c>
      <c r="B9" s="102" t="s">
        <v>8</v>
      </c>
      <c r="C9" s="29" t="s">
        <v>8</v>
      </c>
      <c r="D9" s="109" t="s">
        <v>12</v>
      </c>
      <c r="E9" s="102" t="s">
        <v>42</v>
      </c>
      <c r="F9" s="33" t="s">
        <v>41</v>
      </c>
      <c r="G9" s="161" t="s">
        <v>12</v>
      </c>
      <c r="H9" s="102" t="s">
        <v>2</v>
      </c>
      <c r="I9" s="43" t="s">
        <v>9</v>
      </c>
      <c r="J9" s="109" t="s">
        <v>12</v>
      </c>
      <c r="K9" s="165" t="s">
        <v>10</v>
      </c>
      <c r="L9" s="29" t="s">
        <v>53</v>
      </c>
      <c r="M9" s="29" t="s">
        <v>11</v>
      </c>
      <c r="N9" s="118" t="s">
        <v>66</v>
      </c>
      <c r="O9" s="146" t="s">
        <v>71</v>
      </c>
      <c r="P9" s="227" t="s">
        <v>72</v>
      </c>
    </row>
    <row r="10" spans="1:16" ht="12.75">
      <c r="A10" s="289" t="s">
        <v>13</v>
      </c>
      <c r="B10" s="75"/>
      <c r="C10" s="19"/>
      <c r="D10" s="103"/>
      <c r="E10" s="110"/>
      <c r="F10" s="19"/>
      <c r="G10" s="103"/>
      <c r="H10" s="151"/>
      <c r="I10" s="19"/>
      <c r="J10" s="103"/>
      <c r="K10" s="110"/>
      <c r="L10" s="19"/>
      <c r="M10" s="19"/>
      <c r="N10" s="119"/>
      <c r="O10" s="89"/>
      <c r="P10" s="173"/>
    </row>
    <row r="11" spans="1:18" ht="12.75">
      <c r="A11" s="290">
        <v>2000</v>
      </c>
      <c r="B11" s="191">
        <v>18089</v>
      </c>
      <c r="C11" s="188">
        <v>3400</v>
      </c>
      <c r="D11" s="96">
        <f>B11+C11</f>
        <v>21489</v>
      </c>
      <c r="E11" s="191">
        <v>1986</v>
      </c>
      <c r="F11" s="50">
        <v>2755</v>
      </c>
      <c r="G11" s="154">
        <f>E11+F11</f>
        <v>4741</v>
      </c>
      <c r="H11" s="286">
        <v>531</v>
      </c>
      <c r="I11" s="18">
        <v>1777</v>
      </c>
      <c r="J11" s="128">
        <f>H11+I11</f>
        <v>2308</v>
      </c>
      <c r="K11" s="47">
        <v>1307</v>
      </c>
      <c r="L11" s="17" t="s">
        <v>54</v>
      </c>
      <c r="M11" s="18">
        <v>374</v>
      </c>
      <c r="N11" s="96">
        <f>D11+G11+J11+K11+M11</f>
        <v>30219</v>
      </c>
      <c r="O11" s="73">
        <f>+D11+H11</f>
        <v>22020</v>
      </c>
      <c r="P11" s="128">
        <f>+G11+I11</f>
        <v>6518</v>
      </c>
      <c r="R11" s="288"/>
    </row>
    <row r="12" spans="1:18" ht="12.75">
      <c r="A12" s="290">
        <v>2001</v>
      </c>
      <c r="B12" s="47">
        <v>16549</v>
      </c>
      <c r="C12" s="18">
        <v>2644</v>
      </c>
      <c r="D12" s="128">
        <f aca="true" t="shared" si="0" ref="D12:D17">B12+C12</f>
        <v>19193</v>
      </c>
      <c r="E12" s="75">
        <v>1773</v>
      </c>
      <c r="F12" s="47">
        <v>2654</v>
      </c>
      <c r="G12" s="74">
        <f aca="true" t="shared" si="1" ref="G12:G17">E12+F12</f>
        <v>4427</v>
      </c>
      <c r="H12" s="73">
        <v>474</v>
      </c>
      <c r="I12" s="240">
        <v>1478</v>
      </c>
      <c r="J12" s="74">
        <f aca="true" t="shared" si="2" ref="J12:J17">H12+I12</f>
        <v>1952</v>
      </c>
      <c r="K12" s="47">
        <v>1157</v>
      </c>
      <c r="L12" s="17" t="s">
        <v>54</v>
      </c>
      <c r="M12" s="18">
        <v>287</v>
      </c>
      <c r="N12" s="96">
        <f>B12+C12+E12+F12+H12+I12+K12+M12</f>
        <v>27016</v>
      </c>
      <c r="O12" s="73">
        <f aca="true" t="shared" si="3" ref="O12:O17">+D12+H12</f>
        <v>19667</v>
      </c>
      <c r="P12" s="128">
        <f aca="true" t="shared" si="4" ref="P12:P17">I12+G12</f>
        <v>5905</v>
      </c>
      <c r="R12" s="288"/>
    </row>
    <row r="13" spans="1:18" ht="12.75">
      <c r="A13" s="290">
        <v>2002</v>
      </c>
      <c r="B13" s="183">
        <v>16325</v>
      </c>
      <c r="C13" s="49">
        <v>2566</v>
      </c>
      <c r="D13" s="223">
        <f t="shared" si="0"/>
        <v>18891</v>
      </c>
      <c r="E13" s="83">
        <v>1850</v>
      </c>
      <c r="F13" s="183">
        <v>2745</v>
      </c>
      <c r="G13" s="242">
        <f t="shared" si="1"/>
        <v>4595</v>
      </c>
      <c r="H13" s="83">
        <v>453</v>
      </c>
      <c r="I13" s="183">
        <v>1422</v>
      </c>
      <c r="J13" s="242">
        <f t="shared" si="2"/>
        <v>1875</v>
      </c>
      <c r="K13" s="183">
        <v>1345</v>
      </c>
      <c r="L13" s="153" t="s">
        <v>54</v>
      </c>
      <c r="M13" s="49">
        <v>333</v>
      </c>
      <c r="N13" s="96">
        <f>B13+C13+E13+F13+H13+I13+K13+M13</f>
        <v>27039</v>
      </c>
      <c r="O13" s="73">
        <f t="shared" si="3"/>
        <v>19344</v>
      </c>
      <c r="P13" s="128">
        <f t="shared" si="4"/>
        <v>6017</v>
      </c>
      <c r="R13" s="288"/>
    </row>
    <row r="14" spans="1:18" ht="12.75">
      <c r="A14" s="290">
        <v>2003</v>
      </c>
      <c r="B14" s="47">
        <v>16680</v>
      </c>
      <c r="C14" s="18">
        <v>2333.041</v>
      </c>
      <c r="D14" s="128">
        <f t="shared" si="0"/>
        <v>19013.041</v>
      </c>
      <c r="E14" s="75">
        <v>1922</v>
      </c>
      <c r="F14" s="47">
        <v>2704</v>
      </c>
      <c r="G14" s="74">
        <f t="shared" si="1"/>
        <v>4626</v>
      </c>
      <c r="H14" s="75">
        <v>448</v>
      </c>
      <c r="I14" s="47">
        <v>1687</v>
      </c>
      <c r="J14" s="74">
        <f t="shared" si="2"/>
        <v>2135</v>
      </c>
      <c r="K14" s="47">
        <v>1293</v>
      </c>
      <c r="L14" s="17" t="s">
        <v>54</v>
      </c>
      <c r="M14" s="18">
        <v>264</v>
      </c>
      <c r="N14" s="96">
        <f>B14+C14+E14+F14+H14+I14+K14+M14</f>
        <v>27331.041</v>
      </c>
      <c r="O14" s="73">
        <f t="shared" si="3"/>
        <v>19461.041</v>
      </c>
      <c r="P14" s="128">
        <f t="shared" si="4"/>
        <v>6313</v>
      </c>
      <c r="R14" s="288"/>
    </row>
    <row r="15" spans="1:18" ht="12.75">
      <c r="A15" s="290">
        <v>2004</v>
      </c>
      <c r="B15" s="47">
        <v>15363</v>
      </c>
      <c r="C15" s="18">
        <v>2779.944</v>
      </c>
      <c r="D15" s="128">
        <f t="shared" si="0"/>
        <v>18142.944</v>
      </c>
      <c r="E15" s="75">
        <v>2161</v>
      </c>
      <c r="F15" s="47">
        <v>3719</v>
      </c>
      <c r="G15" s="74">
        <f t="shared" si="1"/>
        <v>5880</v>
      </c>
      <c r="H15" s="75">
        <v>514</v>
      </c>
      <c r="I15" s="47">
        <v>2020</v>
      </c>
      <c r="J15" s="74">
        <f t="shared" si="2"/>
        <v>2534</v>
      </c>
      <c r="K15" s="47">
        <v>1322</v>
      </c>
      <c r="L15" s="17" t="s">
        <v>54</v>
      </c>
      <c r="M15" s="18">
        <v>249</v>
      </c>
      <c r="N15" s="96">
        <f>B15+C15+E15+F15+H15+I15+K15+M15</f>
        <v>28127.944</v>
      </c>
      <c r="O15" s="73">
        <f t="shared" si="3"/>
        <v>18656.944</v>
      </c>
      <c r="P15" s="128">
        <f t="shared" si="4"/>
        <v>7900</v>
      </c>
      <c r="Q15" s="56"/>
      <c r="R15" s="288"/>
    </row>
    <row r="16" spans="1:19" s="45" customFormat="1" ht="12.75">
      <c r="A16" s="290">
        <v>2005</v>
      </c>
      <c r="B16" s="213">
        <v>13739.228</v>
      </c>
      <c r="C16" s="195">
        <v>2694.741</v>
      </c>
      <c r="D16" s="128">
        <f t="shared" si="0"/>
        <v>16433.968999999997</v>
      </c>
      <c r="E16" s="216">
        <v>2106.287</v>
      </c>
      <c r="F16" s="218">
        <v>3770.828887</v>
      </c>
      <c r="G16" s="74">
        <f t="shared" si="1"/>
        <v>5877.115887</v>
      </c>
      <c r="H16" s="214">
        <v>616.575</v>
      </c>
      <c r="I16" s="224">
        <v>2439.225</v>
      </c>
      <c r="J16" s="74">
        <f t="shared" si="2"/>
        <v>3055.8</v>
      </c>
      <c r="K16" s="213">
        <v>1338.708</v>
      </c>
      <c r="L16" s="188">
        <v>9</v>
      </c>
      <c r="M16" s="188">
        <v>267.498</v>
      </c>
      <c r="N16" s="96">
        <f>B16+C16+E16+F16+H16+I16+K16+L16+M16</f>
        <v>26982.090886999995</v>
      </c>
      <c r="O16" s="73">
        <f t="shared" si="3"/>
        <v>17050.543999999998</v>
      </c>
      <c r="P16" s="128">
        <f t="shared" si="4"/>
        <v>8316.340887</v>
      </c>
      <c r="Q16" s="155"/>
      <c r="R16" s="288"/>
      <c r="S16" s="156"/>
    </row>
    <row r="17" spans="1:18" ht="12.75">
      <c r="A17" s="290" t="s">
        <v>77</v>
      </c>
      <c r="B17" s="224">
        <v>13854.244949442626</v>
      </c>
      <c r="C17" s="48">
        <v>2683.6387626299997</v>
      </c>
      <c r="D17" s="128">
        <f t="shared" si="0"/>
        <v>16537.883712072624</v>
      </c>
      <c r="E17" s="214">
        <v>2142.82986</v>
      </c>
      <c r="F17" s="243">
        <v>3884.067831992184</v>
      </c>
      <c r="G17" s="74">
        <f t="shared" si="1"/>
        <v>6026.897691992184</v>
      </c>
      <c r="H17" s="214">
        <v>754.9388829374849</v>
      </c>
      <c r="I17" s="224">
        <v>2526.3153191511</v>
      </c>
      <c r="J17" s="74">
        <f t="shared" si="2"/>
        <v>3281.254202088585</v>
      </c>
      <c r="K17" s="224">
        <v>1398.416687955</v>
      </c>
      <c r="L17" s="17">
        <v>22</v>
      </c>
      <c r="M17" s="47">
        <v>277</v>
      </c>
      <c r="N17" s="96">
        <f>B17+C17+E17+F17+H17+I17+K17+L17+M17</f>
        <v>27543.45229410839</v>
      </c>
      <c r="O17" s="73">
        <f t="shared" si="3"/>
        <v>17292.822595010108</v>
      </c>
      <c r="P17" s="128">
        <f t="shared" si="4"/>
        <v>8553.213011143285</v>
      </c>
      <c r="Q17" s="55"/>
      <c r="R17" s="288"/>
    </row>
    <row r="18" spans="1:16" ht="12.75">
      <c r="A18" s="298"/>
      <c r="B18" s="191"/>
      <c r="C18" s="188"/>
      <c r="D18" s="120"/>
      <c r="E18" s="191"/>
      <c r="F18" s="50"/>
      <c r="G18" s="154"/>
      <c r="H18" s="81"/>
      <c r="I18" s="8"/>
      <c r="J18" s="76"/>
      <c r="L18" s="18"/>
      <c r="N18" s="96"/>
      <c r="O18" s="89"/>
      <c r="P18" s="173"/>
    </row>
    <row r="19" spans="1:16" ht="12.75">
      <c r="A19" s="299" t="s">
        <v>14</v>
      </c>
      <c r="B19" s="191"/>
      <c r="C19" s="188"/>
      <c r="D19" s="120"/>
      <c r="E19" s="191"/>
      <c r="F19" s="50"/>
      <c r="G19" s="154"/>
      <c r="H19" s="81"/>
      <c r="I19" s="8"/>
      <c r="J19" s="76"/>
      <c r="L19" s="18"/>
      <c r="N19" s="120"/>
      <c r="O19" s="89"/>
      <c r="P19" s="173"/>
    </row>
    <row r="20" spans="1:18" ht="12.75">
      <c r="A20" s="290">
        <v>2007</v>
      </c>
      <c r="B20" s="224">
        <v>13989.56790324256</v>
      </c>
      <c r="C20" s="48">
        <v>2690.5357940359336</v>
      </c>
      <c r="D20" s="128">
        <f aca="true" t="shared" si="5" ref="D20:D35">B20+C20</f>
        <v>16680.103697278493</v>
      </c>
      <c r="E20" s="214">
        <v>2163.3592234999996</v>
      </c>
      <c r="F20" s="243">
        <v>4411.083961591595</v>
      </c>
      <c r="G20" s="74">
        <f aca="true" t="shared" si="6" ref="G20:G33">E20+F20</f>
        <v>6574.443185091594</v>
      </c>
      <c r="H20" s="214">
        <v>835.9270816717757</v>
      </c>
      <c r="I20" s="224">
        <v>2615.0910416198326</v>
      </c>
      <c r="J20" s="74">
        <f aca="true" t="shared" si="7" ref="J20:J33">H20+I20</f>
        <v>3451.0181232916084</v>
      </c>
      <c r="K20" s="214">
        <v>1454.3499429308272</v>
      </c>
      <c r="L20" s="224">
        <v>219.71238999999997</v>
      </c>
      <c r="M20" s="18">
        <v>282</v>
      </c>
      <c r="N20" s="96">
        <f aca="true" t="shared" si="8" ref="N20:N35">B20+C20+E20+F20+H20+I20+K20+L20+M20</f>
        <v>28661.627338592523</v>
      </c>
      <c r="O20" s="73">
        <f>+D20+H20</f>
        <v>17516.03077895027</v>
      </c>
      <c r="P20" s="128">
        <f aca="true" t="shared" si="9" ref="P20:P35">I20+G20</f>
        <v>9189.534226711427</v>
      </c>
      <c r="R20" s="288"/>
    </row>
    <row r="21" spans="1:18" ht="12.75">
      <c r="A21" s="290">
        <f>+A20+1</f>
        <v>2008</v>
      </c>
      <c r="B21" s="224">
        <v>14144.798463841345</v>
      </c>
      <c r="C21" s="48">
        <v>2697.607452487695</v>
      </c>
      <c r="D21" s="128">
        <f t="shared" si="5"/>
        <v>16842.40591632904</v>
      </c>
      <c r="E21" s="214">
        <v>2183.248856744</v>
      </c>
      <c r="F21" s="243">
        <v>4978.707009243504</v>
      </c>
      <c r="G21" s="74">
        <f t="shared" si="6"/>
        <v>7161.955865987504</v>
      </c>
      <c r="H21" s="214">
        <v>921.0490703881284</v>
      </c>
      <c r="I21" s="224">
        <v>2700.287184037902</v>
      </c>
      <c r="J21" s="74">
        <f t="shared" si="7"/>
        <v>3621.3362544260303</v>
      </c>
      <c r="K21" s="214">
        <v>1510.3157112652761</v>
      </c>
      <c r="L21" s="224">
        <v>279.90202105</v>
      </c>
      <c r="M21" s="18">
        <v>286</v>
      </c>
      <c r="N21" s="96">
        <f t="shared" si="8"/>
        <v>29701.915769057854</v>
      </c>
      <c r="O21" s="73">
        <f>+D21+H21</f>
        <v>17763.45498671717</v>
      </c>
      <c r="P21" s="128">
        <f t="shared" si="9"/>
        <v>9862.243050025405</v>
      </c>
      <c r="R21" s="288"/>
    </row>
    <row r="22" spans="1:18" ht="12.75">
      <c r="A22" s="290">
        <f>+A21+1</f>
        <v>2009</v>
      </c>
      <c r="B22" s="224">
        <v>14310.621649983404</v>
      </c>
      <c r="C22" s="48">
        <v>2704.8553075112645</v>
      </c>
      <c r="D22" s="128">
        <f t="shared" si="5"/>
        <v>17015.47695749467</v>
      </c>
      <c r="E22" s="214">
        <v>2201.42786140077</v>
      </c>
      <c r="F22" s="243">
        <v>5585.2844973191595</v>
      </c>
      <c r="G22" s="74">
        <f t="shared" si="6"/>
        <v>7786.712358719929</v>
      </c>
      <c r="H22" s="214">
        <v>1010.3585245419671</v>
      </c>
      <c r="I22" s="224">
        <v>2786.219173700659</v>
      </c>
      <c r="J22" s="74">
        <f t="shared" si="7"/>
        <v>3796.5776982426264</v>
      </c>
      <c r="K22" s="214">
        <v>1560.531150308824</v>
      </c>
      <c r="L22" s="224">
        <v>343.505288812</v>
      </c>
      <c r="M22" s="18">
        <v>289</v>
      </c>
      <c r="N22" s="96">
        <f t="shared" si="8"/>
        <v>30791.80345357805</v>
      </c>
      <c r="O22" s="73">
        <f>+D22+H22</f>
        <v>18025.835482036637</v>
      </c>
      <c r="P22" s="128">
        <f t="shared" si="9"/>
        <v>10572.931532420589</v>
      </c>
      <c r="R22" s="288"/>
    </row>
    <row r="23" spans="1:18" ht="12.75">
      <c r="A23" s="290">
        <f>+A22+1</f>
        <v>2010</v>
      </c>
      <c r="B23" s="224">
        <v>14487.16431280101</v>
      </c>
      <c r="C23" s="48">
        <v>2712.280939962314</v>
      </c>
      <c r="D23" s="128">
        <f t="shared" si="5"/>
        <v>17199.445252763322</v>
      </c>
      <c r="E23" s="214">
        <v>2218.7110810787303</v>
      </c>
      <c r="F23" s="243">
        <v>6297.93821040214</v>
      </c>
      <c r="G23" s="74">
        <f t="shared" si="6"/>
        <v>8516.64929148087</v>
      </c>
      <c r="H23" s="214">
        <v>1101.6221766351193</v>
      </c>
      <c r="I23" s="224">
        <v>2868.4977943149784</v>
      </c>
      <c r="J23" s="74">
        <f t="shared" si="7"/>
        <v>3970.119970950098</v>
      </c>
      <c r="K23" s="214">
        <v>1610.7822140521291</v>
      </c>
      <c r="L23" s="224">
        <v>416.99088452571004</v>
      </c>
      <c r="M23" s="18">
        <v>291</v>
      </c>
      <c r="N23" s="96">
        <f t="shared" si="8"/>
        <v>32004.987613772126</v>
      </c>
      <c r="O23" s="73">
        <f>+D23+H23</f>
        <v>18301.06742939844</v>
      </c>
      <c r="P23" s="128">
        <f t="shared" si="9"/>
        <v>11385.147085795848</v>
      </c>
      <c r="R23" s="288"/>
    </row>
    <row r="24" spans="1:16" ht="12.75">
      <c r="A24" s="290"/>
      <c r="B24" s="224"/>
      <c r="C24" s="48"/>
      <c r="D24" s="128"/>
      <c r="E24" s="214"/>
      <c r="F24" s="243"/>
      <c r="G24" s="74"/>
      <c r="H24" s="214"/>
      <c r="I24" s="224"/>
      <c r="J24" s="74"/>
      <c r="K24" s="214"/>
      <c r="L24" s="224"/>
      <c r="M24" s="18"/>
      <c r="N24" s="96"/>
      <c r="O24" s="73"/>
      <c r="P24" s="128"/>
    </row>
    <row r="25" spans="1:18" ht="12.75">
      <c r="A25" s="290">
        <f>+A23+1</f>
        <v>2011</v>
      </c>
      <c r="B25" s="224">
        <v>14668.733561417179</v>
      </c>
      <c r="C25" s="48">
        <v>2719.8859421002667</v>
      </c>
      <c r="D25" s="128">
        <f t="shared" si="5"/>
        <v>17388.619503517446</v>
      </c>
      <c r="E25" s="214">
        <v>2236.719728576991</v>
      </c>
      <c r="F25" s="243">
        <v>7034.708300707853</v>
      </c>
      <c r="G25" s="74">
        <f t="shared" si="6"/>
        <v>9271.428029284843</v>
      </c>
      <c r="H25" s="214">
        <v>1186.815930459327</v>
      </c>
      <c r="I25" s="224">
        <v>2951.4814631724385</v>
      </c>
      <c r="J25" s="74">
        <f t="shared" si="7"/>
        <v>4138.297393631766</v>
      </c>
      <c r="K25" s="214">
        <v>1661.0701686537923</v>
      </c>
      <c r="L25" s="224">
        <v>494.5764612223119</v>
      </c>
      <c r="M25" s="18">
        <v>293</v>
      </c>
      <c r="N25" s="96">
        <f t="shared" si="8"/>
        <v>33246.99155631016</v>
      </c>
      <c r="O25" s="73">
        <f>+D25+H25</f>
        <v>18575.435433976774</v>
      </c>
      <c r="P25" s="128">
        <f t="shared" si="9"/>
        <v>12222.909492457282</v>
      </c>
      <c r="R25" s="288"/>
    </row>
    <row r="26" spans="1:18" ht="12.75">
      <c r="A26" s="290">
        <f>+A25+1</f>
        <v>2012</v>
      </c>
      <c r="B26" s="224">
        <v>14856.364128004016</v>
      </c>
      <c r="C26" s="48">
        <v>2727.67191766281</v>
      </c>
      <c r="D26" s="128">
        <f t="shared" si="5"/>
        <v>17584.036045666824</v>
      </c>
      <c r="E26" s="214">
        <v>2254.910792017179</v>
      </c>
      <c r="F26" s="243">
        <v>7772.895011864327</v>
      </c>
      <c r="G26" s="74">
        <f t="shared" si="6"/>
        <v>10027.805803881507</v>
      </c>
      <c r="H26" s="214">
        <v>1265.8469135050086</v>
      </c>
      <c r="I26" s="224">
        <v>3030.7366882082783</v>
      </c>
      <c r="J26" s="74">
        <f t="shared" si="7"/>
        <v>4296.583601713287</v>
      </c>
      <c r="K26" s="214">
        <v>1711.3962811086299</v>
      </c>
      <c r="L26" s="224">
        <v>569.7390681580712</v>
      </c>
      <c r="M26" s="18">
        <v>294</v>
      </c>
      <c r="N26" s="96">
        <f t="shared" si="8"/>
        <v>34483.560800528314</v>
      </c>
      <c r="O26" s="73">
        <f>+D26+H26</f>
        <v>18849.88295917183</v>
      </c>
      <c r="P26" s="128">
        <f t="shared" si="9"/>
        <v>13058.542492089786</v>
      </c>
      <c r="R26" s="288"/>
    </row>
    <row r="27" spans="1:18" ht="12.75">
      <c r="A27" s="290">
        <f>+A26+1</f>
        <v>2013</v>
      </c>
      <c r="B27" s="224">
        <v>15044.611189745492</v>
      </c>
      <c r="C27" s="48">
        <v>2735.6404819408785</v>
      </c>
      <c r="D27" s="128">
        <f t="shared" si="5"/>
        <v>17780.251671686372</v>
      </c>
      <c r="E27" s="214">
        <v>2270.2220853444865</v>
      </c>
      <c r="F27" s="243">
        <v>8497.06878483181</v>
      </c>
      <c r="G27" s="74">
        <f t="shared" si="6"/>
        <v>10767.290870176297</v>
      </c>
      <c r="H27" s="214">
        <v>1340.9432693399442</v>
      </c>
      <c r="I27" s="224">
        <v>3110.6653042431312</v>
      </c>
      <c r="J27" s="74">
        <f t="shared" si="7"/>
        <v>4451.608573583076</v>
      </c>
      <c r="K27" s="214">
        <v>1758.811414810075</v>
      </c>
      <c r="L27" s="224">
        <v>655.8702096384384</v>
      </c>
      <c r="M27" s="18">
        <v>294</v>
      </c>
      <c r="N27" s="96">
        <f t="shared" si="8"/>
        <v>35707.83273989425</v>
      </c>
      <c r="O27" s="73">
        <f>+D27+H27</f>
        <v>19121.194941026315</v>
      </c>
      <c r="P27" s="128">
        <f t="shared" si="9"/>
        <v>13877.956174419429</v>
      </c>
      <c r="R27" s="288"/>
    </row>
    <row r="28" spans="1:18" ht="12.75">
      <c r="A28" s="290">
        <f>+A27+1</f>
        <v>2014</v>
      </c>
      <c r="B28" s="224">
        <v>15224.15050067364</v>
      </c>
      <c r="C28" s="48">
        <v>2743.793261854083</v>
      </c>
      <c r="D28" s="128">
        <f t="shared" si="5"/>
        <v>17967.943762527724</v>
      </c>
      <c r="E28" s="214">
        <v>2285.9578617260454</v>
      </c>
      <c r="F28" s="243">
        <v>9224.580364842746</v>
      </c>
      <c r="G28" s="74">
        <f t="shared" si="6"/>
        <v>11510.538226568791</v>
      </c>
      <c r="H28" s="214">
        <v>1416.7105648905797</v>
      </c>
      <c r="I28" s="224">
        <v>3186.7890961138314</v>
      </c>
      <c r="J28" s="74">
        <f t="shared" si="7"/>
        <v>4603.499661004411</v>
      </c>
      <c r="K28" s="214">
        <v>1806.2673905109327</v>
      </c>
      <c r="L28" s="224">
        <v>746.6564544462854</v>
      </c>
      <c r="M28" s="18">
        <v>295</v>
      </c>
      <c r="N28" s="96">
        <f t="shared" si="8"/>
        <v>36929.90549505815</v>
      </c>
      <c r="O28" s="73">
        <f>+D28+H28</f>
        <v>19384.654327418302</v>
      </c>
      <c r="P28" s="128">
        <f t="shared" si="9"/>
        <v>14697.327322682622</v>
      </c>
      <c r="R28" s="288"/>
    </row>
    <row r="29" spans="1:18" ht="12.75">
      <c r="A29" s="290">
        <f>+A28+1</f>
        <v>2015</v>
      </c>
      <c r="B29" s="224">
        <v>15394.868397278653</v>
      </c>
      <c r="C29" s="48">
        <v>2752.1318960266253</v>
      </c>
      <c r="D29" s="128">
        <f t="shared" si="5"/>
        <v>18147.00029330528</v>
      </c>
      <c r="E29" s="214">
        <v>2301.3031723714403</v>
      </c>
      <c r="F29" s="243">
        <v>9936.459445608802</v>
      </c>
      <c r="G29" s="74">
        <f t="shared" si="6"/>
        <v>12237.762617980243</v>
      </c>
      <c r="H29" s="214">
        <v>1483.7726292961333</v>
      </c>
      <c r="I29" s="224">
        <v>3263.5537479482596</v>
      </c>
      <c r="J29" s="74">
        <f t="shared" si="7"/>
        <v>4747.326377244393</v>
      </c>
      <c r="K29" s="214">
        <v>1853.7654034012296</v>
      </c>
      <c r="L29" s="224">
        <v>842.2995907539287</v>
      </c>
      <c r="M29" s="18">
        <v>296</v>
      </c>
      <c r="N29" s="96">
        <f t="shared" si="8"/>
        <v>38124.15428268508</v>
      </c>
      <c r="O29" s="73">
        <f>+D29+H29</f>
        <v>19630.772922601413</v>
      </c>
      <c r="P29" s="128">
        <f t="shared" si="9"/>
        <v>15501.316365928502</v>
      </c>
      <c r="R29" s="288"/>
    </row>
    <row r="30" spans="1:16" ht="12.75">
      <c r="A30" s="290"/>
      <c r="B30" s="75"/>
      <c r="C30" s="229"/>
      <c r="D30" s="128"/>
      <c r="E30" s="244"/>
      <c r="F30" s="228"/>
      <c r="G30" s="74"/>
      <c r="H30" s="244"/>
      <c r="I30" s="245"/>
      <c r="J30" s="74"/>
      <c r="K30" s="75"/>
      <c r="L30" s="246"/>
      <c r="M30" s="18"/>
      <c r="N30" s="96"/>
      <c r="O30" s="89"/>
      <c r="P30" s="247"/>
    </row>
    <row r="31" spans="1:18" ht="12.75">
      <c r="A31" s="290">
        <f>+A29+1</f>
        <v>2016</v>
      </c>
      <c r="B31" s="224">
        <v>15556.649929989306</v>
      </c>
      <c r="C31" s="48">
        <v>2760.6580348636635</v>
      </c>
      <c r="D31" s="128">
        <f t="shared" si="5"/>
        <v>18317.307964852967</v>
      </c>
      <c r="E31" s="214">
        <v>2318.2429013877813</v>
      </c>
      <c r="F31" s="243">
        <v>10649.67996969922</v>
      </c>
      <c r="G31" s="74">
        <f t="shared" si="6"/>
        <v>12967.922871087001</v>
      </c>
      <c r="H31" s="214">
        <v>1546.7138522140444</v>
      </c>
      <c r="I31" s="224">
        <v>3336.435869632753</v>
      </c>
      <c r="J31" s="74">
        <f t="shared" si="7"/>
        <v>4883.149721846798</v>
      </c>
      <c r="K31" s="214">
        <v>1898.3117674567848</v>
      </c>
      <c r="L31" s="224">
        <v>905.2889514537877</v>
      </c>
      <c r="M31" s="18">
        <v>296</v>
      </c>
      <c r="N31" s="96">
        <f t="shared" si="8"/>
        <v>39267.98127669734</v>
      </c>
      <c r="O31" s="73">
        <f>+D31+H31</f>
        <v>19864.021817067012</v>
      </c>
      <c r="P31" s="128">
        <f t="shared" si="9"/>
        <v>16304.358740719754</v>
      </c>
      <c r="R31" s="288"/>
    </row>
    <row r="32" spans="1:18" ht="12.75">
      <c r="A32" s="290">
        <f>+A31+1</f>
        <v>2017</v>
      </c>
      <c r="B32" s="224">
        <v>15709.378850458239</v>
      </c>
      <c r="C32" s="48">
        <v>2769.3733406281576</v>
      </c>
      <c r="D32" s="128">
        <f t="shared" si="5"/>
        <v>18478.752191086398</v>
      </c>
      <c r="E32" s="214">
        <v>2340.5213302055417</v>
      </c>
      <c r="F32" s="243">
        <v>11373.12299962641</v>
      </c>
      <c r="G32" s="74">
        <f t="shared" si="6"/>
        <v>13713.644329831952</v>
      </c>
      <c r="H32" s="214">
        <v>1605.4709143332013</v>
      </c>
      <c r="I32" s="224">
        <v>3409.925430668096</v>
      </c>
      <c r="J32" s="74">
        <f t="shared" si="7"/>
        <v>5015.396345001297</v>
      </c>
      <c r="K32" s="214">
        <v>1942.9027117705732</v>
      </c>
      <c r="L32" s="224">
        <v>971.2996041639598</v>
      </c>
      <c r="M32" s="18">
        <v>297</v>
      </c>
      <c r="N32" s="96">
        <f t="shared" si="8"/>
        <v>40418.995181854174</v>
      </c>
      <c r="O32" s="73">
        <f>+D32+H32</f>
        <v>20084.223105419598</v>
      </c>
      <c r="P32" s="128">
        <f t="shared" si="9"/>
        <v>17123.569760500046</v>
      </c>
      <c r="R32" s="288"/>
    </row>
    <row r="33" spans="1:18" ht="12.75">
      <c r="A33" s="157">
        <f>+A32+1</f>
        <v>2018</v>
      </c>
      <c r="B33" s="214">
        <v>15853</v>
      </c>
      <c r="C33" s="48">
        <v>2778</v>
      </c>
      <c r="D33" s="128">
        <f t="shared" si="5"/>
        <v>18631</v>
      </c>
      <c r="E33" s="214">
        <v>2363</v>
      </c>
      <c r="F33" s="243">
        <v>12108</v>
      </c>
      <c r="G33" s="74">
        <f t="shared" si="6"/>
        <v>14471</v>
      </c>
      <c r="H33" s="214">
        <v>1660</v>
      </c>
      <c r="I33" s="224">
        <v>3484</v>
      </c>
      <c r="J33" s="74">
        <f t="shared" si="7"/>
        <v>5144</v>
      </c>
      <c r="K33" s="214">
        <v>1987.5393589092744</v>
      </c>
      <c r="L33" s="224">
        <v>1032.4526272421226</v>
      </c>
      <c r="M33" s="18">
        <v>298</v>
      </c>
      <c r="N33" s="96">
        <f t="shared" si="8"/>
        <v>41563.99198615139</v>
      </c>
      <c r="O33" s="73">
        <f>+D33+H33</f>
        <v>20291</v>
      </c>
      <c r="P33" s="128">
        <f t="shared" si="9"/>
        <v>17955</v>
      </c>
      <c r="R33" s="288"/>
    </row>
    <row r="34" spans="1:19" ht="12.75">
      <c r="A34" s="290">
        <v>2019</v>
      </c>
      <c r="B34" s="224">
        <v>15997.506761212762</v>
      </c>
      <c r="C34" s="48">
        <v>2787.2288117337284</v>
      </c>
      <c r="D34" s="128">
        <f t="shared" si="5"/>
        <v>18784.73557294649</v>
      </c>
      <c r="E34" s="214">
        <v>2388.6732934042648</v>
      </c>
      <c r="F34" s="243">
        <v>12845.118725871464</v>
      </c>
      <c r="G34" s="74">
        <f>E34+F34</f>
        <v>15233.792019275728</v>
      </c>
      <c r="H34" s="214">
        <v>1714.961095470602</v>
      </c>
      <c r="I34" s="224">
        <v>3558.7432211634527</v>
      </c>
      <c r="J34" s="74">
        <f>H34+I34</f>
        <v>5273.7043166340545</v>
      </c>
      <c r="K34" s="214">
        <v>2029</v>
      </c>
      <c r="L34" s="224">
        <v>1088</v>
      </c>
      <c r="M34" s="18">
        <v>299</v>
      </c>
      <c r="N34" s="96">
        <f t="shared" si="8"/>
        <v>42708.23190885627</v>
      </c>
      <c r="O34" s="73">
        <f>+D34+H34</f>
        <v>20499.69666841709</v>
      </c>
      <c r="P34" s="128">
        <f t="shared" si="9"/>
        <v>18792.53524043918</v>
      </c>
      <c r="R34" s="288"/>
      <c r="S34" s="52"/>
    </row>
    <row r="35" spans="1:20" ht="12.75">
      <c r="A35" s="290">
        <v>2020</v>
      </c>
      <c r="B35" s="224">
        <v>16143.094086679777</v>
      </c>
      <c r="C35" s="48">
        <v>2796</v>
      </c>
      <c r="D35" s="128">
        <f t="shared" si="5"/>
        <v>18939.094086679776</v>
      </c>
      <c r="E35" s="214">
        <v>2414</v>
      </c>
      <c r="F35" s="243">
        <v>13587</v>
      </c>
      <c r="G35" s="74">
        <f>E35+F35</f>
        <v>16001</v>
      </c>
      <c r="H35" s="214">
        <v>1770</v>
      </c>
      <c r="I35" s="224">
        <v>3634.079688186114</v>
      </c>
      <c r="J35" s="74">
        <f>H35+I35</f>
        <v>5404.079688186113</v>
      </c>
      <c r="K35" s="214">
        <v>2071</v>
      </c>
      <c r="L35" s="224">
        <v>1146</v>
      </c>
      <c r="M35" s="18">
        <v>299</v>
      </c>
      <c r="N35" s="96">
        <f t="shared" si="8"/>
        <v>43860.17377486589</v>
      </c>
      <c r="O35" s="73">
        <f>+D35+H35</f>
        <v>20709.094086679776</v>
      </c>
      <c r="P35" s="128">
        <f t="shared" si="9"/>
        <v>19635.079688186113</v>
      </c>
      <c r="R35" s="288"/>
      <c r="S35" s="52"/>
      <c r="T35" s="52"/>
    </row>
    <row r="36" spans="1:19" ht="12.75">
      <c r="A36" s="290"/>
      <c r="B36" s="190"/>
      <c r="C36" s="187"/>
      <c r="D36" s="192"/>
      <c r="E36" s="215"/>
      <c r="F36" s="48"/>
      <c r="G36" s="212"/>
      <c r="H36" s="214"/>
      <c r="I36" s="50"/>
      <c r="J36" s="96"/>
      <c r="K36" s="216"/>
      <c r="L36" s="218"/>
      <c r="M36" s="195"/>
      <c r="N36" s="96"/>
      <c r="O36" s="73"/>
      <c r="P36" s="74"/>
      <c r="R36" s="52"/>
      <c r="S36" s="52"/>
    </row>
    <row r="37" spans="1:19" ht="12.75">
      <c r="A37" s="157" t="s">
        <v>83</v>
      </c>
      <c r="B37" s="214"/>
      <c r="C37" s="48"/>
      <c r="D37" s="74"/>
      <c r="E37" s="214"/>
      <c r="F37" s="48"/>
      <c r="G37" s="74"/>
      <c r="H37" s="214"/>
      <c r="I37" s="48"/>
      <c r="J37" s="74"/>
      <c r="K37" s="214"/>
      <c r="L37" s="48"/>
      <c r="M37" s="48"/>
      <c r="N37" s="74"/>
      <c r="O37" s="248"/>
      <c r="P37" s="241"/>
      <c r="R37" s="52"/>
      <c r="S37" s="52"/>
    </row>
    <row r="38" spans="1:19" ht="12.75">
      <c r="A38" s="34" t="s">
        <v>78</v>
      </c>
      <c r="B38" s="281">
        <f>RATE(6,,-B11,B17)</f>
        <v>-0.0434785419396764</v>
      </c>
      <c r="C38" s="250">
        <f aca="true" t="shared" si="10" ref="C38:P38">RATE(6,,-C11,C17)</f>
        <v>-0.038666249327390656</v>
      </c>
      <c r="D38" s="272">
        <f t="shared" si="10"/>
        <v>-0.042709046826045156</v>
      </c>
      <c r="E38" s="281">
        <f>RATE(6,,-E11,E17)</f>
        <v>0.012748031171840299</v>
      </c>
      <c r="F38" s="250">
        <f t="shared" si="10"/>
        <v>0.058914431390015065</v>
      </c>
      <c r="G38" s="272">
        <f t="shared" si="10"/>
        <v>0.04080805342992714</v>
      </c>
      <c r="H38" s="281">
        <f>RATE(6,,-H11,H17)</f>
        <v>0.06039957626114635</v>
      </c>
      <c r="I38" s="250">
        <f t="shared" si="10"/>
        <v>0.06039259910598423</v>
      </c>
      <c r="J38" s="272">
        <f t="shared" si="10"/>
        <v>0.060394204355686675</v>
      </c>
      <c r="K38" s="281">
        <f>RATE(6,,-K11,K17)</f>
        <v>0.011331423813531414</v>
      </c>
      <c r="L38" s="250"/>
      <c r="M38" s="272">
        <f t="shared" si="10"/>
        <v>-0.0488083530202611</v>
      </c>
      <c r="N38" s="251">
        <f t="shared" si="10"/>
        <v>-0.015332249739561593</v>
      </c>
      <c r="O38" s="281">
        <f t="shared" si="10"/>
        <v>-0.03947627762013318</v>
      </c>
      <c r="P38" s="251">
        <f t="shared" si="10"/>
        <v>0.046331151307114946</v>
      </c>
      <c r="R38" s="52"/>
      <c r="S38" s="52"/>
    </row>
    <row r="39" spans="1:19" ht="12.75">
      <c r="A39" s="34" t="s">
        <v>79</v>
      </c>
      <c r="B39" s="249">
        <f aca="true" t="shared" si="11" ref="B39:P39">RATE(4,,-B17,B23)</f>
        <v>0.011230432452501493</v>
      </c>
      <c r="C39" s="250">
        <f t="shared" si="11"/>
        <v>0.002657609021080676</v>
      </c>
      <c r="D39" s="251">
        <f t="shared" si="11"/>
        <v>0.009854084587140264</v>
      </c>
      <c r="E39" s="249">
        <f t="shared" si="11"/>
        <v>0.0087377313537998</v>
      </c>
      <c r="F39" s="250">
        <f t="shared" si="11"/>
        <v>0.1284385062722832</v>
      </c>
      <c r="G39" s="251">
        <f t="shared" si="11"/>
        <v>0.09029428616427118</v>
      </c>
      <c r="H39" s="249">
        <f t="shared" si="11"/>
        <v>0.0990823128524223</v>
      </c>
      <c r="I39" s="250">
        <f t="shared" si="11"/>
        <v>0.03226628062520468</v>
      </c>
      <c r="J39" s="251">
        <f t="shared" si="11"/>
        <v>0.048795797404545385</v>
      </c>
      <c r="K39" s="249">
        <f t="shared" si="11"/>
        <v>0.03597686468054503</v>
      </c>
      <c r="L39" s="250">
        <f t="shared" si="11"/>
        <v>1.0865364224460796</v>
      </c>
      <c r="M39" s="250">
        <f t="shared" si="11"/>
        <v>0.012402723924632382</v>
      </c>
      <c r="N39" s="251">
        <f t="shared" si="11"/>
        <v>0.038244938126631295</v>
      </c>
      <c r="O39" s="249">
        <f t="shared" si="11"/>
        <v>0.014267789768832606</v>
      </c>
      <c r="P39" s="251">
        <f t="shared" si="11"/>
        <v>0.07411885305882056</v>
      </c>
      <c r="R39" s="52"/>
      <c r="S39" s="52"/>
    </row>
    <row r="40" spans="1:16" ht="12.75">
      <c r="A40" s="34" t="s">
        <v>80</v>
      </c>
      <c r="B40" s="249">
        <f aca="true" t="shared" si="12" ref="B40:P40">RATE(10,,-B23,B35)</f>
        <v>0.01088171077312331</v>
      </c>
      <c r="C40" s="250">
        <f t="shared" si="12"/>
        <v>0.0030446122685623338</v>
      </c>
      <c r="D40" s="251">
        <f t="shared" si="12"/>
        <v>0.009681679673335558</v>
      </c>
      <c r="E40" s="249">
        <f t="shared" si="12"/>
        <v>0.008471551159701777</v>
      </c>
      <c r="F40" s="250">
        <f t="shared" si="12"/>
        <v>0.07992232165926694</v>
      </c>
      <c r="G40" s="251">
        <f t="shared" si="12"/>
        <v>0.0650937497747265</v>
      </c>
      <c r="H40" s="249">
        <f t="shared" si="12"/>
        <v>0.04856186683366838</v>
      </c>
      <c r="I40" s="250">
        <f t="shared" si="12"/>
        <v>0.023938782599407727</v>
      </c>
      <c r="J40" s="251">
        <f t="shared" si="12"/>
        <v>0.031316132660834425</v>
      </c>
      <c r="K40" s="249">
        <f t="shared" si="12"/>
        <v>0.025449617281425335</v>
      </c>
      <c r="L40" s="250">
        <f t="shared" si="12"/>
        <v>0.10638379375762456</v>
      </c>
      <c r="M40" s="250">
        <f t="shared" si="12"/>
        <v>0.002715711503769248</v>
      </c>
      <c r="N40" s="251">
        <f t="shared" si="12"/>
        <v>0.03201323866762148</v>
      </c>
      <c r="O40" s="249">
        <f t="shared" si="12"/>
        <v>0.012438071728702338</v>
      </c>
      <c r="P40" s="251">
        <f t="shared" si="12"/>
        <v>0.05601333472033426</v>
      </c>
    </row>
    <row r="41" spans="1:18" ht="13.5" thickBot="1">
      <c r="A41" s="252" t="s">
        <v>81</v>
      </c>
      <c r="B41" s="253">
        <f aca="true" t="shared" si="13" ref="B41:P41">RATE(14,,-B17,B35)</f>
        <v>0.010981333265832989</v>
      </c>
      <c r="C41" s="254">
        <f t="shared" si="13"/>
        <v>0.002934024671407633</v>
      </c>
      <c r="D41" s="255">
        <f t="shared" si="13"/>
        <v>0.00973093521615471</v>
      </c>
      <c r="E41" s="253">
        <f t="shared" si="13"/>
        <v>0.008547595476025351</v>
      </c>
      <c r="F41" s="254">
        <f t="shared" si="13"/>
        <v>0.09356721971503068</v>
      </c>
      <c r="G41" s="255">
        <f t="shared" si="13"/>
        <v>0.07223387034646894</v>
      </c>
      <c r="H41" s="253">
        <f t="shared" si="13"/>
        <v>0.06275452381394551</v>
      </c>
      <c r="I41" s="254">
        <f t="shared" si="13"/>
        <v>0.026311188878359894</v>
      </c>
      <c r="J41" s="255">
        <f t="shared" si="13"/>
        <v>0.03628038134136313</v>
      </c>
      <c r="K41" s="253">
        <f t="shared" si="13"/>
        <v>0.028446438687358744</v>
      </c>
      <c r="L41" s="254">
        <f t="shared" si="13"/>
        <v>0.32625139167951994</v>
      </c>
      <c r="M41" s="254">
        <f t="shared" si="13"/>
        <v>0.0054739323193830625</v>
      </c>
      <c r="N41" s="255">
        <f t="shared" si="13"/>
        <v>0.033789897683664014</v>
      </c>
      <c r="O41" s="253">
        <f t="shared" si="13"/>
        <v>0.012960511237307888</v>
      </c>
      <c r="P41" s="255">
        <f t="shared" si="13"/>
        <v>0.06115497101210545</v>
      </c>
      <c r="Q41" s="52"/>
      <c r="R41" s="52"/>
    </row>
    <row r="43" ht="12.75">
      <c r="A43" s="51" t="s">
        <v>85</v>
      </c>
    </row>
    <row r="44" spans="1:10" ht="12.75">
      <c r="A44" t="s">
        <v>47</v>
      </c>
      <c r="J44" s="52"/>
    </row>
    <row r="45" spans="1:9" ht="12.75">
      <c r="A45" t="s">
        <v>46</v>
      </c>
      <c r="H45" s="52"/>
      <c r="I45" s="52"/>
    </row>
    <row r="46" ht="12.75">
      <c r="A46" s="26" t="s">
        <v>37</v>
      </c>
    </row>
    <row r="47" spans="8:11" ht="12.75">
      <c r="H47" s="52"/>
      <c r="I47" s="52"/>
      <c r="J47" s="52"/>
      <c r="K47" s="52"/>
    </row>
    <row r="48" spans="14:16" ht="12.75">
      <c r="N48" s="52"/>
      <c r="P48" s="52"/>
    </row>
    <row r="50" ht="12.75">
      <c r="N50" s="52"/>
    </row>
  </sheetData>
  <mergeCells count="4">
    <mergeCell ref="E7:G7"/>
    <mergeCell ref="A1:P1"/>
    <mergeCell ref="A3:P3"/>
    <mergeCell ref="A4:P4"/>
  </mergeCells>
  <printOptions gridLines="1" horizontalCentered="1"/>
  <pageMargins left="0.6" right="0.6" top="0.75" bottom="0.25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75" zoomScaleNormal="75" workbookViewId="0" topLeftCell="A8">
      <selection activeCell="K40" sqref="K40"/>
    </sheetView>
  </sheetViews>
  <sheetFormatPr defaultColWidth="9.140625" defaultRowHeight="12.75"/>
  <cols>
    <col min="1" max="1" width="20.140625" style="0" customWidth="1"/>
    <col min="2" max="2" width="9.8515625" style="0" customWidth="1"/>
    <col min="3" max="3" width="9.7109375" style="0" customWidth="1"/>
    <col min="4" max="4" width="10.00390625" style="0" customWidth="1"/>
    <col min="5" max="5" width="9.421875" style="0" customWidth="1"/>
    <col min="6" max="6" width="13.7109375" style="0" customWidth="1"/>
    <col min="7" max="7" width="11.7109375" style="0" customWidth="1"/>
    <col min="8" max="8" width="9.28125" style="0" customWidth="1"/>
    <col min="9" max="9" width="8.7109375" style="0" customWidth="1"/>
    <col min="10" max="10" width="9.8515625" style="0" bestFit="1" customWidth="1"/>
    <col min="11" max="11" width="11.421875" style="0" customWidth="1"/>
    <col min="12" max="12" width="12.7109375" style="0" customWidth="1"/>
    <col min="14" max="14" width="12.57421875" style="0" bestFit="1" customWidth="1"/>
  </cols>
  <sheetData>
    <row r="1" spans="1:12" ht="18">
      <c r="A1" s="1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25">
      <c r="A3" s="20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3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00"/>
      <c r="B7" s="166"/>
      <c r="C7" s="122"/>
      <c r="D7" s="122"/>
      <c r="E7" s="196"/>
      <c r="F7" s="121"/>
      <c r="G7" s="123"/>
      <c r="H7" s="170" t="s">
        <v>60</v>
      </c>
      <c r="I7" s="236"/>
      <c r="J7" s="172"/>
      <c r="K7" s="129" t="s">
        <v>12</v>
      </c>
      <c r="L7" s="124" t="s">
        <v>23</v>
      </c>
    </row>
    <row r="8" spans="1:12" ht="12.75">
      <c r="A8" s="301" t="s">
        <v>3</v>
      </c>
      <c r="B8" s="167"/>
      <c r="C8" s="158" t="s">
        <v>20</v>
      </c>
      <c r="D8" s="200" t="s">
        <v>52</v>
      </c>
      <c r="E8" s="197"/>
      <c r="F8" s="58"/>
      <c r="G8" s="158" t="s">
        <v>21</v>
      </c>
      <c r="H8" s="171" t="s">
        <v>61</v>
      </c>
      <c r="I8" s="237" t="s">
        <v>22</v>
      </c>
      <c r="J8" s="171" t="s">
        <v>12</v>
      </c>
      <c r="K8" s="130" t="s">
        <v>50</v>
      </c>
      <c r="L8" s="125" t="s">
        <v>68</v>
      </c>
    </row>
    <row r="9" spans="1:12" ht="12.75">
      <c r="A9" s="302" t="s">
        <v>62</v>
      </c>
      <c r="B9" s="64" t="s">
        <v>24</v>
      </c>
      <c r="C9" s="62" t="s">
        <v>25</v>
      </c>
      <c r="D9" s="60" t="s">
        <v>69</v>
      </c>
      <c r="E9" s="198" t="s">
        <v>26</v>
      </c>
      <c r="F9" s="61" t="s">
        <v>27</v>
      </c>
      <c r="G9" s="62" t="s">
        <v>28</v>
      </c>
      <c r="H9" s="59" t="s">
        <v>29</v>
      </c>
      <c r="I9" s="238" t="s">
        <v>29</v>
      </c>
      <c r="J9" s="59" t="s">
        <v>49</v>
      </c>
      <c r="K9" s="131" t="s">
        <v>51</v>
      </c>
      <c r="L9" s="126" t="s">
        <v>67</v>
      </c>
    </row>
    <row r="10" spans="1:12" ht="12.75">
      <c r="A10" s="303" t="s">
        <v>13</v>
      </c>
      <c r="B10" s="134"/>
      <c r="C10" s="21"/>
      <c r="D10" s="199"/>
      <c r="E10" s="199"/>
      <c r="F10" s="169"/>
      <c r="G10" s="21"/>
      <c r="H10" s="169"/>
      <c r="I10" s="134"/>
      <c r="J10" s="230"/>
      <c r="K10" s="132"/>
      <c r="L10" s="127"/>
    </row>
    <row r="11" spans="1:14" ht="12.75">
      <c r="A11" s="293">
        <v>2000</v>
      </c>
      <c r="B11" s="50">
        <v>99110</v>
      </c>
      <c r="C11" s="48">
        <v>340</v>
      </c>
      <c r="D11" s="229" t="s">
        <v>54</v>
      </c>
      <c r="E11" s="267">
        <v>251561</v>
      </c>
      <c r="F11" s="267">
        <v>121858</v>
      </c>
      <c r="G11" s="50">
        <v>141598</v>
      </c>
      <c r="H11" s="48">
        <v>7775</v>
      </c>
      <c r="I11" s="201">
        <v>9387</v>
      </c>
      <c r="J11" s="149">
        <f>SUM(E11:I11)+SUM(B11:C11)</f>
        <v>631629</v>
      </c>
      <c r="K11" s="133">
        <f>+J11-G11</f>
        <v>490031</v>
      </c>
      <c r="L11" s="194">
        <v>315100</v>
      </c>
      <c r="N11" s="57"/>
    </row>
    <row r="12" spans="1:14" ht="12.75">
      <c r="A12" s="304">
        <v>2001</v>
      </c>
      <c r="B12" s="50">
        <v>94420</v>
      </c>
      <c r="C12" s="48">
        <v>316</v>
      </c>
      <c r="D12" s="17" t="s">
        <v>54</v>
      </c>
      <c r="E12" s="267">
        <v>243823</v>
      </c>
      <c r="F12" s="267">
        <v>120502</v>
      </c>
      <c r="G12" s="50">
        <v>144702</v>
      </c>
      <c r="H12" s="48">
        <v>7727</v>
      </c>
      <c r="I12" s="201">
        <v>8473</v>
      </c>
      <c r="J12" s="149">
        <f>SUM(B12:I12)</f>
        <v>619963</v>
      </c>
      <c r="K12" s="133">
        <f aca="true" t="shared" si="0" ref="K12:K17">J12-G12</f>
        <v>475261</v>
      </c>
      <c r="L12" s="194">
        <v>315276</v>
      </c>
      <c r="N12" s="57"/>
    </row>
    <row r="13" spans="1:14" ht="12.75">
      <c r="A13" s="293">
        <v>2002</v>
      </c>
      <c r="B13" s="50">
        <v>85991</v>
      </c>
      <c r="C13" s="48">
        <v>317</v>
      </c>
      <c r="D13" s="18" t="s">
        <v>54</v>
      </c>
      <c r="E13" s="267">
        <v>245230</v>
      </c>
      <c r="F13" s="267">
        <v>125920</v>
      </c>
      <c r="G13" s="50">
        <v>144708</v>
      </c>
      <c r="H13" s="48">
        <v>7770</v>
      </c>
      <c r="I13" s="201" t="s">
        <v>73</v>
      </c>
      <c r="J13" s="149">
        <v>631762</v>
      </c>
      <c r="K13" s="133">
        <f t="shared" si="0"/>
        <v>487054</v>
      </c>
      <c r="L13" s="194">
        <v>317389</v>
      </c>
      <c r="N13" s="57"/>
    </row>
    <row r="14" spans="1:15" ht="12.75">
      <c r="A14" s="293">
        <f>+A13+1</f>
        <v>2003</v>
      </c>
      <c r="B14" s="50">
        <v>87296</v>
      </c>
      <c r="C14" s="48">
        <v>310</v>
      </c>
      <c r="D14" s="18" t="s">
        <v>54</v>
      </c>
      <c r="E14" s="267">
        <v>241045</v>
      </c>
      <c r="F14" s="267">
        <v>123990</v>
      </c>
      <c r="G14" s="50">
        <v>143504</v>
      </c>
      <c r="H14" s="48">
        <v>7916</v>
      </c>
      <c r="I14" s="201">
        <v>20950</v>
      </c>
      <c r="J14" s="149">
        <f>SUM(B14:I14)</f>
        <v>625011</v>
      </c>
      <c r="K14" s="133">
        <f t="shared" si="0"/>
        <v>481507</v>
      </c>
      <c r="L14" s="194">
        <v>315413</v>
      </c>
      <c r="N14" s="57"/>
      <c r="O14" s="55"/>
    </row>
    <row r="15" spans="1:15" ht="12.75">
      <c r="A15" s="293">
        <f>+A14+1</f>
        <v>2004</v>
      </c>
      <c r="B15" s="50">
        <v>87910</v>
      </c>
      <c r="C15" s="48">
        <v>291</v>
      </c>
      <c r="D15" s="49" t="s">
        <v>54</v>
      </c>
      <c r="E15" s="267">
        <v>235994</v>
      </c>
      <c r="F15" s="267">
        <v>122592</v>
      </c>
      <c r="G15" s="50">
        <v>142160</v>
      </c>
      <c r="H15" s="48">
        <v>8586</v>
      </c>
      <c r="I15" s="201">
        <v>21100</v>
      </c>
      <c r="J15" s="149">
        <f>SUM(B15:I15)</f>
        <v>618633</v>
      </c>
      <c r="K15" s="133">
        <f t="shared" si="0"/>
        <v>476473</v>
      </c>
      <c r="L15" s="194">
        <v>313545</v>
      </c>
      <c r="N15" s="57"/>
      <c r="O15" s="55"/>
    </row>
    <row r="16" spans="1:15" s="45" customFormat="1" ht="12.75">
      <c r="A16" s="293">
        <v>2005</v>
      </c>
      <c r="B16" s="50">
        <v>87213</v>
      </c>
      <c r="C16" s="48">
        <v>278</v>
      </c>
      <c r="D16" s="48">
        <v>134</v>
      </c>
      <c r="E16" s="267">
        <v>228619</v>
      </c>
      <c r="F16" s="267">
        <v>120614</v>
      </c>
      <c r="G16" s="50">
        <v>141992</v>
      </c>
      <c r="H16" s="48">
        <v>9518</v>
      </c>
      <c r="I16" s="201">
        <v>21369</v>
      </c>
      <c r="J16" s="149">
        <f>SUM(B16:I16)</f>
        <v>609737</v>
      </c>
      <c r="K16" s="133">
        <f t="shared" si="0"/>
        <v>467745</v>
      </c>
      <c r="L16" s="194">
        <v>311500</v>
      </c>
      <c r="N16" s="57"/>
      <c r="O16" s="55"/>
    </row>
    <row r="17" spans="1:15" ht="12.75">
      <c r="A17" s="293" t="s">
        <v>77</v>
      </c>
      <c r="B17" s="50">
        <v>84866</v>
      </c>
      <c r="C17" s="48">
        <v>239</v>
      </c>
      <c r="D17" s="48">
        <v>939</v>
      </c>
      <c r="E17" s="267">
        <v>219233</v>
      </c>
      <c r="F17" s="267">
        <v>117610</v>
      </c>
      <c r="G17" s="50">
        <v>141935</v>
      </c>
      <c r="H17" s="48">
        <v>10690</v>
      </c>
      <c r="I17" s="201">
        <v>21597</v>
      </c>
      <c r="J17" s="149">
        <f>SUM(B17:I17)</f>
        <v>597109</v>
      </c>
      <c r="K17" s="133">
        <f t="shared" si="0"/>
        <v>455174</v>
      </c>
      <c r="L17" s="194">
        <v>309333</v>
      </c>
      <c r="M17" s="7"/>
      <c r="N17" s="57"/>
      <c r="O17" s="55"/>
    </row>
    <row r="18" spans="1:14" ht="12.75">
      <c r="A18" s="305"/>
      <c r="B18" s="8"/>
      <c r="C18" s="185"/>
      <c r="D18" s="185"/>
      <c r="E18" s="186"/>
      <c r="F18" s="185"/>
      <c r="G18" s="185"/>
      <c r="H18" s="18"/>
      <c r="I18" s="201"/>
      <c r="J18" s="149"/>
      <c r="K18" s="133"/>
      <c r="L18" s="76"/>
      <c r="N18" s="55"/>
    </row>
    <row r="19" spans="1:12" ht="12.75">
      <c r="A19" s="306" t="s">
        <v>14</v>
      </c>
      <c r="B19" s="8"/>
      <c r="C19" s="18"/>
      <c r="D19" s="18"/>
      <c r="E19" s="47"/>
      <c r="F19" s="18"/>
      <c r="G19" s="18"/>
      <c r="H19" s="18"/>
      <c r="I19" s="201"/>
      <c r="J19" s="149"/>
      <c r="K19" s="133"/>
      <c r="L19" s="76"/>
    </row>
    <row r="20" spans="1:15" ht="12.75">
      <c r="A20" s="293">
        <f>+A16+2</f>
        <v>2007</v>
      </c>
      <c r="B20" s="50">
        <v>84000</v>
      </c>
      <c r="C20" s="48">
        <v>235</v>
      </c>
      <c r="D20" s="48">
        <v>2100</v>
      </c>
      <c r="E20" s="267">
        <f>E17*0.97</f>
        <v>212656.00999999998</v>
      </c>
      <c r="F20" s="267">
        <f>F17*0.983</f>
        <v>115610.63</v>
      </c>
      <c r="G20" s="50">
        <f>G17*0.9999</f>
        <v>141920.8065</v>
      </c>
      <c r="H20" s="48">
        <f>H17*1.1</f>
        <v>11759.000000000002</v>
      </c>
      <c r="I20" s="201">
        <f>I17*1.014</f>
        <v>21899.358</v>
      </c>
      <c r="J20" s="149">
        <f aca="true" t="shared" si="1" ref="J20:J28">SUM(B20:I20)</f>
        <v>590180.8045000001</v>
      </c>
      <c r="K20" s="133">
        <f aca="true" t="shared" si="2" ref="K20:K32">J20-G20</f>
        <v>448259.9980000001</v>
      </c>
      <c r="L20" s="194">
        <f>L17*0.999</f>
        <v>309023.667</v>
      </c>
      <c r="M20" s="7"/>
      <c r="N20" s="57"/>
      <c r="O20" s="55"/>
    </row>
    <row r="21" spans="1:15" ht="12.75">
      <c r="A21" s="293">
        <f>+A20+1</f>
        <v>2008</v>
      </c>
      <c r="B21" s="50">
        <v>83500</v>
      </c>
      <c r="C21" s="48">
        <v>235</v>
      </c>
      <c r="D21" s="48">
        <v>4200</v>
      </c>
      <c r="E21" s="267">
        <f>E20*0.975</f>
        <v>207339.60974999997</v>
      </c>
      <c r="F21" s="267">
        <f>F20*0.985</f>
        <v>113876.47055</v>
      </c>
      <c r="G21" s="50">
        <f>G20*1.001</f>
        <v>142062.7273065</v>
      </c>
      <c r="H21" s="48">
        <f>H20*1.06</f>
        <v>12464.540000000003</v>
      </c>
      <c r="I21" s="201">
        <f>I20*1.01</f>
        <v>22118.35158</v>
      </c>
      <c r="J21" s="149">
        <f t="shared" si="1"/>
        <v>585796.6991864999</v>
      </c>
      <c r="K21" s="133">
        <f t="shared" si="2"/>
        <v>443733.97187999997</v>
      </c>
      <c r="L21" s="194">
        <f>L20*1.003</f>
        <v>309950.73800099996</v>
      </c>
      <c r="M21" s="7"/>
      <c r="N21" s="57"/>
      <c r="O21" s="55"/>
    </row>
    <row r="22" spans="1:15" ht="12.75">
      <c r="A22" s="293">
        <f>+A21+1</f>
        <v>2009</v>
      </c>
      <c r="B22" s="50">
        <v>84300</v>
      </c>
      <c r="C22" s="48">
        <v>235</v>
      </c>
      <c r="D22" s="48">
        <v>6500</v>
      </c>
      <c r="E22" s="267">
        <f>E21*0.99</f>
        <v>205266.21365249998</v>
      </c>
      <c r="F22" s="267">
        <f>F21*0.99</f>
        <v>112737.7058445</v>
      </c>
      <c r="G22" s="50">
        <f>G21*1.001</f>
        <v>142204.79003380646</v>
      </c>
      <c r="H22" s="48">
        <f>H21*1.05</f>
        <v>13087.767000000003</v>
      </c>
      <c r="I22" s="201">
        <f>I21*1.009</f>
        <v>22317.416744219998</v>
      </c>
      <c r="J22" s="149">
        <f t="shared" si="1"/>
        <v>586648.8932750263</v>
      </c>
      <c r="K22" s="133">
        <f t="shared" si="2"/>
        <v>444444.1032412199</v>
      </c>
      <c r="L22" s="194">
        <f>L21*1.004</f>
        <v>311190.540953004</v>
      </c>
      <c r="M22" s="7"/>
      <c r="N22" s="57"/>
      <c r="O22" s="55"/>
    </row>
    <row r="23" spans="1:14" ht="12.75">
      <c r="A23" s="293">
        <f>+A22+1</f>
        <v>2010</v>
      </c>
      <c r="B23" s="50">
        <f>B22*1.019</f>
        <v>85901.7</v>
      </c>
      <c r="C23" s="48">
        <v>235</v>
      </c>
      <c r="D23" s="48">
        <v>8500</v>
      </c>
      <c r="E23" s="267">
        <f>E22*1.003</f>
        <v>205882.01229345746</v>
      </c>
      <c r="F23" s="267">
        <f>F22*1.01</f>
        <v>113865.082902945</v>
      </c>
      <c r="G23" s="50">
        <f>G22*1.001</f>
        <v>142346.99482384024</v>
      </c>
      <c r="H23" s="48">
        <f>H22*1.04</f>
        <v>13611.277680000005</v>
      </c>
      <c r="I23" s="201">
        <f>I22*1.007</f>
        <v>22473.638661429537</v>
      </c>
      <c r="J23" s="149">
        <f t="shared" si="1"/>
        <v>592815.7063616723</v>
      </c>
      <c r="K23" s="133">
        <f t="shared" si="2"/>
        <v>450468.71153783204</v>
      </c>
      <c r="L23" s="194">
        <f>L22*1.01</f>
        <v>314302.446362534</v>
      </c>
      <c r="M23" s="7"/>
      <c r="N23" s="57"/>
    </row>
    <row r="24" spans="1:15" ht="12.75">
      <c r="A24" s="293"/>
      <c r="B24" s="50"/>
      <c r="C24" s="48"/>
      <c r="D24" s="48"/>
      <c r="E24" s="267"/>
      <c r="F24" s="267"/>
      <c r="G24" s="50"/>
      <c r="H24" s="48"/>
      <c r="I24" s="201"/>
      <c r="J24" s="149"/>
      <c r="K24" s="133"/>
      <c r="L24" s="194"/>
      <c r="M24" s="7"/>
      <c r="N24" s="239"/>
      <c r="O24" s="55"/>
    </row>
    <row r="25" spans="1:15" ht="12.75">
      <c r="A25" s="293">
        <f>+A23+1</f>
        <v>2011</v>
      </c>
      <c r="B25" s="50">
        <f>B23*1.02</f>
        <v>87619.734</v>
      </c>
      <c r="C25" s="48">
        <v>235</v>
      </c>
      <c r="D25" s="48">
        <v>10200</v>
      </c>
      <c r="E25" s="267">
        <f>E23*1.003</f>
        <v>206499.6583303378</v>
      </c>
      <c r="F25" s="267">
        <f>F23*1.01</f>
        <v>115003.73373197444</v>
      </c>
      <c r="G25" s="50">
        <f>G23*1.001</f>
        <v>142489.34181866408</v>
      </c>
      <c r="H25" s="48">
        <f>H23*1.03</f>
        <v>14019.616010400005</v>
      </c>
      <c r="I25" s="201">
        <f>I23*1.005</f>
        <v>22586.006854736683</v>
      </c>
      <c r="J25" s="149">
        <f t="shared" si="1"/>
        <v>598653.090746113</v>
      </c>
      <c r="K25" s="133">
        <f t="shared" si="2"/>
        <v>456163.7489274489</v>
      </c>
      <c r="L25" s="194">
        <f>L23*1.01</f>
        <v>317445.47082615935</v>
      </c>
      <c r="M25" s="7"/>
      <c r="N25" s="57"/>
      <c r="O25" s="55"/>
    </row>
    <row r="26" spans="1:15" ht="12.75">
      <c r="A26" s="293">
        <f>+A25+1</f>
        <v>2012</v>
      </c>
      <c r="B26" s="50">
        <f>B25*1.02</f>
        <v>89372.12868</v>
      </c>
      <c r="C26" s="48">
        <v>235</v>
      </c>
      <c r="D26" s="48">
        <v>11000</v>
      </c>
      <c r="E26" s="267">
        <f>E25*1.003</f>
        <v>207119.15730532882</v>
      </c>
      <c r="F26" s="267">
        <f>F25*1.015</f>
        <v>116728.78973795405</v>
      </c>
      <c r="G26" s="50">
        <f>G25*1.001</f>
        <v>142631.83116048272</v>
      </c>
      <c r="H26" s="48">
        <f>H25*1.02</f>
        <v>14300.008330608005</v>
      </c>
      <c r="I26" s="201">
        <f>I25*1.003</f>
        <v>22653.76487530089</v>
      </c>
      <c r="J26" s="149">
        <f t="shared" si="1"/>
        <v>604040.6800896745</v>
      </c>
      <c r="K26" s="133">
        <f t="shared" si="2"/>
        <v>461408.8489291918</v>
      </c>
      <c r="L26" s="194">
        <f>L25*1.014</f>
        <v>321889.7074177256</v>
      </c>
      <c r="M26" s="7"/>
      <c r="N26" s="57"/>
      <c r="O26" s="55"/>
    </row>
    <row r="27" spans="1:15" ht="12.75">
      <c r="A27" s="293">
        <f>+A26+1</f>
        <v>2013</v>
      </c>
      <c r="B27" s="50">
        <f>B26*1.018</f>
        <v>90980.82699624</v>
      </c>
      <c r="C27" s="48">
        <v>235</v>
      </c>
      <c r="D27" s="48">
        <f>D26*1.05</f>
        <v>11550</v>
      </c>
      <c r="E27" s="267">
        <f>E26*1.004</f>
        <v>207947.63393455013</v>
      </c>
      <c r="F27" s="267">
        <f>F26*1.015</f>
        <v>118479.72158402335</v>
      </c>
      <c r="G27" s="50">
        <f>G26*1.002</f>
        <v>142917.0948228037</v>
      </c>
      <c r="H27" s="48">
        <f>H26*1.02</f>
        <v>14586.008497220166</v>
      </c>
      <c r="I27" s="201">
        <f>I26*1.001</f>
        <v>22676.41864017619</v>
      </c>
      <c r="J27" s="149">
        <f t="shared" si="1"/>
        <v>609372.7044750135</v>
      </c>
      <c r="K27" s="133">
        <f t="shared" si="2"/>
        <v>466455.60965220985</v>
      </c>
      <c r="L27" s="194">
        <f>L26*1.015</f>
        <v>326718.05302899145</v>
      </c>
      <c r="M27" s="7"/>
      <c r="N27" s="57"/>
      <c r="O27" s="55"/>
    </row>
    <row r="28" spans="1:15" ht="12.75">
      <c r="A28" s="293">
        <f>+A27+1</f>
        <v>2014</v>
      </c>
      <c r="B28" s="50">
        <f>B27*1.016</f>
        <v>92436.52022817984</v>
      </c>
      <c r="C28" s="48">
        <v>235</v>
      </c>
      <c r="D28" s="48">
        <f>D27*1.05</f>
        <v>12127.5</v>
      </c>
      <c r="E28" s="267">
        <f>E27*1.005</f>
        <v>208987.37210422286</v>
      </c>
      <c r="F28" s="267">
        <f>F27*1.015</f>
        <v>120256.9174077837</v>
      </c>
      <c r="G28" s="50">
        <f>G27*1.002</f>
        <v>143202.92901244928</v>
      </c>
      <c r="H28" s="48">
        <f>H27*1.02</f>
        <v>14877.728667164569</v>
      </c>
      <c r="I28" s="201">
        <f>I27*1.001</f>
        <v>22699.095058816365</v>
      </c>
      <c r="J28" s="149">
        <f t="shared" si="1"/>
        <v>614823.0624786166</v>
      </c>
      <c r="K28" s="133">
        <f t="shared" si="2"/>
        <v>471620.1334661673</v>
      </c>
      <c r="L28" s="194">
        <f>L27*1.01</f>
        <v>329985.2335592814</v>
      </c>
      <c r="M28" s="7"/>
      <c r="N28" s="57"/>
      <c r="O28" s="55"/>
    </row>
    <row r="29" spans="1:15" ht="12.75">
      <c r="A29" s="293">
        <f>+A28+1</f>
        <v>2015</v>
      </c>
      <c r="B29" s="50">
        <f>B28*1.015</f>
        <v>93823.06803160252</v>
      </c>
      <c r="C29" s="48">
        <v>235</v>
      </c>
      <c r="D29" s="48">
        <f>D28*1.05</f>
        <v>12733.875</v>
      </c>
      <c r="E29" s="267">
        <f>E28*1.006</f>
        <v>210241.2963368482</v>
      </c>
      <c r="F29" s="267">
        <f>F28*1.015</f>
        <v>122060.77116890044</v>
      </c>
      <c r="G29" s="50">
        <f>G28*1.002</f>
        <v>143489.33487047418</v>
      </c>
      <c r="H29" s="48">
        <f>H28*1.02</f>
        <v>15175.28324050786</v>
      </c>
      <c r="I29" s="201">
        <f>I28*1.001</f>
        <v>22721.79415387518</v>
      </c>
      <c r="J29" s="149">
        <f>SUM(B29:I29)</f>
        <v>620480.4228022083</v>
      </c>
      <c r="K29" s="133">
        <f t="shared" si="2"/>
        <v>476991.08793173416</v>
      </c>
      <c r="L29" s="194">
        <f>L28*1.01</f>
        <v>333285.0858948742</v>
      </c>
      <c r="M29" s="7"/>
      <c r="N29" s="57"/>
      <c r="O29" s="55"/>
    </row>
    <row r="30" spans="1:15" ht="12.75">
      <c r="A30" s="293"/>
      <c r="B30" s="50"/>
      <c r="C30" s="48"/>
      <c r="D30" s="48"/>
      <c r="E30" s="267"/>
      <c r="F30" s="267"/>
      <c r="G30" s="48"/>
      <c r="H30" s="48"/>
      <c r="I30" s="201"/>
      <c r="J30" s="149"/>
      <c r="K30" s="133"/>
      <c r="L30" s="194"/>
      <c r="M30" s="7"/>
      <c r="N30" s="239"/>
      <c r="O30" s="55"/>
    </row>
    <row r="31" spans="1:15" ht="12.75">
      <c r="A31" s="293">
        <f>+A29+1</f>
        <v>2016</v>
      </c>
      <c r="B31" s="50">
        <f>B29*1.014</f>
        <v>95136.59098404496</v>
      </c>
      <c r="C31" s="48">
        <v>235</v>
      </c>
      <c r="D31" s="48">
        <f>D29*1.05</f>
        <v>13370.56875</v>
      </c>
      <c r="E31" s="267">
        <f>E29*1.007</f>
        <v>211712.98541120611</v>
      </c>
      <c r="F31" s="267">
        <f>F29*1.014</f>
        <v>123769.62196526505</v>
      </c>
      <c r="G31" s="48">
        <f>G29*1.003</f>
        <v>143919.8028750856</v>
      </c>
      <c r="H31" s="48">
        <f>H29*1.015</f>
        <v>15402.912489115477</v>
      </c>
      <c r="I31" s="201">
        <f>I29*1.001</f>
        <v>22744.515948029053</v>
      </c>
      <c r="J31" s="149">
        <f>SUM(B31:I31)</f>
        <v>626291.9984227462</v>
      </c>
      <c r="K31" s="133">
        <f t="shared" si="2"/>
        <v>482372.1955476606</v>
      </c>
      <c r="L31" s="194">
        <f>L29*1.01</f>
        <v>336617.9367538229</v>
      </c>
      <c r="M31" s="7"/>
      <c r="N31" s="57"/>
      <c r="O31" s="55"/>
    </row>
    <row r="32" spans="1:15" ht="12.75">
      <c r="A32" s="293">
        <f>+A31+1</f>
        <v>2017</v>
      </c>
      <c r="B32" s="50">
        <f>B31*1.013</f>
        <v>96373.36666683754</v>
      </c>
      <c r="C32" s="48">
        <v>235</v>
      </c>
      <c r="D32" s="48">
        <f>D31*1.05</f>
        <v>14039.097187500001</v>
      </c>
      <c r="E32" s="267">
        <f>E31*1.008</f>
        <v>213406.68929449577</v>
      </c>
      <c r="F32" s="267">
        <f>F31*1.014</f>
        <v>125502.39667277876</v>
      </c>
      <c r="G32" s="48">
        <f>G31*1.003</f>
        <v>144351.56228371084</v>
      </c>
      <c r="H32" s="48">
        <f>H31*1.015</f>
        <v>15633.956176452208</v>
      </c>
      <c r="I32" s="201">
        <f>I31*1.001</f>
        <v>22767.26046397708</v>
      </c>
      <c r="J32" s="149">
        <f>SUM(B32:I32)</f>
        <v>632309.3287457522</v>
      </c>
      <c r="K32" s="133">
        <f t="shared" si="2"/>
        <v>487957.7664620414</v>
      </c>
      <c r="L32" s="194">
        <f>L31*1.01</f>
        <v>339984.11612136115</v>
      </c>
      <c r="M32" s="7"/>
      <c r="N32" s="57"/>
      <c r="O32" s="55"/>
    </row>
    <row r="33" spans="1:15" ht="12.75">
      <c r="A33" s="293">
        <f>+A32+1</f>
        <v>2018</v>
      </c>
      <c r="B33" s="50">
        <f>B32*1.013</f>
        <v>97626.22043350642</v>
      </c>
      <c r="C33" s="48">
        <v>235</v>
      </c>
      <c r="D33" s="48">
        <f>D32*1.05</f>
        <v>14741.052046875002</v>
      </c>
      <c r="E33" s="267">
        <f>E32*1.009</f>
        <v>215327.3494981462</v>
      </c>
      <c r="F33" s="267">
        <f>F32*1.014</f>
        <v>127259.43022619767</v>
      </c>
      <c r="G33" s="48">
        <f>G32*1.003</f>
        <v>144784.61697056197</v>
      </c>
      <c r="H33" s="48">
        <f>H32*1.015</f>
        <v>15868.465519098989</v>
      </c>
      <c r="I33" s="201">
        <f>I32*1.001</f>
        <v>22790.027724441054</v>
      </c>
      <c r="J33" s="149">
        <f>SUM(B33:I33)</f>
        <v>638632.1624188273</v>
      </c>
      <c r="K33" s="133">
        <f>J33-G33</f>
        <v>493847.54544826533</v>
      </c>
      <c r="L33" s="194">
        <f>L32*1.01</f>
        <v>343383.9572825748</v>
      </c>
      <c r="M33" s="7"/>
      <c r="N33" s="57"/>
      <c r="O33" s="55"/>
    </row>
    <row r="34" spans="1:15" ht="12.75">
      <c r="A34" s="293">
        <v>2019</v>
      </c>
      <c r="B34" s="48">
        <f>B33*1.013</f>
        <v>98895.361299142</v>
      </c>
      <c r="C34" s="48">
        <v>235</v>
      </c>
      <c r="D34" s="48">
        <f>D33*1.05</f>
        <v>15478.104649218752</v>
      </c>
      <c r="E34" s="267">
        <f>E33*1.01</f>
        <v>217480.62299312768</v>
      </c>
      <c r="F34" s="267">
        <f>F33*1.013</f>
        <v>128913.80281913823</v>
      </c>
      <c r="G34" s="48">
        <f>G33*1.003</f>
        <v>145218.97082147363</v>
      </c>
      <c r="H34" s="48">
        <f>H33*1.015</f>
        <v>16106.492501885472</v>
      </c>
      <c r="I34" s="201">
        <f>I33*1.001</f>
        <v>22812.81775216549</v>
      </c>
      <c r="J34" s="149">
        <f>SUM(B34:I34)</f>
        <v>645141.1728361513</v>
      </c>
      <c r="K34" s="133">
        <f>J34-G34</f>
        <v>499922.2020146777</v>
      </c>
      <c r="L34" s="194">
        <f>L33*1.01</f>
        <v>346817.79685540055</v>
      </c>
      <c r="M34" s="7"/>
      <c r="N34" s="57"/>
      <c r="O34" s="55"/>
    </row>
    <row r="35" spans="1:14" ht="12.75">
      <c r="A35" s="307">
        <v>2020</v>
      </c>
      <c r="B35" s="48">
        <f>B34*1.013</f>
        <v>100181.00099603082</v>
      </c>
      <c r="C35" s="48">
        <v>235</v>
      </c>
      <c r="D35" s="48">
        <f>D34*1.05</f>
        <v>16252.00988167969</v>
      </c>
      <c r="E35" s="48">
        <f>+E34*1.01</f>
        <v>219655.42922305895</v>
      </c>
      <c r="F35" s="48">
        <v>130590</v>
      </c>
      <c r="G35" s="48">
        <f>G34*1.003</f>
        <v>145654.62773393805</v>
      </c>
      <c r="H35" s="48">
        <f>H34*1.015</f>
        <v>16348.089889413752</v>
      </c>
      <c r="I35" s="201">
        <f>I34*1.001</f>
        <v>22835.630569917652</v>
      </c>
      <c r="J35" s="149">
        <f>SUM(B35:I35)</f>
        <v>651751.7882940389</v>
      </c>
      <c r="K35" s="133">
        <f>J35-G35</f>
        <v>506097.1605601008</v>
      </c>
      <c r="L35" s="194">
        <f>L34*1.01</f>
        <v>350285.9748239546</v>
      </c>
      <c r="N35" s="57"/>
    </row>
    <row r="36" spans="1:12" ht="12.75">
      <c r="A36" s="307"/>
      <c r="B36" s="48"/>
      <c r="C36" s="48"/>
      <c r="D36" s="48"/>
      <c r="E36" s="268"/>
      <c r="F36" s="195"/>
      <c r="G36" s="48"/>
      <c r="H36" s="50"/>
      <c r="I36" s="201"/>
      <c r="J36" s="149"/>
      <c r="K36" s="133"/>
      <c r="L36" s="194"/>
    </row>
    <row r="37" spans="1:12" ht="12.75">
      <c r="A37" s="157" t="s">
        <v>83</v>
      </c>
      <c r="B37" s="48"/>
      <c r="C37" s="48"/>
      <c r="D37" s="17"/>
      <c r="E37" s="48"/>
      <c r="F37" s="48"/>
      <c r="G37" s="17"/>
      <c r="H37" s="48"/>
      <c r="I37" s="168"/>
      <c r="J37" s="269"/>
      <c r="K37" s="50"/>
      <c r="L37" s="269"/>
    </row>
    <row r="38" spans="1:12" ht="12.75">
      <c r="A38" s="157" t="s">
        <v>78</v>
      </c>
      <c r="B38" s="250">
        <f>RATE(6,,-B11,B17)</f>
        <v>-0.025527974610030448</v>
      </c>
      <c r="C38" s="250">
        <f>RATE(6,,-C11,C17)</f>
        <v>-0.05705470617880305</v>
      </c>
      <c r="D38" s="17"/>
      <c r="E38" s="250">
        <f aca="true" t="shared" si="3" ref="E38:L38">RATE(6,,-E11,E17)</f>
        <v>-0.022664286174917697</v>
      </c>
      <c r="F38" s="250">
        <f t="shared" si="3"/>
        <v>-0.005896276088121404</v>
      </c>
      <c r="G38" s="250">
        <f t="shared" si="3"/>
        <v>0.0003962700706563149</v>
      </c>
      <c r="H38" s="250">
        <f t="shared" si="3"/>
        <v>0.05449911094297006</v>
      </c>
      <c r="I38" s="270">
        <f t="shared" si="3"/>
        <v>0.14897638247103165</v>
      </c>
      <c r="J38" s="271">
        <f t="shared" si="3"/>
        <v>-0.00932335220023531</v>
      </c>
      <c r="K38" s="271">
        <f t="shared" si="3"/>
        <v>-0.012222835322000091</v>
      </c>
      <c r="L38" s="271">
        <f t="shared" si="3"/>
        <v>-0.0030738796335044866</v>
      </c>
    </row>
    <row r="39" spans="1:12" ht="12.75">
      <c r="A39" s="34" t="s">
        <v>79</v>
      </c>
      <c r="B39" s="250">
        <f aca="true" t="shared" si="4" ref="B39:L39">RATE(4,,-B17,B23)</f>
        <v>0.0030371220590704054</v>
      </c>
      <c r="C39" s="250">
        <f t="shared" si="4"/>
        <v>-0.00421061982452897</v>
      </c>
      <c r="D39" s="250">
        <f t="shared" si="4"/>
        <v>0.7345560311346403</v>
      </c>
      <c r="E39" s="250">
        <f t="shared" si="4"/>
        <v>-0.015585234007816516</v>
      </c>
      <c r="F39" s="250">
        <f t="shared" si="4"/>
        <v>-0.00805731482855668</v>
      </c>
      <c r="G39" s="250">
        <f t="shared" si="4"/>
        <v>0.0007248866031253232</v>
      </c>
      <c r="H39" s="250">
        <f t="shared" si="4"/>
        <v>0.062258701244029886</v>
      </c>
      <c r="I39" s="270">
        <f t="shared" si="4"/>
        <v>0.009996785103756043</v>
      </c>
      <c r="J39" s="271">
        <f t="shared" si="4"/>
        <v>-0.0018024005837843197</v>
      </c>
      <c r="K39" s="272">
        <f t="shared" si="4"/>
        <v>-0.0025944140605475676</v>
      </c>
      <c r="L39" s="271">
        <f t="shared" si="4"/>
        <v>0.003992288228000679</v>
      </c>
    </row>
    <row r="40" spans="1:12" ht="12.75">
      <c r="A40" s="34" t="s">
        <v>80</v>
      </c>
      <c r="B40" s="250">
        <f aca="true" t="shared" si="5" ref="B40:L40">RATE(10,,-B23,B35)</f>
        <v>0.015496336105243504</v>
      </c>
      <c r="C40" s="250">
        <f t="shared" si="5"/>
        <v>6.743024362455146E-16</v>
      </c>
      <c r="D40" s="250">
        <f t="shared" si="5"/>
        <v>0.06696166332125426</v>
      </c>
      <c r="E40" s="250">
        <f t="shared" si="5"/>
        <v>0.006496696461463185</v>
      </c>
      <c r="F40" s="250">
        <f t="shared" si="5"/>
        <v>0.013799179780738146</v>
      </c>
      <c r="G40" s="250">
        <f t="shared" si="5"/>
        <v>0.0022996956081861677</v>
      </c>
      <c r="H40" s="250">
        <f t="shared" si="5"/>
        <v>0.0184901009459226</v>
      </c>
      <c r="I40" s="270">
        <f t="shared" si="5"/>
        <v>0.0015991826465102889</v>
      </c>
      <c r="J40" s="271">
        <f t="shared" si="5"/>
        <v>0.009523081481332086</v>
      </c>
      <c r="K40" s="272">
        <f t="shared" si="5"/>
        <v>0.011712059898519544</v>
      </c>
      <c r="L40" s="271">
        <f t="shared" si="5"/>
        <v>0.010898375758891764</v>
      </c>
    </row>
    <row r="41" spans="1:14" ht="13.5" thickBot="1">
      <c r="A41" s="252" t="s">
        <v>81</v>
      </c>
      <c r="B41" s="254">
        <f aca="true" t="shared" si="6" ref="B41:L41">RATE(14,,-B17,B35)</f>
        <v>0.011920852101285689</v>
      </c>
      <c r="C41" s="254">
        <f t="shared" si="6"/>
        <v>-0.0012048477047402026</v>
      </c>
      <c r="D41" s="254">
        <f t="shared" si="6"/>
        <v>0.22587396148317046</v>
      </c>
      <c r="E41" s="254">
        <f t="shared" si="6"/>
        <v>0.00013750920626931216</v>
      </c>
      <c r="F41" s="254">
        <f t="shared" si="6"/>
        <v>0.007505783831406378</v>
      </c>
      <c r="G41" s="254">
        <f t="shared" si="6"/>
        <v>0.001849497468262252</v>
      </c>
      <c r="H41" s="254">
        <f t="shared" si="6"/>
        <v>0.03080806545259968</v>
      </c>
      <c r="I41" s="273">
        <f t="shared" si="6"/>
        <v>0.003991347458576067</v>
      </c>
      <c r="J41" s="274">
        <f t="shared" si="6"/>
        <v>0.006274180754308642</v>
      </c>
      <c r="K41" s="275">
        <f t="shared" si="6"/>
        <v>0.007603684036527961</v>
      </c>
      <c r="L41" s="274">
        <f t="shared" si="6"/>
        <v>0.008920374739901923</v>
      </c>
      <c r="N41" s="52"/>
    </row>
    <row r="42" spans="1:12" ht="12.75">
      <c r="A42" s="157"/>
      <c r="B42" s="36"/>
      <c r="C42" s="36"/>
      <c r="D42" s="36"/>
      <c r="E42" s="36"/>
      <c r="F42" s="36"/>
      <c r="G42" s="36"/>
      <c r="H42" s="36"/>
      <c r="I42" s="36"/>
      <c r="J42" s="37"/>
      <c r="K42" s="37"/>
      <c r="L42" s="36"/>
    </row>
    <row r="43" spans="1:12" ht="12.75">
      <c r="A43" s="51" t="s">
        <v>57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 s="36"/>
    </row>
    <row r="44" spans="1:12" ht="12.75">
      <c r="A44" t="s">
        <v>30</v>
      </c>
      <c r="B44" s="7"/>
      <c r="C44" s="22"/>
      <c r="D44" s="22"/>
      <c r="E44" s="22"/>
      <c r="F44" s="22"/>
      <c r="G44" s="22"/>
      <c r="H44" s="54"/>
      <c r="I44" s="22"/>
      <c r="J44" s="22"/>
      <c r="K44" s="22"/>
      <c r="L44" s="22"/>
    </row>
    <row r="45" spans="1:12" ht="12.75">
      <c r="A45" t="s">
        <v>56</v>
      </c>
      <c r="B45" s="7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2.75">
      <c r="A46" t="s">
        <v>45</v>
      </c>
      <c r="B46" s="7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2.75">
      <c r="A47" s="23" t="s">
        <v>36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</sheetData>
  <printOptions horizontalCentered="1"/>
  <pageMargins left="0.5" right="0.5" top="0.75" bottom="0.9" header="0.5" footer="0.5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workbookViewId="0" topLeftCell="A5">
      <selection activeCell="D42" sqref="D42"/>
    </sheetView>
  </sheetViews>
  <sheetFormatPr defaultColWidth="9.140625" defaultRowHeight="12.75"/>
  <cols>
    <col min="1" max="1" width="20.421875" style="0" customWidth="1"/>
    <col min="2" max="11" width="10.7109375" style="0" customWidth="1"/>
    <col min="12" max="12" width="10.7109375" style="27" customWidth="1"/>
  </cols>
  <sheetData>
    <row r="1" spans="1:12" ht="18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>
      <c r="A3" s="20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5" t="s">
        <v>32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1" ht="12.75">
      <c r="A5" s="6"/>
      <c r="B5" s="2"/>
      <c r="C5" s="2"/>
      <c r="D5" s="2"/>
      <c r="E5" s="2"/>
      <c r="F5" s="2"/>
      <c r="G5" s="2"/>
      <c r="H5" s="2"/>
      <c r="I5" s="2"/>
      <c r="J5" s="2"/>
      <c r="K5" s="2"/>
    </row>
    <row r="6" ht="13.5" thickBot="1">
      <c r="K6" s="10"/>
    </row>
    <row r="7" spans="1:12" ht="13.5" thickBot="1">
      <c r="A7" s="308"/>
      <c r="B7" s="84" t="s">
        <v>1</v>
      </c>
      <c r="C7" s="67"/>
      <c r="D7" s="84"/>
      <c r="E7" s="67"/>
      <c r="F7" s="78"/>
      <c r="G7" s="80"/>
      <c r="H7" s="174"/>
      <c r="I7" s="276"/>
      <c r="J7" s="322"/>
      <c r="K7" s="323"/>
      <c r="L7" s="324"/>
    </row>
    <row r="8" spans="1:12" ht="12.75">
      <c r="A8" s="298"/>
      <c r="B8" s="65" t="s">
        <v>33</v>
      </c>
      <c r="C8" s="86"/>
      <c r="D8" s="310" t="s">
        <v>9</v>
      </c>
      <c r="E8" s="321"/>
      <c r="F8" s="81"/>
      <c r="G8" s="77"/>
      <c r="H8" s="175" t="s">
        <v>7</v>
      </c>
      <c r="I8" s="145"/>
      <c r="J8" s="318" t="s">
        <v>39</v>
      </c>
      <c r="K8" s="319"/>
      <c r="L8" s="320"/>
    </row>
    <row r="9" spans="1:12" ht="12.75">
      <c r="A9" s="298" t="s">
        <v>17</v>
      </c>
      <c r="B9" s="63" t="s">
        <v>4</v>
      </c>
      <c r="C9" s="144" t="s">
        <v>5</v>
      </c>
      <c r="D9" s="145" t="s">
        <v>43</v>
      </c>
      <c r="E9" s="173" t="s">
        <v>43</v>
      </c>
      <c r="F9" s="68" t="s">
        <v>6</v>
      </c>
      <c r="G9" s="82"/>
      <c r="H9" s="175" t="s">
        <v>55</v>
      </c>
      <c r="I9" s="145"/>
      <c r="J9" s="143"/>
      <c r="K9" s="41" t="s">
        <v>41</v>
      </c>
      <c r="L9" s="69"/>
    </row>
    <row r="10" spans="1:12" ht="12.75">
      <c r="A10" s="309" t="s">
        <v>18</v>
      </c>
      <c r="B10" s="70" t="s">
        <v>8</v>
      </c>
      <c r="C10" s="82" t="s">
        <v>8</v>
      </c>
      <c r="D10" s="142" t="s">
        <v>42</v>
      </c>
      <c r="E10" s="88" t="s">
        <v>41</v>
      </c>
      <c r="F10" s="68" t="s">
        <v>2</v>
      </c>
      <c r="G10" s="88" t="s">
        <v>9</v>
      </c>
      <c r="H10" s="176" t="s">
        <v>11</v>
      </c>
      <c r="I10" s="142" t="s">
        <v>52</v>
      </c>
      <c r="J10" s="142" t="s">
        <v>40</v>
      </c>
      <c r="K10" s="14" t="s">
        <v>34</v>
      </c>
      <c r="L10" s="135" t="s">
        <v>12</v>
      </c>
    </row>
    <row r="11" spans="1:12" ht="12.75">
      <c r="A11" s="289" t="s">
        <v>35</v>
      </c>
      <c r="B11" s="138"/>
      <c r="C11" s="139"/>
      <c r="D11" s="138"/>
      <c r="E11" s="139"/>
      <c r="F11" s="138"/>
      <c r="G11" s="139"/>
      <c r="H11" s="177"/>
      <c r="I11" s="277"/>
      <c r="J11" s="138"/>
      <c r="K11" s="24"/>
      <c r="L11" s="136"/>
    </row>
    <row r="12" spans="1:12" ht="12.75">
      <c r="A12" s="290">
        <v>2000</v>
      </c>
      <c r="B12" s="140">
        <v>200.8</v>
      </c>
      <c r="C12" s="141">
        <v>108.4</v>
      </c>
      <c r="D12" s="140">
        <v>176.3</v>
      </c>
      <c r="E12" s="231">
        <v>736.7</v>
      </c>
      <c r="F12" s="232">
        <v>8.4</v>
      </c>
      <c r="G12" s="141">
        <v>59</v>
      </c>
      <c r="H12" s="204">
        <v>15.2</v>
      </c>
      <c r="I12" s="178" t="s">
        <v>54</v>
      </c>
      <c r="J12" s="140">
        <f aca="true" t="shared" si="0" ref="J12:J17">(B12+C12+F12+H12)</f>
        <v>332.8</v>
      </c>
      <c r="K12" s="42">
        <f>(D12+E12+G12)</f>
        <v>972</v>
      </c>
      <c r="L12" s="137">
        <f>K12+J12</f>
        <v>1304.8</v>
      </c>
    </row>
    <row r="13" spans="1:12" ht="12.75">
      <c r="A13" s="290">
        <v>2001</v>
      </c>
      <c r="B13" s="140">
        <v>180.38410000000002</v>
      </c>
      <c r="C13" s="141">
        <v>76.41159999999999</v>
      </c>
      <c r="D13" s="140">
        <v>149.1093</v>
      </c>
      <c r="E13" s="231">
        <v>726.6652</v>
      </c>
      <c r="F13" s="232">
        <v>7.1574</v>
      </c>
      <c r="G13" s="141">
        <v>42.5664</v>
      </c>
      <c r="H13" s="204">
        <v>15.2724</v>
      </c>
      <c r="I13" s="178" t="s">
        <v>54</v>
      </c>
      <c r="J13" s="140">
        <f t="shared" si="0"/>
        <v>279.2255</v>
      </c>
      <c r="K13" s="42">
        <f aca="true" t="shared" si="1" ref="K13:K18">(D13+E13+G13)</f>
        <v>918.3409</v>
      </c>
      <c r="L13" s="137">
        <f aca="true" t="shared" si="2" ref="L13:L18">K13+J13</f>
        <v>1197.5664000000002</v>
      </c>
    </row>
    <row r="14" spans="1:12" ht="12.75">
      <c r="A14" s="290">
        <v>2002</v>
      </c>
      <c r="B14" s="140">
        <v>177.9425</v>
      </c>
      <c r="C14" s="152">
        <v>74.1574</v>
      </c>
      <c r="D14" s="140">
        <v>152.255</v>
      </c>
      <c r="E14" s="204">
        <v>745.5420000000001</v>
      </c>
      <c r="F14" s="232">
        <v>6.8403</v>
      </c>
      <c r="G14" s="141">
        <v>40.527</v>
      </c>
      <c r="H14" s="204">
        <v>17.754</v>
      </c>
      <c r="I14" s="178" t="s">
        <v>54</v>
      </c>
      <c r="J14" s="140">
        <f t="shared" si="0"/>
        <v>276.6942</v>
      </c>
      <c r="K14" s="42">
        <f t="shared" si="1"/>
        <v>938.3240000000002</v>
      </c>
      <c r="L14" s="137">
        <f t="shared" si="2"/>
        <v>1215.0182000000002</v>
      </c>
    </row>
    <row r="15" spans="1:12" ht="12.75">
      <c r="A15" s="290">
        <v>2003</v>
      </c>
      <c r="B15" s="140">
        <v>181.812</v>
      </c>
      <c r="C15" s="152">
        <v>66.7296</v>
      </c>
      <c r="D15" s="140">
        <v>154.52880000000002</v>
      </c>
      <c r="E15" s="204">
        <v>728.9984000000001</v>
      </c>
      <c r="F15" s="232">
        <v>6.7648</v>
      </c>
      <c r="G15" s="141">
        <v>48.75429999999999</v>
      </c>
      <c r="H15" s="204">
        <v>17.0676</v>
      </c>
      <c r="I15" s="178" t="s">
        <v>54</v>
      </c>
      <c r="J15" s="140">
        <f t="shared" si="0"/>
        <v>272.374</v>
      </c>
      <c r="K15" s="42">
        <f t="shared" si="1"/>
        <v>932.2815</v>
      </c>
      <c r="L15" s="137">
        <f t="shared" si="2"/>
        <v>1204.6555</v>
      </c>
    </row>
    <row r="16" spans="1:14" ht="12.75">
      <c r="A16" s="290">
        <v>2004</v>
      </c>
      <c r="B16" s="140">
        <v>167.4567</v>
      </c>
      <c r="C16" s="141">
        <v>80.127</v>
      </c>
      <c r="D16" s="140">
        <v>167.0453</v>
      </c>
      <c r="E16" s="141">
        <v>1004.8738</v>
      </c>
      <c r="F16" s="140">
        <v>7.8642</v>
      </c>
      <c r="G16" s="141">
        <v>58.984</v>
      </c>
      <c r="H16" s="204">
        <v>17.4504</v>
      </c>
      <c r="I16" s="178" t="s">
        <v>54</v>
      </c>
      <c r="J16" s="140">
        <f t="shared" si="0"/>
        <v>272.8983</v>
      </c>
      <c r="K16" s="42">
        <f t="shared" si="1"/>
        <v>1230.9031</v>
      </c>
      <c r="L16" s="137">
        <f t="shared" si="2"/>
        <v>1503.8014</v>
      </c>
      <c r="N16" s="53"/>
    </row>
    <row r="17" spans="1:15" ht="12.75">
      <c r="A17" s="290">
        <v>2005</v>
      </c>
      <c r="B17" s="202">
        <v>149.75062298850003</v>
      </c>
      <c r="C17" s="137">
        <v>77.63052920000001</v>
      </c>
      <c r="D17" s="202">
        <v>166.536</v>
      </c>
      <c r="E17" s="137">
        <v>1017.086058</v>
      </c>
      <c r="F17" s="202">
        <v>10.373878736999998</v>
      </c>
      <c r="G17" s="137">
        <v>71.68617875999999</v>
      </c>
      <c r="H17" s="203">
        <v>17.68339188</v>
      </c>
      <c r="I17" s="279">
        <v>0.0396</v>
      </c>
      <c r="J17" s="140">
        <f t="shared" si="0"/>
        <v>255.4384228055</v>
      </c>
      <c r="K17" s="42">
        <f t="shared" si="1"/>
        <v>1255.30823676</v>
      </c>
      <c r="L17" s="137">
        <f t="shared" si="2"/>
        <v>1510.7466595655</v>
      </c>
      <c r="N17" s="53"/>
      <c r="O17" s="55"/>
    </row>
    <row r="18" spans="1:14" ht="12.75">
      <c r="A18" s="290" t="s">
        <v>77</v>
      </c>
      <c r="B18" s="202">
        <v>152.39669444386888</v>
      </c>
      <c r="C18" s="137">
        <v>77.86443687832812</v>
      </c>
      <c r="D18" s="202">
        <v>165.294788297103</v>
      </c>
      <c r="E18" s="137">
        <v>1048.6983146378896</v>
      </c>
      <c r="F18" s="202">
        <v>11.701552685531016</v>
      </c>
      <c r="G18" s="137">
        <v>74.77893344687257</v>
      </c>
      <c r="H18" s="203">
        <v>19.57783363137</v>
      </c>
      <c r="I18" s="279">
        <v>0.6536000000000001</v>
      </c>
      <c r="J18" s="140">
        <f>(B18+C18+F18+H18+I18)</f>
        <v>262.194117639098</v>
      </c>
      <c r="K18" s="42">
        <f t="shared" si="1"/>
        <v>1288.772036381865</v>
      </c>
      <c r="L18" s="137">
        <f t="shared" si="2"/>
        <v>1550.9661540209631</v>
      </c>
      <c r="N18" s="53"/>
    </row>
    <row r="19" spans="1:12" ht="12.75">
      <c r="A19" s="298"/>
      <c r="B19" s="140"/>
      <c r="C19" s="152"/>
      <c r="D19" s="140"/>
      <c r="E19" s="204"/>
      <c r="F19" s="205"/>
      <c r="G19" s="206"/>
      <c r="H19" s="207"/>
      <c r="I19" s="280"/>
      <c r="J19" s="140"/>
      <c r="K19" s="42"/>
      <c r="L19" s="137"/>
    </row>
    <row r="20" spans="1:12" ht="12.75">
      <c r="A20" s="299" t="s">
        <v>14</v>
      </c>
      <c r="B20" s="140"/>
      <c r="C20" s="152"/>
      <c r="D20" s="140"/>
      <c r="E20" s="204"/>
      <c r="F20" s="205"/>
      <c r="G20" s="208"/>
      <c r="H20" s="207"/>
      <c r="I20" s="280"/>
      <c r="J20" s="140"/>
      <c r="K20" s="42"/>
      <c r="L20" s="137"/>
    </row>
    <row r="21" spans="1:12" ht="12.75">
      <c r="A21" s="290">
        <v>2007</v>
      </c>
      <c r="B21" s="209">
        <v>155.2842037259924</v>
      </c>
      <c r="C21" s="137">
        <v>78.45487355003586</v>
      </c>
      <c r="D21" s="202">
        <v>166.57866020949996</v>
      </c>
      <c r="E21" s="137">
        <v>1162.3206238793853</v>
      </c>
      <c r="F21" s="202">
        <v>12.956869765912522</v>
      </c>
      <c r="G21" s="137">
        <v>77.40669483194705</v>
      </c>
      <c r="H21" s="203">
        <v>20.651769189617745</v>
      </c>
      <c r="I21" s="279">
        <v>0.9447632769999997</v>
      </c>
      <c r="J21" s="140">
        <f aca="true" t="shared" si="3" ref="J21:J33">(B21+C21+F21+H21+I21)</f>
        <v>268.29247950855853</v>
      </c>
      <c r="K21" s="42">
        <f>(D21+E21+G21)</f>
        <v>1406.3059789208323</v>
      </c>
      <c r="L21" s="137">
        <f>K21+J21</f>
        <v>1674.5984584293908</v>
      </c>
    </row>
    <row r="22" spans="1:12" ht="12.75">
      <c r="A22" s="290">
        <v>2008</v>
      </c>
      <c r="B22" s="209">
        <v>158.42174279502305</v>
      </c>
      <c r="C22" s="137">
        <v>79.05438548779199</v>
      </c>
      <c r="D22" s="202">
        <v>168.110161969288</v>
      </c>
      <c r="E22" s="137">
        <v>1304.421236421798</v>
      </c>
      <c r="F22" s="202">
        <v>14.276260591015989</v>
      </c>
      <c r="G22" s="137">
        <v>79.92850064752191</v>
      </c>
      <c r="H22" s="203">
        <v>21.446483099966922</v>
      </c>
      <c r="I22" s="279">
        <v>1.2035786905149999</v>
      </c>
      <c r="J22" s="140">
        <f t="shared" si="3"/>
        <v>274.40245066431294</v>
      </c>
      <c r="K22" s="42">
        <f>(D22+E22+G22)</f>
        <v>1552.459899038608</v>
      </c>
      <c r="L22" s="137">
        <f>K22+J22</f>
        <v>1826.862349702921</v>
      </c>
    </row>
    <row r="23" spans="1:12" ht="12.75">
      <c r="A23" s="290">
        <v>2009</v>
      </c>
      <c r="B23" s="209">
        <v>161.71002464481248</v>
      </c>
      <c r="C23" s="137">
        <v>79.66312049640936</v>
      </c>
      <c r="D23" s="202">
        <v>169.50994532785927</v>
      </c>
      <c r="E23" s="137">
        <v>1459.9933675992281</v>
      </c>
      <c r="F23" s="202">
        <v>15.559521277946292</v>
      </c>
      <c r="G23" s="137">
        <v>81.91484370679937</v>
      </c>
      <c r="H23" s="203">
        <v>22.471648564447065</v>
      </c>
      <c r="I23" s="279">
        <v>1.4770727418915999</v>
      </c>
      <c r="J23" s="140">
        <f t="shared" si="3"/>
        <v>280.88138772550684</v>
      </c>
      <c r="K23" s="42">
        <f>(D23+E23+G23)</f>
        <v>1711.4181566338866</v>
      </c>
      <c r="L23" s="137">
        <f>K23+J23</f>
        <v>1992.2995443593934</v>
      </c>
    </row>
    <row r="24" spans="1:12" ht="12.75">
      <c r="A24" s="290">
        <v>2010</v>
      </c>
      <c r="B24" s="209">
        <v>165.1536731659315</v>
      </c>
      <c r="C24" s="210">
        <v>79.88181946010893</v>
      </c>
      <c r="D24" s="209">
        <v>168.6220421619835</v>
      </c>
      <c r="E24" s="203">
        <v>1633.2458728902318</v>
      </c>
      <c r="F24" s="202">
        <v>16.854819302517328</v>
      </c>
      <c r="G24" s="137">
        <v>83.76013559399738</v>
      </c>
      <c r="H24" s="203">
        <v>22.87310743954023</v>
      </c>
      <c r="I24" s="279">
        <v>1.751361715007982</v>
      </c>
      <c r="J24" s="140">
        <f t="shared" si="3"/>
        <v>286.51478108310596</v>
      </c>
      <c r="K24" s="42">
        <f>(D24+E24+G24)</f>
        <v>1885.6280506462126</v>
      </c>
      <c r="L24" s="137">
        <f>K24+J24</f>
        <v>2172.1428317293185</v>
      </c>
    </row>
    <row r="25" spans="1:12" ht="12.75">
      <c r="A25" s="290"/>
      <c r="B25" s="209"/>
      <c r="C25" s="137"/>
      <c r="D25" s="202"/>
      <c r="E25" s="137"/>
      <c r="F25" s="202"/>
      <c r="G25" s="137"/>
      <c r="H25" s="203"/>
      <c r="I25" s="279"/>
      <c r="J25" s="140"/>
      <c r="K25" s="42"/>
      <c r="L25" s="137"/>
    </row>
    <row r="26" spans="1:12" ht="12.75">
      <c r="A26" s="290">
        <v>2011</v>
      </c>
      <c r="B26" s="209">
        <v>168.69043595629756</v>
      </c>
      <c r="C26" s="137">
        <v>80.50633020739748</v>
      </c>
      <c r="D26" s="202">
        <v>169.99069937185135</v>
      </c>
      <c r="E26" s="137">
        <v>1826.787326750961</v>
      </c>
      <c r="F26" s="202">
        <v>18.158283736027705</v>
      </c>
      <c r="G26" s="137">
        <v>85.88811057831796</v>
      </c>
      <c r="H26" s="203">
        <v>23.421089378018472</v>
      </c>
      <c r="I26" s="279">
        <v>2.07722113713371</v>
      </c>
      <c r="J26" s="140">
        <f t="shared" si="3"/>
        <v>292.85336041487494</v>
      </c>
      <c r="K26" s="42">
        <f>(D26+E26+G26)</f>
        <v>2082.66613670113</v>
      </c>
      <c r="L26" s="137">
        <f>K26+J26</f>
        <v>2375.5194971160054</v>
      </c>
    </row>
    <row r="27" spans="1:12" ht="12.75">
      <c r="A27" s="290">
        <v>2012</v>
      </c>
      <c r="B27" s="209">
        <v>167.87691464644539</v>
      </c>
      <c r="C27" s="137">
        <v>80.19355437928661</v>
      </c>
      <c r="D27" s="202">
        <v>171.3732201933056</v>
      </c>
      <c r="E27" s="137">
        <v>2013.448857625909</v>
      </c>
      <c r="F27" s="202">
        <v>19.240873085276128</v>
      </c>
      <c r="G27" s="137">
        <v>87.89136395804007</v>
      </c>
      <c r="H27" s="203">
        <v>24.130687563631678</v>
      </c>
      <c r="I27" s="279">
        <v>2.392904086263899</v>
      </c>
      <c r="J27" s="140">
        <f t="shared" si="3"/>
        <v>293.8349337609037</v>
      </c>
      <c r="K27" s="42">
        <f>(D27+E27+G27)</f>
        <v>2272.713441777255</v>
      </c>
      <c r="L27" s="137">
        <f>K27+J27</f>
        <v>2566.548375538159</v>
      </c>
    </row>
    <row r="28" spans="1:12" ht="12.75">
      <c r="A28" s="290">
        <v>2013</v>
      </c>
      <c r="B28" s="209">
        <v>166.99518420617494</v>
      </c>
      <c r="C28" s="210">
        <v>79.88070207267366</v>
      </c>
      <c r="D28" s="209">
        <v>170.26665640083647</v>
      </c>
      <c r="E28" s="203">
        <v>2203.612107626674</v>
      </c>
      <c r="F28" s="202">
        <v>20.248243367033155</v>
      </c>
      <c r="G28" s="137">
        <v>89.89822729262649</v>
      </c>
      <c r="H28" s="203">
        <v>24.447478665860043</v>
      </c>
      <c r="I28" s="279">
        <v>2.689067859517597</v>
      </c>
      <c r="J28" s="140">
        <f t="shared" si="3"/>
        <v>294.26067617125943</v>
      </c>
      <c r="K28" s="42">
        <f>(D28+E28+G28)</f>
        <v>2463.776991320137</v>
      </c>
      <c r="L28" s="137">
        <f>K28+J28</f>
        <v>2758.0376674913964</v>
      </c>
    </row>
    <row r="29" spans="1:12" ht="12.75">
      <c r="A29" s="290">
        <v>2014</v>
      </c>
      <c r="B29" s="209">
        <v>165.94324045734268</v>
      </c>
      <c r="C29" s="137">
        <v>79.5700045937684</v>
      </c>
      <c r="D29" s="202">
        <v>171.4468396294534</v>
      </c>
      <c r="E29" s="137">
        <v>2382.1252169140616</v>
      </c>
      <c r="F29" s="202">
        <v>21.392329529847753</v>
      </c>
      <c r="G29" s="137">
        <v>92.09820487768972</v>
      </c>
      <c r="H29" s="203">
        <v>24.745863249999775</v>
      </c>
      <c r="I29" s="279">
        <v>3.06129146322977</v>
      </c>
      <c r="J29" s="140">
        <f t="shared" si="3"/>
        <v>294.7127292941884</v>
      </c>
      <c r="K29" s="42">
        <f>(D29+E29+G29)</f>
        <v>2645.6702614212045</v>
      </c>
      <c r="L29" s="137">
        <f>K29+J29</f>
        <v>2940.382990715393</v>
      </c>
    </row>
    <row r="30" spans="1:12" ht="12.75">
      <c r="A30" s="290">
        <v>2015</v>
      </c>
      <c r="B30" s="209">
        <v>166.26457869060945</v>
      </c>
      <c r="C30" s="137">
        <v>79.26139860556681</v>
      </c>
      <c r="D30" s="202">
        <v>172.59773792785802</v>
      </c>
      <c r="E30" s="137">
        <v>2554.6637234660234</v>
      </c>
      <c r="F30" s="202">
        <v>22.256589439442</v>
      </c>
      <c r="G30" s="137">
        <v>94.3167033157047</v>
      </c>
      <c r="H30" s="203">
        <v>25.025832945916598</v>
      </c>
      <c r="I30" s="279">
        <v>3.453428322091107</v>
      </c>
      <c r="J30" s="140">
        <f t="shared" si="3"/>
        <v>296.26182800362596</v>
      </c>
      <c r="K30" s="42">
        <f>(D30+E30+G30)</f>
        <v>2821.578164709586</v>
      </c>
      <c r="L30" s="137">
        <f>K30+J30</f>
        <v>3117.839992713212</v>
      </c>
    </row>
    <row r="31" spans="1:12" ht="12.75">
      <c r="A31" s="290"/>
      <c r="B31" s="209"/>
      <c r="C31" s="137"/>
      <c r="D31" s="202"/>
      <c r="E31" s="137"/>
      <c r="F31" s="202"/>
      <c r="G31" s="137"/>
      <c r="H31" s="203"/>
      <c r="I31" s="279"/>
      <c r="J31" s="140"/>
      <c r="K31" s="42"/>
      <c r="L31" s="137"/>
    </row>
    <row r="32" spans="1:12" ht="12.75">
      <c r="A32" s="290">
        <v>2016</v>
      </c>
      <c r="B32" s="209">
        <v>166.45615425088556</v>
      </c>
      <c r="C32" s="210">
        <v>78.95481979710078</v>
      </c>
      <c r="D32" s="209">
        <v>171.54997470269583</v>
      </c>
      <c r="E32" s="203">
        <v>2726.318072243</v>
      </c>
      <c r="F32" s="202">
        <v>23.046036397989262</v>
      </c>
      <c r="G32" s="137">
        <v>96.42299663238657</v>
      </c>
      <c r="H32" s="203">
        <v>25.247546507175237</v>
      </c>
      <c r="I32" s="279">
        <v>3.7116847009605296</v>
      </c>
      <c r="J32" s="140">
        <f t="shared" si="3"/>
        <v>297.41624165411133</v>
      </c>
      <c r="K32" s="42">
        <f>(D32+E32+G32)</f>
        <v>2994.2910435780823</v>
      </c>
      <c r="L32" s="137">
        <f>K32+J32</f>
        <v>3291.7072852321935</v>
      </c>
    </row>
    <row r="33" spans="1:12" ht="12.75">
      <c r="A33" s="290">
        <v>2017</v>
      </c>
      <c r="B33" s="209">
        <v>166.51941581485733</v>
      </c>
      <c r="C33" s="137">
        <v>78.65020287383967</v>
      </c>
      <c r="D33" s="202">
        <v>173.1985784352101</v>
      </c>
      <c r="E33" s="137">
        <v>2899.009052604772</v>
      </c>
      <c r="F33" s="202">
        <v>23.921516623564703</v>
      </c>
      <c r="G33" s="137">
        <v>98.20585240324117</v>
      </c>
      <c r="H33" s="203">
        <v>25.646315795371564</v>
      </c>
      <c r="I33" s="279">
        <v>3.9823283770722346</v>
      </c>
      <c r="J33" s="140">
        <f t="shared" si="3"/>
        <v>298.7197794847055</v>
      </c>
      <c r="K33" s="231">
        <f>(D33+E33+G33)</f>
        <v>3170.4134834432234</v>
      </c>
      <c r="L33" s="137">
        <f>K33+J33</f>
        <v>3469.133262927929</v>
      </c>
    </row>
    <row r="34" spans="1:12" ht="12.75">
      <c r="A34" s="290">
        <v>2018</v>
      </c>
      <c r="B34" s="209">
        <v>166.4565</v>
      </c>
      <c r="C34" s="137">
        <v>78.33959999999999</v>
      </c>
      <c r="D34" s="202">
        <v>174.862</v>
      </c>
      <c r="E34" s="137">
        <v>3073.0104</v>
      </c>
      <c r="F34" s="202">
        <v>24.568</v>
      </c>
      <c r="G34" s="137">
        <v>100.33919999999999</v>
      </c>
      <c r="H34" s="203">
        <v>26.036765601711494</v>
      </c>
      <c r="I34" s="279">
        <v>4.233055771692702</v>
      </c>
      <c r="J34" s="140">
        <v>300.1</v>
      </c>
      <c r="K34" s="231">
        <f>(D34+E34+G34)</f>
        <v>3348.2116</v>
      </c>
      <c r="L34" s="137">
        <f>K34+J34</f>
        <v>3648.3116</v>
      </c>
    </row>
    <row r="35" spans="1:14" ht="12.75">
      <c r="A35" s="290">
        <v>2019</v>
      </c>
      <c r="B35" s="140">
        <v>166.37407031661272</v>
      </c>
      <c r="C35" s="235">
        <v>78.04240672854439</v>
      </c>
      <c r="D35" s="232">
        <v>174.37315041851133</v>
      </c>
      <c r="E35" s="141">
        <v>3245.961502027719</v>
      </c>
      <c r="F35" s="232">
        <v>25.38142421296491</v>
      </c>
      <c r="G35" s="231">
        <v>102.13593044739109</v>
      </c>
      <c r="H35" s="232">
        <v>26.377</v>
      </c>
      <c r="I35" s="178">
        <v>4.352</v>
      </c>
      <c r="J35" s="140">
        <f>(B35+C35+F35+H35+I35)</f>
        <v>300.526901258122</v>
      </c>
      <c r="K35" s="231">
        <f>(D35+E35+G35)</f>
        <v>3522.470582893621</v>
      </c>
      <c r="L35" s="137">
        <f>K35+J35</f>
        <v>3822.9974841517433</v>
      </c>
      <c r="N35" s="53"/>
    </row>
    <row r="36" spans="1:12" ht="12.75">
      <c r="A36" s="294">
        <v>2020</v>
      </c>
      <c r="B36" s="209">
        <v>166.27386909280173</v>
      </c>
      <c r="C36" s="210">
        <v>77.7</v>
      </c>
      <c r="D36" s="209">
        <v>176.2</v>
      </c>
      <c r="E36" s="203">
        <v>3418.5</v>
      </c>
      <c r="F36" s="202">
        <v>25.9</v>
      </c>
      <c r="G36" s="137">
        <v>104</v>
      </c>
      <c r="H36" s="203">
        <v>26.7159</v>
      </c>
      <c r="I36" s="279">
        <v>4.584</v>
      </c>
      <c r="J36" s="140">
        <f>(B36+C36+F36+H36+I36)</f>
        <v>301.1737690928017</v>
      </c>
      <c r="K36" s="42">
        <f>(D36+E36+G36)</f>
        <v>3698.7</v>
      </c>
      <c r="L36" s="137">
        <f>K36+J36</f>
        <v>3999.8737690928015</v>
      </c>
    </row>
    <row r="37" spans="1:12" ht="12.75">
      <c r="A37" s="294"/>
      <c r="B37" s="189"/>
      <c r="C37" s="233"/>
      <c r="D37" s="189"/>
      <c r="E37" s="278"/>
      <c r="F37" s="189"/>
      <c r="G37" s="278"/>
      <c r="H37" s="234"/>
      <c r="I37" s="278"/>
      <c r="J37" s="140"/>
      <c r="K37" s="231"/>
      <c r="L37" s="137"/>
    </row>
    <row r="38" spans="1:12" ht="12.75">
      <c r="A38" s="157" t="s">
        <v>83</v>
      </c>
      <c r="B38" s="214"/>
      <c r="C38" s="168"/>
      <c r="D38" s="73"/>
      <c r="E38" s="168"/>
      <c r="F38" s="214"/>
      <c r="G38" s="266"/>
      <c r="H38" s="193"/>
      <c r="I38" s="50"/>
      <c r="J38" s="140"/>
      <c r="K38" s="231"/>
      <c r="L38" s="137"/>
    </row>
    <row r="39" spans="1:12" ht="12.75">
      <c r="A39" s="157" t="s">
        <v>78</v>
      </c>
      <c r="B39" s="281">
        <f aca="true" t="shared" si="4" ref="B39:H39">RATE(6,,-B12,B18)</f>
        <v>-0.04492977368840127</v>
      </c>
      <c r="C39" s="250">
        <f t="shared" si="4"/>
        <v>-0.05365031010728654</v>
      </c>
      <c r="D39" s="281">
        <f t="shared" si="4"/>
        <v>-0.010685271506709317</v>
      </c>
      <c r="E39" s="250">
        <f t="shared" si="4"/>
        <v>0.06062041775913729</v>
      </c>
      <c r="F39" s="281">
        <f t="shared" si="4"/>
        <v>0.056802992502325435</v>
      </c>
      <c r="G39" s="270">
        <f t="shared" si="4"/>
        <v>0.0402902844132541</v>
      </c>
      <c r="H39" s="271">
        <f t="shared" si="4"/>
        <v>0.04308613886212352</v>
      </c>
      <c r="I39" s="50"/>
      <c r="J39" s="281">
        <f>RATE(6,,-J12,J18)</f>
        <v>-0.03896337757756835</v>
      </c>
      <c r="K39" s="270">
        <f>RATE(6,,-K12,K18)</f>
        <v>0.0481376139440889</v>
      </c>
      <c r="L39" s="251">
        <f>RATE(6,,-L12,L18)</f>
        <v>0.029223582851611064</v>
      </c>
    </row>
    <row r="40" spans="1:12" ht="12.75">
      <c r="A40" s="34" t="s">
        <v>79</v>
      </c>
      <c r="B40" s="249">
        <f aca="true" t="shared" si="5" ref="B40:G40">RATE(4,,-B18,B24)</f>
        <v>0.020300671655998206</v>
      </c>
      <c r="C40" s="250">
        <f t="shared" si="5"/>
        <v>0.006415229956860633</v>
      </c>
      <c r="D40" s="249">
        <f t="shared" si="5"/>
        <v>0.004994756888619236</v>
      </c>
      <c r="E40" s="250">
        <f t="shared" si="5"/>
        <v>0.11712108732315617</v>
      </c>
      <c r="F40" s="249">
        <f t="shared" si="5"/>
        <v>0.09551960046318801</v>
      </c>
      <c r="G40" s="250">
        <f t="shared" si="5"/>
        <v>0.02876108135914006</v>
      </c>
      <c r="H40" s="271">
        <f>RATE(4,,-H18,H24)</f>
        <v>0.03965712463828132</v>
      </c>
      <c r="I40" s="272">
        <f>RATE(4,,-I18,I24)</f>
        <v>0.27942829792766727</v>
      </c>
      <c r="J40" s="281">
        <f>RATE(4,,-J18,J24)</f>
        <v>0.02242396833482433</v>
      </c>
      <c r="K40" s="270">
        <f>RATE(4,,-K18,K24)</f>
        <v>0.09981586835025562</v>
      </c>
      <c r="L40" s="251">
        <f>RATE(4,,-L18,L24)</f>
        <v>0.08785625877980206</v>
      </c>
    </row>
    <row r="41" spans="1:12" ht="12.75">
      <c r="A41" s="34" t="s">
        <v>80</v>
      </c>
      <c r="B41" s="249">
        <f aca="true" t="shared" si="6" ref="B41:G41">RATE(10,,-B24,B36)</f>
        <v>0.0006762135032433171</v>
      </c>
      <c r="C41" s="250">
        <f t="shared" si="6"/>
        <v>-0.0027654718513166034</v>
      </c>
      <c r="D41" s="249">
        <f t="shared" si="6"/>
        <v>0.00440567056083739</v>
      </c>
      <c r="E41" s="250">
        <f t="shared" si="6"/>
        <v>0.0766595612179575</v>
      </c>
      <c r="F41" s="249">
        <f t="shared" si="6"/>
        <v>0.04389680008194828</v>
      </c>
      <c r="G41" s="250">
        <f t="shared" si="6"/>
        <v>0.02187928807522769</v>
      </c>
      <c r="H41" s="271">
        <f>RATE(10,,-H24,H36)</f>
        <v>0.015650914577136403</v>
      </c>
      <c r="I41" s="272">
        <f>RATE(10,,-I24,I36)</f>
        <v>0.10099887629465668</v>
      </c>
      <c r="J41" s="281">
        <f>RATE(10,,-J24,J36)</f>
        <v>0.005002197161599571</v>
      </c>
      <c r="K41" s="270">
        <f>RATE(10,,-K24,K36)</f>
        <v>0.06969337905788549</v>
      </c>
      <c r="L41" s="251">
        <f>RATE(10,,-L24,L36)</f>
        <v>0.06295723094090473</v>
      </c>
    </row>
    <row r="42" spans="1:14" ht="13.5" thickBot="1">
      <c r="A42" s="252" t="s">
        <v>81</v>
      </c>
      <c r="B42" s="253">
        <f aca="true" t="shared" si="7" ref="B42:G42">RATE(14,,-B18,B36)</f>
        <v>0.006244364528042821</v>
      </c>
      <c r="C42" s="254">
        <f t="shared" si="7"/>
        <v>-0.00015099348589385576</v>
      </c>
      <c r="D42" s="253">
        <f t="shared" si="7"/>
        <v>0.0045739456983202266</v>
      </c>
      <c r="E42" s="254">
        <f t="shared" si="7"/>
        <v>0.0880680864921914</v>
      </c>
      <c r="F42" s="253">
        <f t="shared" si="7"/>
        <v>0.05839279943303855</v>
      </c>
      <c r="G42" s="254">
        <f t="shared" si="7"/>
        <v>0.023840803752243213</v>
      </c>
      <c r="H42" s="274">
        <f>RATE(14,,-H18,H36)</f>
        <v>0.022452701677255743</v>
      </c>
      <c r="I42" s="275">
        <f>RATE(14,,-I18,I36)</f>
        <v>0.1492744575266356</v>
      </c>
      <c r="J42" s="282">
        <f>RATE(14,,-J18,J36)</f>
        <v>0.009949330706941789</v>
      </c>
      <c r="K42" s="273">
        <f>RATE(14,,-K18,K36)</f>
        <v>0.07821461547215529</v>
      </c>
      <c r="L42" s="255">
        <f>RATE(14,,-L18,L36)</f>
        <v>0.07001250855212486</v>
      </c>
      <c r="N42" s="52"/>
    </row>
    <row r="44" ht="12.75">
      <c r="A44" t="s">
        <v>44</v>
      </c>
    </row>
    <row r="45" ht="12.75">
      <c r="A45" t="s">
        <v>38</v>
      </c>
    </row>
  </sheetData>
  <mergeCells count="3">
    <mergeCell ref="J8:L8"/>
    <mergeCell ref="D8:E8"/>
    <mergeCell ref="J7:L7"/>
  </mergeCells>
  <printOptions gridLines="1" horizontalCentered="1"/>
  <pageMargins left="0.75" right="0.75" top="0.75" bottom="0.25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Stamas</dc:creator>
  <cp:keywords/>
  <dc:description/>
  <cp:lastModifiedBy>Cheryl Miner</cp:lastModifiedBy>
  <cp:lastPrinted>2007-01-22T14:06:29Z</cp:lastPrinted>
  <dcterms:created xsi:type="dcterms:W3CDTF">1999-01-21T19:22:14Z</dcterms:created>
  <dcterms:modified xsi:type="dcterms:W3CDTF">2007-03-12T19:29:03Z</dcterms:modified>
  <cp:category/>
  <cp:version/>
  <cp:contentType/>
  <cp:contentStatus/>
</cp:coreProperties>
</file>