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Property Budgets PUM" sheetId="1" r:id="rId1"/>
    <sheet name="Prop Budgets- Annual- Test" sheetId="2" r:id="rId2"/>
  </sheets>
  <definedNames>
    <definedName name="_Order1" hidden="1">255</definedName>
    <definedName name="_xlnm.Print_Titles" localSheetId="0">'Property Budgets PUM'!$6:$7</definedName>
  </definedNames>
  <calcPr fullCalcOnLoad="1"/>
</workbook>
</file>

<file path=xl/sharedStrings.xml><?xml version="1.0" encoding="utf-8"?>
<sst xmlns="http://schemas.openxmlformats.org/spreadsheetml/2006/main" count="272" uniqueCount="108">
  <si>
    <t>Admin Other</t>
  </si>
  <si>
    <t>Centralized Intake Specialist</t>
  </si>
  <si>
    <t>REVENUE</t>
  </si>
  <si>
    <t>EXPENSES</t>
  </si>
  <si>
    <t>Administrative Salaries</t>
  </si>
  <si>
    <t>Management Fee</t>
  </si>
  <si>
    <t>Total Administrative</t>
  </si>
  <si>
    <t>Resident Services Salaries</t>
  </si>
  <si>
    <t>Resident Services Materials</t>
  </si>
  <si>
    <t>Resident Services Contracts</t>
  </si>
  <si>
    <t>Total Tenant Services</t>
  </si>
  <si>
    <t>Other</t>
  </si>
  <si>
    <t>Maintenance Salaries</t>
  </si>
  <si>
    <t>Materials</t>
  </si>
  <si>
    <t>Contracts</t>
  </si>
  <si>
    <t>Total Maintenance</t>
  </si>
  <si>
    <t>Security Labor</t>
  </si>
  <si>
    <t>Total Protective Services</t>
  </si>
  <si>
    <t>PILOT</t>
  </si>
  <si>
    <t>Total General Expenses</t>
  </si>
  <si>
    <t>Total Expenses</t>
  </si>
  <si>
    <t>Units</t>
  </si>
  <si>
    <t>Hillsdale</t>
  </si>
  <si>
    <t>Benefits (35%)</t>
  </si>
  <si>
    <t>Hunter</t>
  </si>
  <si>
    <t>Ridge</t>
  </si>
  <si>
    <t>Allen</t>
  </si>
  <si>
    <t>Homes</t>
  </si>
  <si>
    <t xml:space="preserve">River </t>
  </si>
  <si>
    <t>North</t>
  </si>
  <si>
    <t>Jackson</t>
  </si>
  <si>
    <t>Maple-</t>
  </si>
  <si>
    <t>SS</t>
  </si>
  <si>
    <t>West</t>
  </si>
  <si>
    <t>Dwelling Rentals</t>
  </si>
  <si>
    <t>Insurance</t>
  </si>
  <si>
    <t>Total Expenses, excl. Asset Management</t>
  </si>
  <si>
    <t>Asset Management</t>
  </si>
  <si>
    <t>Benefits (32%)</t>
  </si>
  <si>
    <t>Audit</t>
  </si>
  <si>
    <t>Total Revenue</t>
  </si>
  <si>
    <t>Non-dwelling Rentals</t>
  </si>
  <si>
    <t>Investment Income</t>
  </si>
  <si>
    <t>Other Income</t>
  </si>
  <si>
    <t>Bookkeeping Fee</t>
  </si>
  <si>
    <t>Gas</t>
  </si>
  <si>
    <t>Electric</t>
  </si>
  <si>
    <t>Water/Sewer</t>
  </si>
  <si>
    <t>Total Utilities</t>
  </si>
  <si>
    <t>Telecommunications</t>
  </si>
  <si>
    <t>Legal</t>
  </si>
  <si>
    <t>Totals,</t>
  </si>
  <si>
    <t>Low-Rent</t>
  </si>
  <si>
    <t>PEL</t>
  </si>
  <si>
    <t>% Funding</t>
  </si>
  <si>
    <t>Transfer From Capital Fund</t>
  </si>
  <si>
    <t>% Occupancy</t>
  </si>
  <si>
    <t xml:space="preserve">   Site Manager</t>
  </si>
  <si>
    <t xml:space="preserve">   Assistant Manager</t>
  </si>
  <si>
    <t>Total Per Unit Per Month</t>
  </si>
  <si>
    <t xml:space="preserve">   Superintendent</t>
  </si>
  <si>
    <t xml:space="preserve">   Maintenance Mechanic</t>
  </si>
  <si>
    <t>Uniforms</t>
  </si>
  <si>
    <t>Trash Removal</t>
  </si>
  <si>
    <t>Landscape Contract</t>
  </si>
  <si>
    <t>Bad Debts</t>
  </si>
  <si>
    <t>Total Admin Salaries</t>
  </si>
  <si>
    <t>Total Maintenance Salaries</t>
  </si>
  <si>
    <t>Utility Subsidy</t>
  </si>
  <si>
    <t>Non-Utility Subsidy</t>
  </si>
  <si>
    <t xml:space="preserve"> </t>
  </si>
  <si>
    <t>Family/Elderly</t>
  </si>
  <si>
    <t>Family</t>
  </si>
  <si>
    <t>Senior</t>
  </si>
  <si>
    <t>Scattered Site?</t>
  </si>
  <si>
    <t>No</t>
  </si>
  <si>
    <t>Yes</t>
  </si>
  <si>
    <t>Age</t>
  </si>
  <si>
    <t>Recently Renovated?</t>
  </si>
  <si>
    <t>Average Bedroom Size</t>
  </si>
  <si>
    <t xml:space="preserve">   Janitor #1</t>
  </si>
  <si>
    <t>Computer Support</t>
  </si>
  <si>
    <t xml:space="preserve">   Receptionist</t>
  </si>
  <si>
    <t># of Turn-overs</t>
  </si>
  <si>
    <t xml:space="preserve">   Janitor #2</t>
  </si>
  <si>
    <t>Painting Contract</t>
  </si>
  <si>
    <t>Exterminating Contract</t>
  </si>
  <si>
    <t>Elevator Contract</t>
  </si>
  <si>
    <t>Plumbing/Electrical Service</t>
  </si>
  <si>
    <t xml:space="preserve">West Ridge Housing Authority </t>
  </si>
  <si>
    <t>Site Budgets (PUMs)</t>
  </si>
  <si>
    <t>October 1, 2006- September 30, 2007</t>
  </si>
  <si>
    <t>Site Budgets (Annual)</t>
  </si>
  <si>
    <t>Add-on Subsidies</t>
  </si>
  <si>
    <t xml:space="preserve">Administrative Other </t>
  </si>
  <si>
    <t>Benefits (37%)</t>
  </si>
  <si>
    <t>Overtime</t>
  </si>
  <si>
    <t>Overtime Benefits (25%)</t>
  </si>
  <si>
    <t>HVAC Service</t>
  </si>
  <si>
    <t>Vehicles</t>
  </si>
  <si>
    <t>Maintenance Other</t>
  </si>
  <si>
    <t>Miscellaneous Contracts</t>
  </si>
  <si>
    <t>Proration (unfunded)</t>
  </si>
  <si>
    <t>Cash Flow from Operations</t>
  </si>
  <si>
    <t xml:space="preserve">Centralized Intake </t>
  </si>
  <si>
    <t>Percentage</t>
  </si>
  <si>
    <t>Salary</t>
  </si>
  <si>
    <t>Benefits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</si>
</sst>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mmm\-yyyy"/>
    <numFmt numFmtId="169" formatCode="0.00000"/>
    <numFmt numFmtId="170" formatCode="0.0000"/>
    <numFmt numFmtId="171" formatCode="0.000"/>
    <numFmt numFmtId="172" formatCode="0.0"/>
    <numFmt numFmtId="173" formatCode="&quot;$&quot;#,##0.00"/>
    <numFmt numFmtId="174" formatCode="#,##0.0"/>
    <numFmt numFmtId="175" formatCode="&quot;$&quot;#,##0.0"/>
    <numFmt numFmtId="176" formatCode="&quot;$&quot;#,##0"/>
    <numFmt numFmtId="177" formatCode="0.0000000000"/>
    <numFmt numFmtId="178" formatCode="0.0000000"/>
    <numFmt numFmtId="179" formatCode="0.000000"/>
    <numFmt numFmtId="180" formatCode="_(* #,##0.000_);_(* \(#,##0.000\);_(* &quot;-&quot;??_);_(@_)"/>
    <numFmt numFmtId="181" formatCode="_(* #,##0.0000_);_(* \(#,##0.0000\);_(* &quot;-&quot;??_);_(@_)"/>
    <numFmt numFmtId="182" formatCode="00"/>
    <numFmt numFmtId="183" formatCode="000"/>
    <numFmt numFmtId="184" formatCode="#,##0.000"/>
    <numFmt numFmtId="185" formatCode="#,##0.0000"/>
    <numFmt numFmtId="186" formatCode="0.0000%"/>
    <numFmt numFmtId="187" formatCode="0.000000000"/>
    <numFmt numFmtId="188" formatCode="0.00000000"/>
    <numFmt numFmtId="189" formatCode="mmmm\ d\,\ yyyy"/>
    <numFmt numFmtId="190" formatCode="_(* #,##0.00000_);_(* \(#,##0.00000\);_(* &quot;-&quot;??_);_(@_)"/>
    <numFmt numFmtId="191" formatCode="_(* #,##0.000000_);_(* \(#,##0.000000\);_(* &quot;-&quot;??_);_(@_)"/>
    <numFmt numFmtId="192" formatCode="0.000%"/>
    <numFmt numFmtId="193" formatCode="_(&quot;$&quot;* #,##0.000_);_(&quot;$&quot;* \(#,##0.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mm/dd/yy"/>
    <numFmt numFmtId="197" formatCode="&quot;$&quot;#,##0.00;[Red]&quot;$&quot;#,##0.00"/>
    <numFmt numFmtId="198" formatCode="_(&quot;$&quot;* #,##0.000000000000_);_(&quot;$&quot;* \(#,##0.000000000000\);_(&quot;$&quot;* &quot;-&quot;??????????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Garamond"/>
      <family val="0"/>
    </font>
    <font>
      <b/>
      <u val="single"/>
      <sz val="10"/>
      <name val="Garamond"/>
      <family val="0"/>
    </font>
    <font>
      <b/>
      <sz val="10"/>
      <color indexed="9"/>
      <name val="Garamond"/>
      <family val="0"/>
    </font>
    <font>
      <b/>
      <sz val="10"/>
      <name val="Garamond"/>
      <family val="0"/>
    </font>
    <font>
      <b/>
      <sz val="11"/>
      <color indexed="9"/>
      <name val="Garamond"/>
      <family val="0"/>
    </font>
    <font>
      <b/>
      <sz val="12"/>
      <color indexed="9"/>
      <name val="Garamond"/>
      <family val="0"/>
    </font>
    <font>
      <sz val="11"/>
      <name val="Garamond"/>
      <family val="0"/>
    </font>
    <font>
      <b/>
      <u val="single"/>
      <sz val="11"/>
      <name val="Garamond"/>
      <family val="0"/>
    </font>
    <font>
      <b/>
      <sz val="11"/>
      <name val="Garamond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Protection="0">
      <alignment wrapText="1"/>
    </xf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176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10" fontId="7" fillId="4" borderId="0" xfId="0" applyNumberFormat="1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4" fontId="4" fillId="0" borderId="0" xfId="17" applyFont="1" applyBorder="1" applyAlignment="1">
      <alignment/>
    </xf>
    <xf numFmtId="44" fontId="4" fillId="0" borderId="0" xfId="17" applyFont="1" applyAlignment="1">
      <alignment/>
    </xf>
    <xf numFmtId="44" fontId="7" fillId="0" borderId="1" xfId="17" applyFont="1" applyFill="1" applyBorder="1" applyAlignment="1">
      <alignment horizontal="right"/>
    </xf>
    <xf numFmtId="44" fontId="4" fillId="0" borderId="2" xfId="17" applyFont="1" applyBorder="1" applyAlignment="1">
      <alignment/>
    </xf>
    <xf numFmtId="44" fontId="4" fillId="0" borderId="3" xfId="17" applyFont="1" applyBorder="1" applyAlignment="1">
      <alignment/>
    </xf>
    <xf numFmtId="44" fontId="7" fillId="0" borderId="4" xfId="17" applyFont="1" applyFill="1" applyBorder="1" applyAlignment="1">
      <alignment horizontal="right"/>
    </xf>
    <xf numFmtId="44" fontId="4" fillId="0" borderId="5" xfId="17" applyFont="1" applyBorder="1" applyAlignment="1">
      <alignment/>
    </xf>
    <xf numFmtId="44" fontId="4" fillId="0" borderId="0" xfId="17" applyFont="1" applyFill="1" applyBorder="1" applyAlignment="1">
      <alignment/>
    </xf>
    <xf numFmtId="44" fontId="5" fillId="0" borderId="4" xfId="17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44" fontId="4" fillId="0" borderId="0" xfId="17" applyFont="1" applyFill="1" applyBorder="1" applyAlignment="1">
      <alignment horizontal="right"/>
    </xf>
    <xf numFmtId="0" fontId="4" fillId="5" borderId="0" xfId="0" applyFont="1" applyFill="1" applyAlignment="1">
      <alignment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4" fontId="4" fillId="0" borderId="2" xfId="17" applyFont="1" applyFill="1" applyBorder="1" applyAlignment="1">
      <alignment/>
    </xf>
    <xf numFmtId="44" fontId="4" fillId="0" borderId="3" xfId="17" applyFont="1" applyFill="1" applyBorder="1" applyAlignment="1">
      <alignment/>
    </xf>
    <xf numFmtId="44" fontId="7" fillId="0" borderId="0" xfId="17" applyFont="1" applyFill="1" applyBorder="1" applyAlignment="1">
      <alignment horizontal="right"/>
    </xf>
    <xf numFmtId="44" fontId="7" fillId="0" borderId="0" xfId="17" applyFont="1" applyBorder="1" applyAlignment="1">
      <alignment/>
    </xf>
    <xf numFmtId="4" fontId="4" fillId="0" borderId="0" xfId="0" applyNumberFormat="1" applyFont="1" applyAlignment="1">
      <alignment/>
    </xf>
    <xf numFmtId="44" fontId="4" fillId="0" borderId="7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0" xfId="0" applyNumberFormat="1" applyFont="1" applyAlignment="1">
      <alignment/>
    </xf>
    <xf numFmtId="0" fontId="8" fillId="2" borderId="1" xfId="22" applyBorder="1">
      <alignment wrapText="1"/>
    </xf>
    <xf numFmtId="0" fontId="8" fillId="2" borderId="8" xfId="22" applyBorder="1">
      <alignment wrapText="1"/>
    </xf>
    <xf numFmtId="0" fontId="8" fillId="2" borderId="3" xfId="22" applyBorder="1">
      <alignment wrapText="1"/>
    </xf>
    <xf numFmtId="0" fontId="8" fillId="2" borderId="4" xfId="22" applyBorder="1">
      <alignment wrapText="1"/>
    </xf>
    <xf numFmtId="0" fontId="8" fillId="2" borderId="9" xfId="22" applyBorder="1">
      <alignment wrapText="1"/>
    </xf>
    <xf numFmtId="0" fontId="8" fillId="2" borderId="5" xfId="22" applyBorder="1">
      <alignment wrapText="1"/>
    </xf>
    <xf numFmtId="0" fontId="8" fillId="2" borderId="0" xfId="22" applyBorder="1">
      <alignment wrapText="1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3" fontId="7" fillId="6" borderId="13" xfId="0" applyNumberFormat="1" applyFont="1" applyFill="1" applyBorder="1" applyAlignment="1">
      <alignment horizontal="right"/>
    </xf>
    <xf numFmtId="4" fontId="7" fillId="6" borderId="13" xfId="0" applyNumberFormat="1" applyFont="1" applyFill="1" applyBorder="1" applyAlignment="1">
      <alignment horizontal="right"/>
    </xf>
    <xf numFmtId="2" fontId="7" fillId="6" borderId="0" xfId="0" applyNumberFormat="1" applyFont="1" applyFill="1" applyBorder="1" applyAlignment="1">
      <alignment horizontal="right"/>
    </xf>
    <xf numFmtId="2" fontId="7" fillId="6" borderId="14" xfId="0" applyNumberFormat="1" applyFont="1" applyFill="1" applyBorder="1" applyAlignment="1">
      <alignment horizontal="right"/>
    </xf>
    <xf numFmtId="9" fontId="7" fillId="6" borderId="13" xfId="0" applyNumberFormat="1" applyFont="1" applyFill="1" applyBorder="1" applyAlignment="1">
      <alignment horizontal="right"/>
    </xf>
    <xf numFmtId="9" fontId="7" fillId="6" borderId="0" xfId="0" applyNumberFormat="1" applyFont="1" applyFill="1" applyBorder="1" applyAlignment="1">
      <alignment horizontal="right"/>
    </xf>
    <xf numFmtId="0" fontId="9" fillId="2" borderId="2" xfId="22" applyFont="1" applyBorder="1" applyAlignment="1">
      <alignment horizontal="center" wrapText="1"/>
    </xf>
    <xf numFmtId="9" fontId="7" fillId="6" borderId="14" xfId="0" applyNumberFormat="1" applyFont="1" applyFill="1" applyBorder="1" applyAlignment="1">
      <alignment horizontal="right"/>
    </xf>
    <xf numFmtId="1" fontId="7" fillId="6" borderId="15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6" borderId="17" xfId="0" applyNumberFormat="1" applyFont="1" applyFill="1" applyBorder="1" applyAlignment="1">
      <alignment horizontal="right"/>
    </xf>
    <xf numFmtId="44" fontId="8" fillId="2" borderId="18" xfId="22" applyBorder="1">
      <alignment wrapText="1"/>
    </xf>
    <xf numFmtId="44" fontId="8" fillId="2" borderId="19" xfId="22" applyBorder="1">
      <alignment wrapText="1"/>
    </xf>
    <xf numFmtId="44" fontId="8" fillId="2" borderId="4" xfId="22" applyBorder="1">
      <alignment wrapText="1"/>
    </xf>
    <xf numFmtId="44" fontId="8" fillId="2" borderId="0" xfId="22" applyBorder="1">
      <alignment wrapText="1"/>
    </xf>
    <xf numFmtId="44" fontId="8" fillId="2" borderId="5" xfId="22" applyBorder="1">
      <alignment wrapText="1"/>
    </xf>
    <xf numFmtId="44" fontId="8" fillId="2" borderId="7" xfId="22" applyBorder="1">
      <alignment wrapText="1"/>
    </xf>
    <xf numFmtId="44" fontId="8" fillId="2" borderId="6" xfId="22" applyBorder="1">
      <alignment wrapText="1"/>
    </xf>
    <xf numFmtId="44" fontId="7" fillId="7" borderId="20" xfId="17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76" fontId="12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/>
    </xf>
    <xf numFmtId="10" fontId="12" fillId="4" borderId="0" xfId="0" applyNumberFormat="1" applyFont="1" applyFill="1" applyBorder="1" applyAlignment="1">
      <alignment horizontal="right"/>
    </xf>
    <xf numFmtId="10" fontId="12" fillId="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4" fontId="12" fillId="0" borderId="0" xfId="17" applyFont="1" applyBorder="1" applyAlignment="1">
      <alignment/>
    </xf>
    <xf numFmtId="44" fontId="10" fillId="0" borderId="0" xfId="17" applyFont="1" applyBorder="1" applyAlignment="1">
      <alignment/>
    </xf>
    <xf numFmtId="44" fontId="10" fillId="0" borderId="0" xfId="17" applyFont="1" applyAlignment="1">
      <alignment/>
    </xf>
    <xf numFmtId="44" fontId="12" fillId="0" borderId="8" xfId="17" applyFont="1" applyBorder="1" applyAlignment="1">
      <alignment/>
    </xf>
    <xf numFmtId="44" fontId="10" fillId="0" borderId="2" xfId="17" applyFont="1" applyBorder="1" applyAlignment="1">
      <alignment/>
    </xf>
    <xf numFmtId="44" fontId="10" fillId="0" borderId="3" xfId="17" applyFont="1" applyBorder="1" applyAlignment="1">
      <alignment/>
    </xf>
    <xf numFmtId="44" fontId="12" fillId="0" borderId="9" xfId="17" applyFont="1" applyBorder="1" applyAlignment="1">
      <alignment/>
    </xf>
    <xf numFmtId="44" fontId="10" fillId="0" borderId="5" xfId="17" applyFont="1" applyBorder="1" applyAlignment="1">
      <alignment/>
    </xf>
    <xf numFmtId="0" fontId="10" fillId="0" borderId="0" xfId="0" applyFont="1" applyBorder="1" applyAlignment="1">
      <alignment wrapText="1"/>
    </xf>
    <xf numFmtId="44" fontId="12" fillId="0" borderId="0" xfId="17" applyFont="1" applyFill="1" applyBorder="1" applyAlignment="1">
      <alignment horizontal="right"/>
    </xf>
    <xf numFmtId="44" fontId="10" fillId="0" borderId="0" xfId="17" applyFont="1" applyFill="1" applyBorder="1" applyAlignment="1">
      <alignment/>
    </xf>
    <xf numFmtId="44" fontId="12" fillId="0" borderId="21" xfId="17" applyFont="1" applyBorder="1" applyAlignment="1">
      <alignment/>
    </xf>
    <xf numFmtId="44" fontId="10" fillId="0" borderId="7" xfId="17" applyFont="1" applyBorder="1" applyAlignment="1">
      <alignment/>
    </xf>
    <xf numFmtId="44" fontId="10" fillId="0" borderId="6" xfId="17" applyFont="1" applyBorder="1" applyAlignment="1">
      <alignment/>
    </xf>
    <xf numFmtId="44" fontId="12" fillId="0" borderId="8" xfId="17" applyFont="1" applyFill="1" applyBorder="1" applyAlignment="1">
      <alignment/>
    </xf>
    <xf numFmtId="44" fontId="10" fillId="0" borderId="2" xfId="17" applyFont="1" applyFill="1" applyBorder="1" applyAlignment="1">
      <alignment/>
    </xf>
    <xf numFmtId="44" fontId="10" fillId="0" borderId="3" xfId="17" applyFont="1" applyFill="1" applyBorder="1" applyAlignment="1">
      <alignment/>
    </xf>
    <xf numFmtId="44" fontId="12" fillId="0" borderId="9" xfId="17" applyFont="1" applyFill="1" applyBorder="1" applyAlignment="1">
      <alignment/>
    </xf>
    <xf numFmtId="44" fontId="10" fillId="0" borderId="5" xfId="17" applyFont="1" applyFill="1" applyBorder="1" applyAlignment="1">
      <alignment/>
    </xf>
    <xf numFmtId="44" fontId="12" fillId="0" borderId="21" xfId="17" applyFont="1" applyFill="1" applyBorder="1" applyAlignment="1">
      <alignment/>
    </xf>
    <xf numFmtId="44" fontId="10" fillId="0" borderId="7" xfId="17" applyFont="1" applyFill="1" applyBorder="1" applyAlignment="1">
      <alignment/>
    </xf>
    <xf numFmtId="44" fontId="10" fillId="0" borderId="6" xfId="17" applyFont="1" applyFill="1" applyBorder="1" applyAlignment="1">
      <alignment/>
    </xf>
    <xf numFmtId="44" fontId="12" fillId="0" borderId="8" xfId="17" applyFont="1" applyFill="1" applyBorder="1" applyAlignment="1">
      <alignment horizontal="right"/>
    </xf>
    <xf numFmtId="44" fontId="10" fillId="0" borderId="1" xfId="17" applyFont="1" applyFill="1" applyBorder="1" applyAlignment="1">
      <alignment/>
    </xf>
    <xf numFmtId="44" fontId="12" fillId="0" borderId="9" xfId="17" applyFont="1" applyFill="1" applyBorder="1" applyAlignment="1">
      <alignment horizontal="right"/>
    </xf>
    <xf numFmtId="44" fontId="10" fillId="0" borderId="4" xfId="17" applyFont="1" applyFill="1" applyBorder="1" applyAlignment="1">
      <alignment/>
    </xf>
    <xf numFmtId="44" fontId="10" fillId="0" borderId="22" xfId="17" applyFont="1" applyFill="1" applyBorder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2" fillId="6" borderId="0" xfId="0" applyFont="1" applyFill="1" applyBorder="1" applyAlignment="1">
      <alignment horizontal="right"/>
    </xf>
    <xf numFmtId="2" fontId="12" fillId="6" borderId="0" xfId="0" applyNumberFormat="1" applyFont="1" applyFill="1" applyBorder="1" applyAlignment="1">
      <alignment horizontal="right"/>
    </xf>
    <xf numFmtId="9" fontId="12" fillId="6" borderId="0" xfId="0" applyNumberFormat="1" applyFont="1" applyFill="1" applyBorder="1" applyAlignment="1">
      <alignment horizontal="right"/>
    </xf>
    <xf numFmtId="0" fontId="12" fillId="6" borderId="10" xfId="0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12" fillId="6" borderId="12" xfId="0" applyFont="1" applyFill="1" applyBorder="1" applyAlignment="1">
      <alignment horizontal="right"/>
    </xf>
    <xf numFmtId="0" fontId="12" fillId="6" borderId="13" xfId="0" applyFont="1" applyFill="1" applyBorder="1" applyAlignment="1">
      <alignment horizontal="right"/>
    </xf>
    <xf numFmtId="0" fontId="12" fillId="6" borderId="14" xfId="0" applyFont="1" applyFill="1" applyBorder="1" applyAlignment="1">
      <alignment horizontal="right"/>
    </xf>
    <xf numFmtId="3" fontId="12" fillId="6" borderId="13" xfId="0" applyNumberFormat="1" applyFont="1" applyFill="1" applyBorder="1" applyAlignment="1">
      <alignment horizontal="right"/>
    </xf>
    <xf numFmtId="4" fontId="12" fillId="6" borderId="13" xfId="0" applyNumberFormat="1" applyFont="1" applyFill="1" applyBorder="1" applyAlignment="1">
      <alignment horizontal="right"/>
    </xf>
    <xf numFmtId="2" fontId="12" fillId="6" borderId="14" xfId="0" applyNumberFormat="1" applyFont="1" applyFill="1" applyBorder="1" applyAlignment="1">
      <alignment horizontal="right"/>
    </xf>
    <xf numFmtId="9" fontId="12" fillId="6" borderId="13" xfId="0" applyNumberFormat="1" applyFont="1" applyFill="1" applyBorder="1" applyAlignment="1">
      <alignment horizontal="right"/>
    </xf>
    <xf numFmtId="9" fontId="12" fillId="6" borderId="14" xfId="0" applyNumberFormat="1" applyFont="1" applyFill="1" applyBorder="1" applyAlignment="1">
      <alignment horizontal="right"/>
    </xf>
    <xf numFmtId="1" fontId="12" fillId="6" borderId="15" xfId="0" applyNumberFormat="1" applyFont="1" applyFill="1" applyBorder="1" applyAlignment="1">
      <alignment horizontal="right"/>
    </xf>
    <xf numFmtId="1" fontId="12" fillId="6" borderId="16" xfId="0" applyNumberFormat="1" applyFont="1" applyFill="1" applyBorder="1" applyAlignment="1">
      <alignment horizontal="right"/>
    </xf>
    <xf numFmtId="1" fontId="12" fillId="6" borderId="17" xfId="0" applyNumberFormat="1" applyFont="1" applyFill="1" applyBorder="1" applyAlignment="1">
      <alignment horizontal="right"/>
    </xf>
    <xf numFmtId="44" fontId="12" fillId="7" borderId="20" xfId="17" applyFont="1" applyFill="1" applyBorder="1" applyAlignment="1">
      <alignment horizontal="right"/>
    </xf>
    <xf numFmtId="44" fontId="8" fillId="2" borderId="9" xfId="22" applyBorder="1">
      <alignment wrapText="1"/>
    </xf>
    <xf numFmtId="0" fontId="8" fillId="2" borderId="0" xfId="22" applyFont="1" applyBorder="1" applyAlignment="1">
      <alignment wrapText="1"/>
    </xf>
    <xf numFmtId="0" fontId="9" fillId="2" borderId="1" xfId="22" applyFont="1" applyBorder="1" applyAlignment="1">
      <alignment horizontal="center" vertical="center"/>
    </xf>
    <xf numFmtId="0" fontId="9" fillId="2" borderId="2" xfId="22" applyFont="1" applyBorder="1" applyAlignment="1">
      <alignment horizontal="center" vertical="center"/>
    </xf>
    <xf numFmtId="0" fontId="9" fillId="2" borderId="3" xfId="22" applyFont="1" applyBorder="1" applyAlignment="1">
      <alignment horizontal="center" vertical="center"/>
    </xf>
    <xf numFmtId="0" fontId="9" fillId="2" borderId="4" xfId="22" applyFont="1" applyBorder="1" applyAlignment="1">
      <alignment horizontal="center" vertical="center"/>
    </xf>
    <xf numFmtId="0" fontId="9" fillId="2" borderId="0" xfId="22" applyFont="1" applyBorder="1" applyAlignment="1">
      <alignment horizontal="center" vertical="center"/>
    </xf>
    <xf numFmtId="0" fontId="9" fillId="2" borderId="5" xfId="22" applyFont="1" applyBorder="1" applyAlignment="1">
      <alignment horizontal="center" vertical="center"/>
    </xf>
    <xf numFmtId="0" fontId="9" fillId="2" borderId="22" xfId="22" applyFont="1" applyBorder="1" applyAlignment="1">
      <alignment horizontal="center" vertical="center"/>
    </xf>
    <xf numFmtId="0" fontId="9" fillId="2" borderId="7" xfId="22" applyFont="1" applyBorder="1" applyAlignment="1">
      <alignment horizontal="center" vertical="center"/>
    </xf>
    <xf numFmtId="0" fontId="9" fillId="2" borderId="6" xfId="22" applyFont="1" applyBorder="1" applyAlignment="1">
      <alignment horizontal="center" vertical="center"/>
    </xf>
    <xf numFmtId="0" fontId="8" fillId="2" borderId="8" xfId="22" applyBorder="1">
      <alignment wrapText="1"/>
    </xf>
    <xf numFmtId="0" fontId="8" fillId="2" borderId="9" xfId="22" applyBorder="1">
      <alignment wrapText="1"/>
    </xf>
    <xf numFmtId="0" fontId="9" fillId="2" borderId="1" xfId="22" applyFont="1" applyBorder="1" applyAlignment="1">
      <alignment horizontal="center"/>
    </xf>
    <xf numFmtId="0" fontId="9" fillId="2" borderId="2" xfId="22" applyFont="1" applyBorder="1" applyAlignment="1">
      <alignment horizontal="center"/>
    </xf>
    <xf numFmtId="0" fontId="9" fillId="2" borderId="3" xfId="22" applyFont="1" applyBorder="1" applyAlignment="1">
      <alignment horizontal="center"/>
    </xf>
    <xf numFmtId="0" fontId="8" fillId="2" borderId="4" xfId="22" applyBorder="1" applyAlignment="1">
      <alignment horizontal="right"/>
    </xf>
    <xf numFmtId="0" fontId="8" fillId="2" borderId="0" xfId="22" applyBorder="1" applyAlignment="1">
      <alignment horizontal="right"/>
    </xf>
    <xf numFmtId="0" fontId="8" fillId="2" borderId="22" xfId="22" applyBorder="1" applyAlignment="1">
      <alignment horizontal="right"/>
    </xf>
    <xf numFmtId="0" fontId="8" fillId="2" borderId="7" xfId="22" applyBorder="1" applyAlignment="1">
      <alignment horizontal="right"/>
    </xf>
    <xf numFmtId="0" fontId="8" fillId="2" borderId="0" xfId="22" applyAlignment="1">
      <alignment horizontal="right"/>
    </xf>
    <xf numFmtId="0" fontId="8" fillId="2" borderId="4" xfId="22" applyBorder="1" applyAlignment="1">
      <alignment horizontal="right" wrapText="1"/>
    </xf>
    <xf numFmtId="0" fontId="8" fillId="2" borderId="0" xfId="22" applyAlignment="1">
      <alignment horizontal="right" wrapText="1"/>
    </xf>
    <xf numFmtId="0" fontId="8" fillId="2" borderId="22" xfId="22" applyBorder="1" applyAlignment="1">
      <alignment horizontal="right" wrapText="1"/>
    </xf>
    <xf numFmtId="0" fontId="8" fillId="2" borderId="7" xfId="22" applyBorder="1" applyAlignment="1">
      <alignment horizontal="right" wrapText="1"/>
    </xf>
    <xf numFmtId="0" fontId="8" fillId="2" borderId="0" xfId="22" applyBorder="1" applyAlignment="1">
      <alignment horizontal="right" wrapText="1"/>
    </xf>
    <xf numFmtId="0" fontId="9" fillId="2" borderId="1" xfId="22" applyFont="1" applyBorder="1" applyAlignment="1">
      <alignment horizontal="center" wrapText="1"/>
    </xf>
    <xf numFmtId="0" fontId="9" fillId="2" borderId="3" xfId="22" applyFont="1" applyBorder="1" applyAlignment="1">
      <alignment horizontal="center" wrapText="1"/>
    </xf>
    <xf numFmtId="0" fontId="9" fillId="2" borderId="4" xfId="22" applyFont="1" applyBorder="1" applyAlignment="1">
      <alignment horizontal="center"/>
    </xf>
    <xf numFmtId="0" fontId="9" fillId="2" borderId="0" xfId="22" applyFont="1" applyBorder="1" applyAlignment="1">
      <alignment horizontal="center"/>
    </xf>
    <xf numFmtId="0" fontId="9" fillId="2" borderId="5" xfId="22" applyFont="1" applyBorder="1" applyAlignment="1">
      <alignment horizontal="center"/>
    </xf>
    <xf numFmtId="0" fontId="9" fillId="2" borderId="22" xfId="22" applyFont="1" applyBorder="1" applyAlignment="1">
      <alignment horizontal="center"/>
    </xf>
    <xf numFmtId="0" fontId="9" fillId="2" borderId="7" xfId="22" applyFont="1" applyBorder="1" applyAlignment="1">
      <alignment horizontal="center"/>
    </xf>
    <xf numFmtId="0" fontId="9" fillId="2" borderId="6" xfId="22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evers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81">
      <selection activeCell="A89" sqref="A89"/>
    </sheetView>
  </sheetViews>
  <sheetFormatPr defaultColWidth="9.140625" defaultRowHeight="12.75"/>
  <cols>
    <col min="1" max="1" width="26.00390625" style="3" customWidth="1"/>
    <col min="2" max="2" width="1.28515625" style="1" customWidth="1"/>
    <col min="3" max="3" width="9.00390625" style="1" customWidth="1"/>
    <col min="4" max="4" width="10.00390625" style="1" bestFit="1" customWidth="1"/>
    <col min="5" max="5" width="10.7109375" style="1" bestFit="1" customWidth="1"/>
    <col min="6" max="6" width="10.00390625" style="1" bestFit="1" customWidth="1"/>
    <col min="7" max="7" width="10.7109375" style="1" bestFit="1" customWidth="1"/>
    <col min="8" max="8" width="10.8515625" style="1" bestFit="1" customWidth="1"/>
    <col min="9" max="10" width="10.00390625" style="1" bestFit="1" customWidth="1"/>
    <col min="11" max="16384" width="8.8515625" style="1" customWidth="1"/>
  </cols>
  <sheetData>
    <row r="1" spans="1:10" ht="15.75">
      <c r="A1" s="1"/>
      <c r="B1" s="2"/>
      <c r="C1" s="145" t="s">
        <v>89</v>
      </c>
      <c r="D1" s="146"/>
      <c r="E1" s="146"/>
      <c r="F1" s="146"/>
      <c r="G1" s="146"/>
      <c r="H1" s="146"/>
      <c r="I1" s="146"/>
      <c r="J1" s="147"/>
    </row>
    <row r="2" spans="1:10" ht="15.75">
      <c r="A2" s="1"/>
      <c r="C2" s="148" t="s">
        <v>90</v>
      </c>
      <c r="D2" s="149"/>
      <c r="E2" s="149"/>
      <c r="F2" s="149"/>
      <c r="G2" s="149"/>
      <c r="H2" s="149"/>
      <c r="I2" s="149"/>
      <c r="J2" s="150"/>
    </row>
    <row r="3" spans="2:10" ht="16.5" thickBot="1">
      <c r="B3" s="4"/>
      <c r="C3" s="151" t="s">
        <v>91</v>
      </c>
      <c r="D3" s="152"/>
      <c r="E3" s="152"/>
      <c r="F3" s="152"/>
      <c r="G3" s="152"/>
      <c r="H3" s="152"/>
      <c r="I3" s="152"/>
      <c r="J3" s="153"/>
    </row>
    <row r="5" spans="1:9" ht="13.5" thickBot="1">
      <c r="A5" s="4"/>
      <c r="D5" s="5"/>
      <c r="E5" s="5"/>
      <c r="F5" s="5"/>
      <c r="G5" s="5"/>
      <c r="H5" s="5"/>
      <c r="I5" s="5"/>
    </row>
    <row r="6" spans="1:10" ht="15">
      <c r="A6" s="6"/>
      <c r="B6" s="4"/>
      <c r="C6" s="44" t="s">
        <v>51</v>
      </c>
      <c r="D6" s="45" t="s">
        <v>24</v>
      </c>
      <c r="E6" s="45" t="s">
        <v>26</v>
      </c>
      <c r="F6" s="45" t="s">
        <v>28</v>
      </c>
      <c r="G6" s="154" t="s">
        <v>22</v>
      </c>
      <c r="H6" s="45" t="s">
        <v>31</v>
      </c>
      <c r="I6" s="45" t="s">
        <v>32</v>
      </c>
      <c r="J6" s="46" t="s">
        <v>32</v>
      </c>
    </row>
    <row r="7" spans="1:10" ht="30">
      <c r="A7" s="6"/>
      <c r="B7" s="4"/>
      <c r="C7" s="47" t="s">
        <v>52</v>
      </c>
      <c r="D7" s="48" t="s">
        <v>25</v>
      </c>
      <c r="E7" s="48" t="s">
        <v>27</v>
      </c>
      <c r="F7" s="48" t="s">
        <v>29</v>
      </c>
      <c r="G7" s="155"/>
      <c r="H7" s="48" t="s">
        <v>30</v>
      </c>
      <c r="I7" s="48" t="s">
        <v>29</v>
      </c>
      <c r="J7" s="49" t="s">
        <v>33</v>
      </c>
    </row>
    <row r="8" spans="1:10" ht="13.5" thickBot="1">
      <c r="A8" s="7"/>
      <c r="B8" s="8"/>
      <c r="C8" s="9"/>
      <c r="D8" s="9"/>
      <c r="E8" s="9"/>
      <c r="F8" s="9"/>
      <c r="G8" s="9"/>
      <c r="H8" s="9"/>
      <c r="I8" s="9"/>
      <c r="J8" s="9"/>
    </row>
    <row r="9" spans="1:10" ht="15">
      <c r="A9" s="50" t="s">
        <v>71</v>
      </c>
      <c r="B9" s="8"/>
      <c r="C9" s="51"/>
      <c r="D9" s="52" t="s">
        <v>72</v>
      </c>
      <c r="E9" s="52" t="s">
        <v>72</v>
      </c>
      <c r="F9" s="52" t="s">
        <v>72</v>
      </c>
      <c r="G9" s="52" t="s">
        <v>72</v>
      </c>
      <c r="H9" s="52" t="s">
        <v>73</v>
      </c>
      <c r="I9" s="52" t="s">
        <v>72</v>
      </c>
      <c r="J9" s="53" t="s">
        <v>72</v>
      </c>
    </row>
    <row r="10" spans="1:10" ht="15">
      <c r="A10" s="50" t="s">
        <v>74</v>
      </c>
      <c r="B10" s="8"/>
      <c r="C10" s="54"/>
      <c r="D10" s="55" t="s">
        <v>75</v>
      </c>
      <c r="E10" s="55" t="s">
        <v>75</v>
      </c>
      <c r="F10" s="55" t="s">
        <v>75</v>
      </c>
      <c r="G10" s="55" t="s">
        <v>75</v>
      </c>
      <c r="H10" s="55" t="s">
        <v>75</v>
      </c>
      <c r="I10" s="55" t="s">
        <v>76</v>
      </c>
      <c r="J10" s="56" t="s">
        <v>76</v>
      </c>
    </row>
    <row r="11" spans="1:10" ht="15">
      <c r="A11" s="50" t="s">
        <v>77</v>
      </c>
      <c r="B11" s="8"/>
      <c r="C11" s="54"/>
      <c r="D11" s="55">
        <v>1941</v>
      </c>
      <c r="E11" s="55">
        <v>1954</v>
      </c>
      <c r="F11" s="55">
        <v>1957</v>
      </c>
      <c r="G11" s="55">
        <v>1964</v>
      </c>
      <c r="H11" s="55">
        <v>1981</v>
      </c>
      <c r="I11" s="55">
        <v>1984</v>
      </c>
      <c r="J11" s="56">
        <v>1988</v>
      </c>
    </row>
    <row r="12" spans="1:10" ht="15">
      <c r="A12" s="50" t="s">
        <v>78</v>
      </c>
      <c r="B12" s="8"/>
      <c r="C12" s="54"/>
      <c r="D12" s="55" t="s">
        <v>76</v>
      </c>
      <c r="E12" s="55" t="s">
        <v>75</v>
      </c>
      <c r="F12" s="55" t="s">
        <v>75</v>
      </c>
      <c r="G12" s="55" t="s">
        <v>75</v>
      </c>
      <c r="H12" s="55" t="s">
        <v>75</v>
      </c>
      <c r="I12" s="55" t="s">
        <v>75</v>
      </c>
      <c r="J12" s="56" t="s">
        <v>75</v>
      </c>
    </row>
    <row r="13" spans="1:10" ht="15">
      <c r="A13" s="50" t="s">
        <v>21</v>
      </c>
      <c r="B13" s="8"/>
      <c r="C13" s="57">
        <f>SUM(D13:K13)</f>
        <v>1000</v>
      </c>
      <c r="D13" s="55">
        <v>150</v>
      </c>
      <c r="E13" s="55">
        <v>200</v>
      </c>
      <c r="F13" s="55">
        <v>85</v>
      </c>
      <c r="G13" s="55">
        <v>200</v>
      </c>
      <c r="H13" s="55">
        <v>240</v>
      </c>
      <c r="I13" s="55">
        <v>75</v>
      </c>
      <c r="J13" s="56">
        <v>50</v>
      </c>
    </row>
    <row r="14" spans="1:10" ht="15">
      <c r="A14" s="50" t="s">
        <v>79</v>
      </c>
      <c r="B14" s="8"/>
      <c r="C14" s="58">
        <f>((D14*D$13)+(E14*E$13)+(F14*F$13)+(G14*G$13)+(H14*H$13)+(I14*I$13)+(J14*J$13)+(K14*K$13))/$C$13</f>
        <v>2.0625</v>
      </c>
      <c r="D14" s="59">
        <v>1.5</v>
      </c>
      <c r="E14" s="59">
        <v>2</v>
      </c>
      <c r="F14" s="59">
        <v>2.5</v>
      </c>
      <c r="G14" s="59">
        <v>3</v>
      </c>
      <c r="H14" s="59">
        <v>1</v>
      </c>
      <c r="I14" s="59">
        <v>3</v>
      </c>
      <c r="J14" s="60">
        <v>3.2</v>
      </c>
    </row>
    <row r="15" spans="1:10" ht="15">
      <c r="A15" s="50" t="s">
        <v>56</v>
      </c>
      <c r="B15" s="8"/>
      <c r="C15" s="61">
        <v>0.9848</v>
      </c>
      <c r="D15" s="62">
        <v>0.99</v>
      </c>
      <c r="E15" s="62">
        <v>0.98</v>
      </c>
      <c r="F15" s="62">
        <v>0.91</v>
      </c>
      <c r="G15" s="62">
        <v>0.99</v>
      </c>
      <c r="H15" s="62">
        <v>0.99</v>
      </c>
      <c r="I15" s="62">
        <v>0.99</v>
      </c>
      <c r="J15" s="64">
        <v>0.98</v>
      </c>
    </row>
    <row r="16" spans="1:10" ht="15.75" thickBot="1">
      <c r="A16" s="50" t="s">
        <v>83</v>
      </c>
      <c r="B16" s="8"/>
      <c r="C16" s="65">
        <f>SUM(D16:J16)</f>
        <v>159.25</v>
      </c>
      <c r="D16" s="66">
        <f>+D13*0.15</f>
        <v>22.5</v>
      </c>
      <c r="E16" s="66">
        <f>+E13*0.15</f>
        <v>30</v>
      </c>
      <c r="F16" s="66">
        <f>+F13*0.4</f>
        <v>34</v>
      </c>
      <c r="G16" s="66">
        <f>+G13*0.15</f>
        <v>30</v>
      </c>
      <c r="H16" s="66">
        <f>+H13*0.1</f>
        <v>24</v>
      </c>
      <c r="I16" s="66">
        <f>+I13*0.15</f>
        <v>11.25</v>
      </c>
      <c r="J16" s="67">
        <f>+J13*0.15</f>
        <v>7.5</v>
      </c>
    </row>
    <row r="17" spans="1:10" ht="12.75" hidden="1">
      <c r="A17" s="10" t="s">
        <v>53</v>
      </c>
      <c r="B17" s="8"/>
      <c r="C17" s="11">
        <f>((D17*D$13)+(E17*E$13)+(F17*F$13)+(G17*G$13)+(K17*K$13)+(H17*H$13)+(I17*I$13)+(J17*J$13))/$C$13</f>
        <v>342.595</v>
      </c>
      <c r="D17" s="12">
        <v>325</v>
      </c>
      <c r="E17" s="12">
        <v>362</v>
      </c>
      <c r="F17" s="12">
        <v>372</v>
      </c>
      <c r="G17" s="12">
        <v>365</v>
      </c>
      <c r="H17" s="12">
        <v>305</v>
      </c>
      <c r="I17" s="12">
        <v>345</v>
      </c>
      <c r="J17" s="12">
        <v>355</v>
      </c>
    </row>
    <row r="18" spans="1:10" ht="12.75" hidden="1">
      <c r="A18" s="10" t="s">
        <v>54</v>
      </c>
      <c r="B18" s="8"/>
      <c r="C18" s="13">
        <f>((D18*D$13)+(E18*E$13)+(F18*F$13)+(G18*G$13)+(K18*K$13)+(H18*H$13)+(I18*I$13)+(J18*J$13))/$C$13</f>
        <v>0.8954145</v>
      </c>
      <c r="D18" s="14">
        <v>0.89</v>
      </c>
      <c r="E18" s="14">
        <v>0.89</v>
      </c>
      <c r="F18" s="14">
        <v>0.9537</v>
      </c>
      <c r="G18" s="14">
        <v>0.89</v>
      </c>
      <c r="H18" s="14">
        <v>0.89</v>
      </c>
      <c r="I18" s="14">
        <v>0.89</v>
      </c>
      <c r="J18" s="14">
        <v>0.89</v>
      </c>
    </row>
    <row r="19" spans="1:10" s="19" customFormat="1" ht="12.75">
      <c r="A19" s="15"/>
      <c r="B19" s="16"/>
      <c r="C19" s="17"/>
      <c r="D19" s="18"/>
      <c r="E19" s="18"/>
      <c r="F19" s="18"/>
      <c r="G19" s="18"/>
      <c r="H19" s="18"/>
      <c r="I19" s="18"/>
      <c r="J19" s="18"/>
    </row>
    <row r="20" spans="1:10" ht="12.75">
      <c r="A20" s="20" t="s">
        <v>2</v>
      </c>
      <c r="B20" s="8"/>
      <c r="C20" s="21"/>
      <c r="D20" s="21"/>
      <c r="E20" s="21"/>
      <c r="F20" s="21"/>
      <c r="G20" s="21"/>
      <c r="H20" s="21"/>
      <c r="I20" s="21"/>
      <c r="J20" s="21"/>
    </row>
    <row r="21" spans="1:11" ht="13.5" thickBot="1">
      <c r="A21" s="20"/>
      <c r="B21" s="8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15">
      <c r="A22" s="50" t="s">
        <v>34</v>
      </c>
      <c r="B22" s="8"/>
      <c r="C22" s="24">
        <f>((D22*D$13)+(E22*E$13)+(F22*F$13)+(G22*G$13)+(H22*H$13)+(I22*I$13)+(J22*J$13)+(K22*K$13))/$C$13</f>
        <v>197.36675</v>
      </c>
      <c r="D22" s="25">
        <f>190*D15</f>
        <v>188.1</v>
      </c>
      <c r="E22" s="25">
        <f>185*E15</f>
        <v>181.29999999999998</v>
      </c>
      <c r="F22" s="25">
        <f>175*F15</f>
        <v>159.25</v>
      </c>
      <c r="G22" s="25">
        <f>189*G15</f>
        <v>187.10999999999999</v>
      </c>
      <c r="H22" s="25">
        <f>210*H15</f>
        <v>207.9</v>
      </c>
      <c r="I22" s="25">
        <f>250*I15</f>
        <v>247.5</v>
      </c>
      <c r="J22" s="26">
        <f>275*J15</f>
        <v>269.5</v>
      </c>
      <c r="K22" s="23"/>
    </row>
    <row r="23" spans="1:11" ht="15">
      <c r="A23" s="50" t="s">
        <v>41</v>
      </c>
      <c r="B23" s="8"/>
      <c r="C23" s="27">
        <f aca="true" t="shared" si="0" ref="C23:C30">((D23*D$13)+(E23*E$13)+(F23*F$13)+(G23*G$13)+(H23*H$13)+(I23*I$13)+(J23*J$13)+(K23*K$13))/$C$13</f>
        <v>4.6</v>
      </c>
      <c r="D23" s="22">
        <v>3</v>
      </c>
      <c r="E23" s="22">
        <v>2</v>
      </c>
      <c r="F23" s="22">
        <v>4</v>
      </c>
      <c r="G23" s="22">
        <v>5</v>
      </c>
      <c r="H23" s="22">
        <v>9</v>
      </c>
      <c r="I23" s="22">
        <v>2</v>
      </c>
      <c r="J23" s="28">
        <v>2</v>
      </c>
      <c r="K23" s="23"/>
    </row>
    <row r="24" spans="1:11" ht="15">
      <c r="A24" s="50" t="s">
        <v>69</v>
      </c>
      <c r="B24" s="8"/>
      <c r="C24" s="27">
        <f t="shared" si="0"/>
        <v>141.9251175</v>
      </c>
      <c r="D24" s="22">
        <f aca="true" t="shared" si="1" ref="D24:J24">+(+D17-D22)*D15</f>
        <v>135.531</v>
      </c>
      <c r="E24" s="22">
        <f t="shared" si="1"/>
        <v>177.086</v>
      </c>
      <c r="F24" s="29">
        <f t="shared" si="1"/>
        <v>193.60250000000002</v>
      </c>
      <c r="G24" s="22">
        <f t="shared" si="1"/>
        <v>176.11110000000002</v>
      </c>
      <c r="H24" s="22">
        <f t="shared" si="1"/>
        <v>96.12899999999999</v>
      </c>
      <c r="I24" s="22">
        <f t="shared" si="1"/>
        <v>96.525</v>
      </c>
      <c r="J24" s="28">
        <f t="shared" si="1"/>
        <v>83.78999999999999</v>
      </c>
      <c r="K24" s="23"/>
    </row>
    <row r="25" spans="1:11" ht="15">
      <c r="A25" s="50" t="s">
        <v>68</v>
      </c>
      <c r="B25" s="8"/>
      <c r="C25" s="27">
        <f t="shared" si="0"/>
        <v>136.19</v>
      </c>
      <c r="D25" s="22">
        <f>+D58</f>
        <v>138</v>
      </c>
      <c r="E25" s="22">
        <f aca="true" t="shared" si="2" ref="E25:J25">+E58</f>
        <v>174</v>
      </c>
      <c r="F25" s="22">
        <f t="shared" si="2"/>
        <v>159</v>
      </c>
      <c r="G25" s="22">
        <f t="shared" si="2"/>
        <v>146</v>
      </c>
      <c r="H25" s="22">
        <f t="shared" si="2"/>
        <v>155</v>
      </c>
      <c r="I25" s="22">
        <f t="shared" si="2"/>
        <v>5</v>
      </c>
      <c r="J25" s="28">
        <f t="shared" si="2"/>
        <v>8</v>
      </c>
      <c r="K25" s="23"/>
    </row>
    <row r="26" spans="1:11" ht="15">
      <c r="A26" s="50" t="s">
        <v>93</v>
      </c>
      <c r="B26" s="8"/>
      <c r="C26" s="27">
        <f t="shared" si="0"/>
        <v>14.117674999999998</v>
      </c>
      <c r="D26" s="22">
        <f>+D85+4+2+2</f>
        <v>13.01</v>
      </c>
      <c r="E26" s="22">
        <f aca="true" t="shared" si="3" ref="E26:J26">+E85+4+2+2</f>
        <v>8.729999999999999</v>
      </c>
      <c r="F26" s="22">
        <f t="shared" si="3"/>
        <v>8.025</v>
      </c>
      <c r="G26" s="22">
        <f t="shared" si="3"/>
        <v>12.110999999999999</v>
      </c>
      <c r="H26" s="22">
        <f t="shared" si="3"/>
        <v>13.290000000000001</v>
      </c>
      <c r="I26" s="22">
        <f t="shared" si="3"/>
        <v>32.25</v>
      </c>
      <c r="J26" s="28">
        <f t="shared" si="3"/>
        <v>34.150000000000006</v>
      </c>
      <c r="K26" s="23"/>
    </row>
    <row r="27" spans="1:11" ht="15">
      <c r="A27" s="50" t="s">
        <v>102</v>
      </c>
      <c r="B27" s="8"/>
      <c r="C27" s="27">
        <f t="shared" si="0"/>
        <v>-30.192989576249996</v>
      </c>
      <c r="D27" s="22">
        <f aca="true" t="shared" si="4" ref="D27:J27">-(D24+D25+D26)*(1-D18)</f>
        <v>-31.519509999999997</v>
      </c>
      <c r="E27" s="22">
        <f t="shared" si="4"/>
        <v>-39.57976</v>
      </c>
      <c r="F27" s="22">
        <f t="shared" si="4"/>
        <v>-16.697053250000003</v>
      </c>
      <c r="G27" s="22">
        <f t="shared" si="4"/>
        <v>-36.764430999999995</v>
      </c>
      <c r="H27" s="22">
        <f t="shared" si="4"/>
        <v>-29.086089999999995</v>
      </c>
      <c r="I27" s="22">
        <f t="shared" si="4"/>
        <v>-14.71525</v>
      </c>
      <c r="J27" s="28">
        <f t="shared" si="4"/>
        <v>-13.853399999999999</v>
      </c>
      <c r="K27" s="23"/>
    </row>
    <row r="28" spans="1:11" ht="30">
      <c r="A28" s="50" t="s">
        <v>55</v>
      </c>
      <c r="B28" s="8"/>
      <c r="C28" s="27">
        <f t="shared" si="0"/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8">
        <v>0</v>
      </c>
      <c r="K28" s="23"/>
    </row>
    <row r="29" spans="1:11" ht="15">
      <c r="A29" s="50" t="s">
        <v>42</v>
      </c>
      <c r="B29" s="8"/>
      <c r="C29" s="27">
        <f t="shared" si="0"/>
        <v>4</v>
      </c>
      <c r="D29" s="22">
        <v>4</v>
      </c>
      <c r="E29" s="22">
        <v>4</v>
      </c>
      <c r="F29" s="22">
        <v>4</v>
      </c>
      <c r="G29" s="22">
        <v>4</v>
      </c>
      <c r="H29" s="22">
        <v>4</v>
      </c>
      <c r="I29" s="22">
        <v>4</v>
      </c>
      <c r="J29" s="28">
        <v>4</v>
      </c>
      <c r="K29" s="23"/>
    </row>
    <row r="30" spans="1:11" ht="15.75" thickBot="1">
      <c r="A30" s="50" t="s">
        <v>43</v>
      </c>
      <c r="B30" s="8"/>
      <c r="C30" s="30">
        <f t="shared" si="0"/>
        <v>10.25</v>
      </c>
      <c r="D30" s="22">
        <v>11</v>
      </c>
      <c r="E30" s="22">
        <v>9</v>
      </c>
      <c r="F30" s="22">
        <v>15</v>
      </c>
      <c r="G30" s="22">
        <v>5</v>
      </c>
      <c r="H30" s="22">
        <v>15</v>
      </c>
      <c r="I30" s="22">
        <v>5</v>
      </c>
      <c r="J30" s="28">
        <v>11</v>
      </c>
      <c r="K30" s="23"/>
    </row>
    <row r="31" spans="1:11" ht="15.75" thickBot="1">
      <c r="A31" s="50" t="s">
        <v>40</v>
      </c>
      <c r="B31" s="8"/>
      <c r="C31" s="75">
        <f>((D31*D$13)+(E31*E$13)+(F31*F$13)+(G31*G$13)+(K33*K$13)+(H31*H$13)+(I31*I$13)+(J31*J$13))/$C$13</f>
        <v>478.25655292375</v>
      </c>
      <c r="D31" s="68">
        <f aca="true" t="shared" si="5" ref="D31:J31">SUM(D22:D30)</f>
        <v>461.12149</v>
      </c>
      <c r="E31" s="68">
        <f t="shared" si="5"/>
        <v>516.5362399999999</v>
      </c>
      <c r="F31" s="68">
        <f t="shared" si="5"/>
        <v>526.1804467499999</v>
      </c>
      <c r="G31" s="68">
        <f t="shared" si="5"/>
        <v>498.56766899999997</v>
      </c>
      <c r="H31" s="68">
        <f t="shared" si="5"/>
        <v>471.23291</v>
      </c>
      <c r="I31" s="68">
        <f t="shared" si="5"/>
        <v>377.55974999999995</v>
      </c>
      <c r="J31" s="69">
        <f t="shared" si="5"/>
        <v>398.5865999999999</v>
      </c>
      <c r="K31" s="23"/>
    </row>
    <row r="32" spans="1:11" ht="12.75">
      <c r="A32" s="31"/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2.75">
      <c r="A33" s="31"/>
      <c r="B33" s="21"/>
      <c r="C33" s="22"/>
      <c r="D33" s="22"/>
      <c r="E33" s="22"/>
      <c r="F33" s="22"/>
      <c r="G33" s="22"/>
      <c r="H33" s="22"/>
      <c r="I33" s="22"/>
      <c r="J33" s="22"/>
      <c r="K33" s="23"/>
    </row>
    <row r="34" spans="1:11" ht="12.75">
      <c r="A34" s="20" t="s">
        <v>3</v>
      </c>
      <c r="B34" s="21"/>
      <c r="C34" s="32"/>
      <c r="D34" s="22"/>
      <c r="E34" s="22"/>
      <c r="F34" s="29"/>
      <c r="G34" s="22"/>
      <c r="H34" s="22"/>
      <c r="I34" s="22"/>
      <c r="J34" s="22"/>
      <c r="K34" s="23"/>
    </row>
    <row r="35" spans="1:11" ht="13.5" thickBot="1">
      <c r="A35" s="20"/>
      <c r="B35" s="21"/>
      <c r="C35" s="32"/>
      <c r="D35" s="22"/>
      <c r="E35" s="22"/>
      <c r="F35" s="29"/>
      <c r="G35" s="22"/>
      <c r="H35" s="22"/>
      <c r="I35" s="22"/>
      <c r="J35" s="22"/>
      <c r="K35" s="23"/>
    </row>
    <row r="36" spans="1:12" ht="15">
      <c r="A36" s="50" t="s">
        <v>4</v>
      </c>
      <c r="B36" s="21"/>
      <c r="C36" s="24">
        <f aca="true" t="shared" si="6" ref="C36:C89">((D36*D$13)+(E36*E$13)+(F36*F$13)+(G36*G$13)+(H36*H$13)+(I36*I$13)+(J36*J$13)+(K36*K$13))/$C$13</f>
        <v>38.10416666666666</v>
      </c>
      <c r="D36" s="25">
        <f aca="true" t="shared" si="7" ref="D36:J36">+D106</f>
        <v>35.8451072736787</v>
      </c>
      <c r="E36" s="25">
        <f t="shared" si="7"/>
        <v>33.76177394034537</v>
      </c>
      <c r="F36" s="25">
        <f t="shared" si="7"/>
        <v>51.55100501739157</v>
      </c>
      <c r="G36" s="25">
        <f t="shared" si="7"/>
        <v>35.2201072736787</v>
      </c>
      <c r="H36" s="25">
        <f t="shared" si="7"/>
        <v>38.4800715157858</v>
      </c>
      <c r="I36" s="25">
        <f t="shared" si="7"/>
        <v>41.40066282923426</v>
      </c>
      <c r="J36" s="26">
        <f t="shared" si="7"/>
        <v>44.17844060701203</v>
      </c>
      <c r="K36" s="23"/>
      <c r="L36" s="33"/>
    </row>
    <row r="37" spans="1:12" ht="15">
      <c r="A37" s="50" t="s">
        <v>38</v>
      </c>
      <c r="B37" s="21"/>
      <c r="C37" s="27">
        <f t="shared" si="6"/>
        <v>12.193333333333332</v>
      </c>
      <c r="D37" s="22">
        <f aca="true" t="shared" si="8" ref="D37:J37">D36*0.32</f>
        <v>11.470434327577184</v>
      </c>
      <c r="E37" s="22">
        <f t="shared" si="8"/>
        <v>10.80376766091052</v>
      </c>
      <c r="F37" s="22">
        <f t="shared" si="8"/>
        <v>16.496321605565303</v>
      </c>
      <c r="G37" s="22">
        <f t="shared" si="8"/>
        <v>11.270434327577185</v>
      </c>
      <c r="H37" s="22">
        <f t="shared" si="8"/>
        <v>12.313622885051457</v>
      </c>
      <c r="I37" s="22">
        <f t="shared" si="8"/>
        <v>13.248212105354963</v>
      </c>
      <c r="J37" s="28">
        <f t="shared" si="8"/>
        <v>14.13710099424385</v>
      </c>
      <c r="K37" s="23"/>
      <c r="L37" s="33"/>
    </row>
    <row r="38" spans="1:11" ht="15">
      <c r="A38" s="50" t="s">
        <v>39</v>
      </c>
      <c r="B38" s="21"/>
      <c r="C38" s="27">
        <f t="shared" si="6"/>
        <v>2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8">
        <v>2</v>
      </c>
      <c r="K38" s="23"/>
    </row>
    <row r="39" spans="1:11" ht="15">
      <c r="A39" s="50" t="s">
        <v>5</v>
      </c>
      <c r="B39" s="21"/>
      <c r="C39" s="27">
        <f t="shared" si="6"/>
        <v>44.1315</v>
      </c>
      <c r="D39" s="22">
        <f aca="true" t="shared" si="9" ref="D39:J39">45*D15</f>
        <v>44.55</v>
      </c>
      <c r="E39" s="22">
        <f t="shared" si="9"/>
        <v>44.1</v>
      </c>
      <c r="F39" s="22">
        <f t="shared" si="9"/>
        <v>40.95</v>
      </c>
      <c r="G39" s="22">
        <f t="shared" si="9"/>
        <v>44.55</v>
      </c>
      <c r="H39" s="22">
        <f t="shared" si="9"/>
        <v>44.55</v>
      </c>
      <c r="I39" s="22">
        <f t="shared" si="9"/>
        <v>44.55</v>
      </c>
      <c r="J39" s="28">
        <f t="shared" si="9"/>
        <v>44.1</v>
      </c>
      <c r="K39" s="23"/>
    </row>
    <row r="40" spans="1:11" ht="15">
      <c r="A40" s="50" t="s">
        <v>44</v>
      </c>
      <c r="B40" s="21"/>
      <c r="C40" s="27">
        <f t="shared" si="6"/>
        <v>7.35525</v>
      </c>
      <c r="D40" s="22">
        <f>7.5*D15</f>
        <v>7.425</v>
      </c>
      <c r="E40" s="22">
        <f aca="true" t="shared" si="10" ref="E40:J40">7.5*E15</f>
        <v>7.35</v>
      </c>
      <c r="F40" s="22">
        <f t="shared" si="10"/>
        <v>6.825</v>
      </c>
      <c r="G40" s="22">
        <f t="shared" si="10"/>
        <v>7.425</v>
      </c>
      <c r="H40" s="22">
        <f t="shared" si="10"/>
        <v>7.425</v>
      </c>
      <c r="I40" s="22">
        <f t="shared" si="10"/>
        <v>7.425</v>
      </c>
      <c r="J40" s="28">
        <f t="shared" si="10"/>
        <v>7.35</v>
      </c>
      <c r="K40" s="23"/>
    </row>
    <row r="41" spans="1:11" ht="15">
      <c r="A41" s="50" t="s">
        <v>65</v>
      </c>
      <c r="B41" s="21"/>
      <c r="C41" s="27">
        <f t="shared" si="6"/>
        <v>3.947335</v>
      </c>
      <c r="D41" s="22">
        <f>+D22*0.02</f>
        <v>3.762</v>
      </c>
      <c r="E41" s="22">
        <f aca="true" t="shared" si="11" ref="E41:J41">+E22*0.02</f>
        <v>3.626</v>
      </c>
      <c r="F41" s="22">
        <f t="shared" si="11"/>
        <v>3.185</v>
      </c>
      <c r="G41" s="22">
        <f t="shared" si="11"/>
        <v>3.7422</v>
      </c>
      <c r="H41" s="22">
        <f t="shared" si="11"/>
        <v>4.158</v>
      </c>
      <c r="I41" s="22">
        <f t="shared" si="11"/>
        <v>4.95</v>
      </c>
      <c r="J41" s="28">
        <f t="shared" si="11"/>
        <v>5.39</v>
      </c>
      <c r="K41" s="23"/>
    </row>
    <row r="42" spans="1:11" ht="15">
      <c r="A42" s="50" t="s">
        <v>49</v>
      </c>
      <c r="B42" s="21"/>
      <c r="C42" s="27">
        <f t="shared" si="6"/>
        <v>3.275</v>
      </c>
      <c r="D42" s="22">
        <f>500/D13+D131</f>
        <v>3.403976975405547</v>
      </c>
      <c r="E42" s="22">
        <f>500/E13+E131</f>
        <v>2.5706436420722136</v>
      </c>
      <c r="F42" s="22">
        <f>400/F13+F131</f>
        <v>4.89426539846708</v>
      </c>
      <c r="G42" s="22">
        <f>500/G13+G131</f>
        <v>2.5706436420722136</v>
      </c>
      <c r="H42" s="22">
        <f>500/H13+H131</f>
        <v>2.1304290947148092</v>
      </c>
      <c r="I42" s="22">
        <f>400/I13+I131</f>
        <v>5.403976975405547</v>
      </c>
      <c r="J42" s="28">
        <f>400/J13+J131</f>
        <v>8.070643642072213</v>
      </c>
      <c r="K42" s="23"/>
    </row>
    <row r="43" spans="1:12" ht="15">
      <c r="A43" s="50" t="s">
        <v>81</v>
      </c>
      <c r="B43" s="21"/>
      <c r="C43" s="27">
        <f t="shared" si="6"/>
        <v>1.6666666666666667</v>
      </c>
      <c r="D43" s="22">
        <f>2500/D13/12+D130</f>
        <v>1.585121227978371</v>
      </c>
      <c r="E43" s="22">
        <f aca="true" t="shared" si="12" ref="E43:J43">2500/E13/12+E130</f>
        <v>1.2378990057561488</v>
      </c>
      <c r="F43" s="22">
        <f t="shared" si="12"/>
        <v>2.9742666297288145</v>
      </c>
      <c r="G43" s="22">
        <f t="shared" si="12"/>
        <v>1.2378990057561488</v>
      </c>
      <c r="H43" s="22">
        <f t="shared" si="12"/>
        <v>0.9988771149485435</v>
      </c>
      <c r="I43" s="22">
        <f t="shared" si="12"/>
        <v>2.97401011686726</v>
      </c>
      <c r="J43" s="28">
        <f t="shared" si="12"/>
        <v>4.362899005756149</v>
      </c>
      <c r="K43" s="23"/>
      <c r="L43" s="33"/>
    </row>
    <row r="44" spans="1:11" ht="15">
      <c r="A44" s="50" t="s">
        <v>50</v>
      </c>
      <c r="B44" s="21"/>
      <c r="C44" s="27">
        <f t="shared" si="6"/>
        <v>5.405</v>
      </c>
      <c r="D44" s="22">
        <v>6</v>
      </c>
      <c r="E44" s="22">
        <v>5</v>
      </c>
      <c r="F44" s="22">
        <v>6</v>
      </c>
      <c r="G44" s="22">
        <v>7</v>
      </c>
      <c r="H44" s="29">
        <v>3</v>
      </c>
      <c r="I44" s="29">
        <v>5</v>
      </c>
      <c r="J44" s="34">
        <v>10</v>
      </c>
      <c r="K44" s="23"/>
    </row>
    <row r="45" spans="1:12" ht="15.75" thickBot="1">
      <c r="A45" s="50" t="s">
        <v>94</v>
      </c>
      <c r="B45" s="21"/>
      <c r="C45" s="27">
        <f t="shared" si="6"/>
        <v>3.6050000000000026</v>
      </c>
      <c r="D45" s="29">
        <f aca="true" t="shared" si="13" ref="D45:I45">416.666666666667/D13+D132</f>
        <v>3.52032094889238</v>
      </c>
      <c r="E45" s="29">
        <f t="shared" si="13"/>
        <v>2.825876504447935</v>
      </c>
      <c r="F45" s="29">
        <f t="shared" si="13"/>
        <v>6.882075907285995</v>
      </c>
      <c r="G45" s="29">
        <f t="shared" si="13"/>
        <v>2.825876504447935</v>
      </c>
      <c r="H45" s="29">
        <f t="shared" si="13"/>
        <v>2.231139891854179</v>
      </c>
      <c r="I45" s="29">
        <f t="shared" si="13"/>
        <v>6.29809872667016</v>
      </c>
      <c r="J45" s="35">
        <f>316.666666666667/J13+J132</f>
        <v>7.07587650444794</v>
      </c>
      <c r="K45" s="23"/>
      <c r="L45" s="33"/>
    </row>
    <row r="46" spans="1:11" ht="15.75" thickBot="1">
      <c r="A46" s="50" t="s">
        <v>6</v>
      </c>
      <c r="B46" s="21"/>
      <c r="C46" s="75">
        <f t="shared" si="6"/>
        <v>121.68325166666666</v>
      </c>
      <c r="D46" s="68">
        <f aca="true" t="shared" si="14" ref="D46:J46">SUM(D36:D45)</f>
        <v>119.56196075353218</v>
      </c>
      <c r="E46" s="68">
        <f t="shared" si="14"/>
        <v>113.27596075353217</v>
      </c>
      <c r="F46" s="68">
        <f t="shared" si="14"/>
        <v>141.7579345584388</v>
      </c>
      <c r="G46" s="68">
        <f t="shared" si="14"/>
        <v>117.84216075353217</v>
      </c>
      <c r="H46" s="68">
        <f t="shared" si="14"/>
        <v>117.28714050235479</v>
      </c>
      <c r="I46" s="68">
        <f t="shared" si="14"/>
        <v>133.24996075353218</v>
      </c>
      <c r="J46" s="69">
        <f t="shared" si="14"/>
        <v>146.66496075353217</v>
      </c>
      <c r="K46" s="23"/>
    </row>
    <row r="47" spans="1:11" ht="13.5" thickBot="1">
      <c r="A47" s="31"/>
      <c r="B47" s="21"/>
      <c r="C47" s="32" t="s">
        <v>70</v>
      </c>
      <c r="D47" s="29"/>
      <c r="E47" s="29"/>
      <c r="F47" s="29"/>
      <c r="G47" s="29"/>
      <c r="H47" s="22"/>
      <c r="I47" s="22"/>
      <c r="J47" s="22"/>
      <c r="K47" s="23"/>
    </row>
    <row r="48" spans="1:11" ht="15">
      <c r="A48" s="50" t="s">
        <v>7</v>
      </c>
      <c r="B48" s="21"/>
      <c r="C48" s="24">
        <f t="shared" si="6"/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7">
        <v>0</v>
      </c>
      <c r="K48" s="23"/>
    </row>
    <row r="49" spans="1:11" ht="15">
      <c r="A49" s="50" t="s">
        <v>38</v>
      </c>
      <c r="B49" s="21"/>
      <c r="C49" s="27">
        <f t="shared" si="6"/>
        <v>0</v>
      </c>
      <c r="D49" s="29">
        <f aca="true" t="shared" si="15" ref="D49:J49">D48*0.32</f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  <c r="I49" s="29">
        <f t="shared" si="15"/>
        <v>0</v>
      </c>
      <c r="J49" s="34">
        <f t="shared" si="15"/>
        <v>0</v>
      </c>
      <c r="K49" s="23"/>
    </row>
    <row r="50" spans="1:11" ht="30">
      <c r="A50" s="50" t="s">
        <v>8</v>
      </c>
      <c r="B50" s="21"/>
      <c r="C50" s="27">
        <f t="shared" si="6"/>
        <v>2.96</v>
      </c>
      <c r="D50" s="29">
        <v>3</v>
      </c>
      <c r="E50" s="29">
        <v>3</v>
      </c>
      <c r="F50" s="29">
        <v>3</v>
      </c>
      <c r="G50" s="29">
        <v>4</v>
      </c>
      <c r="H50" s="29">
        <v>2</v>
      </c>
      <c r="I50" s="29">
        <v>3</v>
      </c>
      <c r="J50" s="34">
        <v>3</v>
      </c>
      <c r="K50" s="23"/>
    </row>
    <row r="51" spans="1:11" ht="30.75" thickBot="1">
      <c r="A51" s="50" t="s">
        <v>9</v>
      </c>
      <c r="B51" s="21"/>
      <c r="C51" s="27">
        <f t="shared" si="6"/>
        <v>7.155</v>
      </c>
      <c r="D51" s="29">
        <v>8</v>
      </c>
      <c r="E51" s="29">
        <v>10</v>
      </c>
      <c r="F51" s="29">
        <v>7</v>
      </c>
      <c r="G51" s="29">
        <v>8</v>
      </c>
      <c r="H51" s="22">
        <v>4</v>
      </c>
      <c r="I51" s="22">
        <v>6</v>
      </c>
      <c r="J51" s="28">
        <v>7</v>
      </c>
      <c r="K51" s="23"/>
    </row>
    <row r="52" spans="1:11" ht="15.75" thickBot="1">
      <c r="A52" s="50" t="s">
        <v>10</v>
      </c>
      <c r="B52" s="21"/>
      <c r="C52" s="75">
        <f t="shared" si="6"/>
        <v>10.115</v>
      </c>
      <c r="D52" s="68">
        <f aca="true" t="shared" si="16" ref="D52:J52">SUM(D48:D51)</f>
        <v>11</v>
      </c>
      <c r="E52" s="68">
        <f t="shared" si="16"/>
        <v>13</v>
      </c>
      <c r="F52" s="68">
        <f t="shared" si="16"/>
        <v>10</v>
      </c>
      <c r="G52" s="68">
        <f t="shared" si="16"/>
        <v>12</v>
      </c>
      <c r="H52" s="68">
        <f t="shared" si="16"/>
        <v>6</v>
      </c>
      <c r="I52" s="68">
        <f t="shared" si="16"/>
        <v>9</v>
      </c>
      <c r="J52" s="69">
        <f t="shared" si="16"/>
        <v>10</v>
      </c>
      <c r="K52" s="23"/>
    </row>
    <row r="53" spans="1:11" ht="13.5" thickBot="1">
      <c r="A53" s="31"/>
      <c r="B53" s="21"/>
      <c r="C53" s="38" t="s">
        <v>70</v>
      </c>
      <c r="D53" s="29"/>
      <c r="E53" s="29"/>
      <c r="F53" s="29"/>
      <c r="G53" s="29"/>
      <c r="H53" s="29"/>
      <c r="I53" s="29"/>
      <c r="J53" s="29"/>
      <c r="K53" s="23"/>
    </row>
    <row r="54" spans="1:11" ht="15">
      <c r="A54" s="50" t="s">
        <v>45</v>
      </c>
      <c r="B54" s="21"/>
      <c r="C54" s="24">
        <f t="shared" si="6"/>
        <v>45.105</v>
      </c>
      <c r="D54" s="36">
        <v>45</v>
      </c>
      <c r="E54" s="36">
        <v>62</v>
      </c>
      <c r="F54" s="36">
        <v>55</v>
      </c>
      <c r="G54" s="36">
        <v>50</v>
      </c>
      <c r="H54" s="36">
        <v>47</v>
      </c>
      <c r="I54" s="36">
        <v>0</v>
      </c>
      <c r="J54" s="37">
        <v>0</v>
      </c>
      <c r="K54" s="23"/>
    </row>
    <row r="55" spans="1:11" ht="15">
      <c r="A55" s="50" t="s">
        <v>46</v>
      </c>
      <c r="B55" s="21"/>
      <c r="C55" s="27">
        <f t="shared" si="6"/>
        <v>57.05</v>
      </c>
      <c r="D55" s="29">
        <v>58</v>
      </c>
      <c r="E55" s="29">
        <v>70</v>
      </c>
      <c r="F55" s="29">
        <v>60</v>
      </c>
      <c r="G55" s="29">
        <v>55</v>
      </c>
      <c r="H55" s="29">
        <v>75</v>
      </c>
      <c r="I55" s="29">
        <v>2</v>
      </c>
      <c r="J55" s="34">
        <v>2</v>
      </c>
      <c r="K55" s="23"/>
    </row>
    <row r="56" spans="1:11" ht="15">
      <c r="A56" s="50" t="s">
        <v>47</v>
      </c>
      <c r="B56" s="21"/>
      <c r="C56" s="27">
        <f t="shared" si="6"/>
        <v>34.035</v>
      </c>
      <c r="D56" s="29">
        <v>35</v>
      </c>
      <c r="E56" s="29">
        <v>42</v>
      </c>
      <c r="F56" s="29">
        <v>44</v>
      </c>
      <c r="G56" s="29">
        <v>41</v>
      </c>
      <c r="H56" s="29">
        <v>33</v>
      </c>
      <c r="I56" s="29">
        <v>3</v>
      </c>
      <c r="J56" s="34">
        <v>6</v>
      </c>
      <c r="K56" s="23"/>
    </row>
    <row r="57" spans="1:11" ht="15.75" thickBot="1">
      <c r="A57" s="50" t="s">
        <v>11</v>
      </c>
      <c r="B57" s="21"/>
      <c r="C57" s="70">
        <f t="shared" si="6"/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2">
        <v>0</v>
      </c>
      <c r="K57" s="23"/>
    </row>
    <row r="58" spans="1:11" ht="15.75" thickBot="1">
      <c r="A58" s="50" t="s">
        <v>48</v>
      </c>
      <c r="B58" s="21"/>
      <c r="C58" s="75">
        <f t="shared" si="6"/>
        <v>136.19</v>
      </c>
      <c r="D58" s="73">
        <f aca="true" t="shared" si="17" ref="D58:J58">SUM(D54:D57)</f>
        <v>138</v>
      </c>
      <c r="E58" s="73">
        <f t="shared" si="17"/>
        <v>174</v>
      </c>
      <c r="F58" s="73">
        <f t="shared" si="17"/>
        <v>159</v>
      </c>
      <c r="G58" s="73">
        <f t="shared" si="17"/>
        <v>146</v>
      </c>
      <c r="H58" s="73">
        <f t="shared" si="17"/>
        <v>155</v>
      </c>
      <c r="I58" s="73">
        <f t="shared" si="17"/>
        <v>5</v>
      </c>
      <c r="J58" s="74">
        <f t="shared" si="17"/>
        <v>8</v>
      </c>
      <c r="K58" s="23"/>
    </row>
    <row r="59" spans="1:11" ht="13.5" thickBot="1">
      <c r="A59" s="31"/>
      <c r="B59" s="21"/>
      <c r="C59" s="32" t="s">
        <v>70</v>
      </c>
      <c r="D59" s="29"/>
      <c r="E59" s="29"/>
      <c r="F59" s="29"/>
      <c r="G59" s="29"/>
      <c r="H59" s="22"/>
      <c r="I59" s="22"/>
      <c r="J59" s="22"/>
      <c r="K59" s="23"/>
    </row>
    <row r="60" spans="1:11" ht="15">
      <c r="A60" s="50" t="s">
        <v>12</v>
      </c>
      <c r="B60" s="21"/>
      <c r="C60" s="24">
        <f t="shared" si="6"/>
        <v>51.33333333333334</v>
      </c>
      <c r="D60" s="36">
        <f>+D115</f>
        <v>55</v>
      </c>
      <c r="E60" s="36">
        <f aca="true" t="shared" si="18" ref="E60:J60">+E115</f>
        <v>51.25</v>
      </c>
      <c r="F60" s="36">
        <f t="shared" si="18"/>
        <v>57.84313725490196</v>
      </c>
      <c r="G60" s="36">
        <f t="shared" si="18"/>
        <v>51.25</v>
      </c>
      <c r="H60" s="36">
        <f t="shared" si="18"/>
        <v>44.44444444444445</v>
      </c>
      <c r="I60" s="36">
        <f t="shared" si="18"/>
        <v>51.111111111111114</v>
      </c>
      <c r="J60" s="37">
        <f t="shared" si="18"/>
        <v>63.333333333333336</v>
      </c>
      <c r="K60" s="23"/>
    </row>
    <row r="61" spans="1:11" ht="15">
      <c r="A61" s="50" t="s">
        <v>95</v>
      </c>
      <c r="B61" s="21"/>
      <c r="C61" s="27">
        <f t="shared" si="6"/>
        <v>18.993333333333332</v>
      </c>
      <c r="D61" s="29">
        <f aca="true" t="shared" si="19" ref="D61:J61">D60*0.37</f>
        <v>20.35</v>
      </c>
      <c r="E61" s="29">
        <f t="shared" si="19"/>
        <v>18.9625</v>
      </c>
      <c r="F61" s="29">
        <f t="shared" si="19"/>
        <v>21.401960784313726</v>
      </c>
      <c r="G61" s="29">
        <f t="shared" si="19"/>
        <v>18.9625</v>
      </c>
      <c r="H61" s="29">
        <f t="shared" si="19"/>
        <v>16.444444444444446</v>
      </c>
      <c r="I61" s="29">
        <f t="shared" si="19"/>
        <v>18.91111111111111</v>
      </c>
      <c r="J61" s="34">
        <f t="shared" si="19"/>
        <v>23.433333333333334</v>
      </c>
      <c r="K61" s="23"/>
    </row>
    <row r="62" spans="1:11" ht="15">
      <c r="A62" s="50" t="s">
        <v>96</v>
      </c>
      <c r="B62" s="21"/>
      <c r="C62" s="27">
        <f t="shared" si="6"/>
        <v>5.133333333333334</v>
      </c>
      <c r="D62" s="29">
        <f>+D60*0.1</f>
        <v>5.5</v>
      </c>
      <c r="E62" s="29">
        <f aca="true" t="shared" si="20" ref="E62:J62">+E60*0.1</f>
        <v>5.125</v>
      </c>
      <c r="F62" s="29">
        <f t="shared" si="20"/>
        <v>5.784313725490197</v>
      </c>
      <c r="G62" s="29">
        <f t="shared" si="20"/>
        <v>5.125</v>
      </c>
      <c r="H62" s="29">
        <f t="shared" si="20"/>
        <v>4.4444444444444455</v>
      </c>
      <c r="I62" s="29">
        <f t="shared" si="20"/>
        <v>5.111111111111112</v>
      </c>
      <c r="J62" s="34">
        <f t="shared" si="20"/>
        <v>6.333333333333334</v>
      </c>
      <c r="K62" s="23"/>
    </row>
    <row r="63" spans="1:11" ht="15">
      <c r="A63" s="50" t="s">
        <v>97</v>
      </c>
      <c r="B63" s="21"/>
      <c r="C63" s="27">
        <f t="shared" si="6"/>
        <v>1.2833333333333334</v>
      </c>
      <c r="D63" s="29">
        <f>D62*0.25</f>
        <v>1.375</v>
      </c>
      <c r="E63" s="29">
        <f aca="true" t="shared" si="21" ref="E63:J63">E62*0.25</f>
        <v>1.28125</v>
      </c>
      <c r="F63" s="29">
        <f t="shared" si="21"/>
        <v>1.4460784313725492</v>
      </c>
      <c r="G63" s="29">
        <f t="shared" si="21"/>
        <v>1.28125</v>
      </c>
      <c r="H63" s="29">
        <f t="shared" si="21"/>
        <v>1.1111111111111114</v>
      </c>
      <c r="I63" s="29">
        <f t="shared" si="21"/>
        <v>1.277777777777778</v>
      </c>
      <c r="J63" s="34">
        <f t="shared" si="21"/>
        <v>1.5833333333333335</v>
      </c>
      <c r="K63" s="23"/>
    </row>
    <row r="64" spans="1:11" ht="15">
      <c r="A64" s="50" t="s">
        <v>13</v>
      </c>
      <c r="B64" s="21"/>
      <c r="C64" s="27">
        <f t="shared" si="6"/>
        <v>20.12</v>
      </c>
      <c r="D64" s="29">
        <v>18</v>
      </c>
      <c r="E64" s="29">
        <v>24</v>
      </c>
      <c r="F64" s="29">
        <v>24</v>
      </c>
      <c r="G64" s="29">
        <v>24</v>
      </c>
      <c r="H64" s="29">
        <v>12</v>
      </c>
      <c r="I64" s="29">
        <v>24</v>
      </c>
      <c r="J64" s="34">
        <v>22</v>
      </c>
      <c r="K64" s="23"/>
    </row>
    <row r="65" spans="1:11" ht="15">
      <c r="A65" s="50" t="s">
        <v>62</v>
      </c>
      <c r="B65" s="21"/>
      <c r="C65" s="27">
        <f t="shared" si="6"/>
        <v>0.5</v>
      </c>
      <c r="D65" s="29">
        <v>0.5</v>
      </c>
      <c r="E65" s="29">
        <v>0.5</v>
      </c>
      <c r="F65" s="29">
        <v>0.5</v>
      </c>
      <c r="G65" s="29">
        <v>0.5</v>
      </c>
      <c r="H65" s="29">
        <v>0.5</v>
      </c>
      <c r="I65" s="29">
        <v>0.5</v>
      </c>
      <c r="J65" s="34">
        <v>0.5</v>
      </c>
      <c r="K65" s="23"/>
    </row>
    <row r="66" spans="1:11" ht="15">
      <c r="A66" s="50" t="s">
        <v>86</v>
      </c>
      <c r="B66" s="21"/>
      <c r="C66" s="27">
        <f t="shared" si="6"/>
        <v>3</v>
      </c>
      <c r="D66" s="29">
        <v>3</v>
      </c>
      <c r="E66" s="29">
        <v>3</v>
      </c>
      <c r="F66" s="29">
        <v>3</v>
      </c>
      <c r="G66" s="29">
        <v>3</v>
      </c>
      <c r="H66" s="29">
        <v>3</v>
      </c>
      <c r="I66" s="29">
        <v>3</v>
      </c>
      <c r="J66" s="34">
        <v>3</v>
      </c>
      <c r="K66" s="23"/>
    </row>
    <row r="67" spans="1:11" ht="15">
      <c r="A67" s="50" t="s">
        <v>63</v>
      </c>
      <c r="B67" s="21"/>
      <c r="C67" s="27">
        <f t="shared" si="6"/>
        <v>6.425</v>
      </c>
      <c r="D67" s="29">
        <v>8</v>
      </c>
      <c r="E67" s="29">
        <v>8</v>
      </c>
      <c r="F67" s="29">
        <v>8</v>
      </c>
      <c r="G67" s="29">
        <v>8</v>
      </c>
      <c r="H67" s="29">
        <v>3</v>
      </c>
      <c r="I67" s="29">
        <v>5</v>
      </c>
      <c r="J67" s="34">
        <v>5</v>
      </c>
      <c r="K67" s="23"/>
    </row>
    <row r="68" spans="1:11" ht="30">
      <c r="A68" s="50" t="s">
        <v>88</v>
      </c>
      <c r="B68" s="21"/>
      <c r="C68" s="27">
        <f t="shared" si="6"/>
        <v>4</v>
      </c>
      <c r="D68" s="29">
        <v>4</v>
      </c>
      <c r="E68" s="29">
        <v>4</v>
      </c>
      <c r="F68" s="29">
        <v>4</v>
      </c>
      <c r="G68" s="29">
        <v>4</v>
      </c>
      <c r="H68" s="29">
        <v>4</v>
      </c>
      <c r="I68" s="29">
        <v>4</v>
      </c>
      <c r="J68" s="34">
        <v>4</v>
      </c>
      <c r="K68" s="23"/>
    </row>
    <row r="69" spans="1:11" ht="15">
      <c r="A69" s="50" t="s">
        <v>98</v>
      </c>
      <c r="B69" s="21"/>
      <c r="C69" s="27">
        <f t="shared" si="6"/>
        <v>8.04</v>
      </c>
      <c r="D69" s="22">
        <v>8.04</v>
      </c>
      <c r="E69" s="22">
        <v>8.04</v>
      </c>
      <c r="F69" s="22">
        <v>8.04</v>
      </c>
      <c r="G69" s="22">
        <v>8.04</v>
      </c>
      <c r="H69" s="22">
        <v>8.04</v>
      </c>
      <c r="I69" s="22">
        <v>8.04</v>
      </c>
      <c r="J69" s="28">
        <v>8.04</v>
      </c>
      <c r="K69" s="23"/>
    </row>
    <row r="70" spans="1:11" ht="15">
      <c r="A70" s="50" t="s">
        <v>85</v>
      </c>
      <c r="B70" s="21"/>
      <c r="C70" s="27">
        <f t="shared" si="6"/>
        <v>6.4875</v>
      </c>
      <c r="D70" s="22">
        <f>+D16*500/D13/12</f>
        <v>6.25</v>
      </c>
      <c r="E70" s="22">
        <f>+E16*500/E13/12</f>
        <v>6.25</v>
      </c>
      <c r="F70" s="22">
        <f>+F16*375/F13/12</f>
        <v>12.5</v>
      </c>
      <c r="G70" s="22">
        <f>+G16*600/G13/12</f>
        <v>7.5</v>
      </c>
      <c r="H70" s="22">
        <f>+H16*400/H13/12</f>
        <v>3.3333333333333335</v>
      </c>
      <c r="I70" s="22">
        <f>+I16*600/I13/12</f>
        <v>7.5</v>
      </c>
      <c r="J70" s="28">
        <f>+J16*600/J13/12</f>
        <v>7.5</v>
      </c>
      <c r="K70" s="23"/>
    </row>
    <row r="71" spans="1:11" ht="15">
      <c r="A71" s="50" t="s">
        <v>64</v>
      </c>
      <c r="B71" s="21"/>
      <c r="C71" s="27">
        <f t="shared" si="6"/>
        <v>6.52</v>
      </c>
      <c r="D71" s="29">
        <v>7</v>
      </c>
      <c r="E71" s="29">
        <v>9</v>
      </c>
      <c r="F71" s="29">
        <v>9</v>
      </c>
      <c r="G71" s="29">
        <v>9</v>
      </c>
      <c r="H71" s="29">
        <v>2</v>
      </c>
      <c r="I71" s="29">
        <v>5</v>
      </c>
      <c r="J71" s="34">
        <v>5</v>
      </c>
      <c r="K71" s="23"/>
    </row>
    <row r="72" spans="1:11" ht="15">
      <c r="A72" s="50" t="s">
        <v>99</v>
      </c>
      <c r="B72" s="21"/>
      <c r="C72" s="27">
        <f t="shared" si="6"/>
        <v>3.09</v>
      </c>
      <c r="D72" s="22">
        <f>6000/D13/12</f>
        <v>3.3333333333333335</v>
      </c>
      <c r="E72" s="22">
        <f>6000/E13/12</f>
        <v>2.5</v>
      </c>
      <c r="F72" s="29">
        <f>200*0.45/F13</f>
        <v>1.0588235294117647</v>
      </c>
      <c r="G72" s="22">
        <f>6000/G13/12</f>
        <v>2.5</v>
      </c>
      <c r="H72" s="22">
        <f>6000/H13/12</f>
        <v>2.0833333333333335</v>
      </c>
      <c r="I72" s="22">
        <f>6000/I13/12</f>
        <v>6.666666666666667</v>
      </c>
      <c r="J72" s="28">
        <f>6000/J13/12</f>
        <v>10</v>
      </c>
      <c r="K72" s="23"/>
    </row>
    <row r="73" spans="1:11" ht="15">
      <c r="A73" s="50" t="s">
        <v>100</v>
      </c>
      <c r="B73" s="21"/>
      <c r="C73" s="27">
        <f t="shared" si="6"/>
        <v>2</v>
      </c>
      <c r="D73" s="22">
        <v>2</v>
      </c>
      <c r="E73" s="22">
        <v>2</v>
      </c>
      <c r="F73" s="29">
        <v>2</v>
      </c>
      <c r="G73" s="22">
        <v>2</v>
      </c>
      <c r="H73" s="22">
        <v>2</v>
      </c>
      <c r="I73" s="29">
        <v>2</v>
      </c>
      <c r="J73" s="34">
        <v>2</v>
      </c>
      <c r="K73" s="23"/>
    </row>
    <row r="74" spans="1:11" ht="15">
      <c r="A74" s="50" t="s">
        <v>87</v>
      </c>
      <c r="B74" s="21"/>
      <c r="C74" s="27">
        <f t="shared" si="6"/>
        <v>1.44</v>
      </c>
      <c r="D74" s="22">
        <v>0</v>
      </c>
      <c r="E74" s="22">
        <v>0</v>
      </c>
      <c r="F74" s="29">
        <v>0</v>
      </c>
      <c r="G74" s="22">
        <v>0</v>
      </c>
      <c r="H74" s="22">
        <v>6</v>
      </c>
      <c r="I74" s="29">
        <v>0</v>
      </c>
      <c r="J74" s="34">
        <v>0</v>
      </c>
      <c r="K74" s="23"/>
    </row>
    <row r="75" spans="1:11" ht="15.75" thickBot="1">
      <c r="A75" s="50" t="s">
        <v>101</v>
      </c>
      <c r="B75" s="21"/>
      <c r="C75" s="30">
        <f t="shared" si="6"/>
        <v>3.8</v>
      </c>
      <c r="D75" s="29">
        <v>3</v>
      </c>
      <c r="E75" s="29">
        <v>4</v>
      </c>
      <c r="F75" s="29">
        <v>4</v>
      </c>
      <c r="G75" s="29">
        <v>4</v>
      </c>
      <c r="H75" s="29">
        <v>4</v>
      </c>
      <c r="I75" s="29">
        <v>4</v>
      </c>
      <c r="J75" s="34">
        <v>3</v>
      </c>
      <c r="K75" s="23"/>
    </row>
    <row r="76" spans="1:11" ht="15.75" thickBot="1">
      <c r="A76" s="50" t="s">
        <v>15</v>
      </c>
      <c r="B76" s="21"/>
      <c r="C76" s="75">
        <f t="shared" si="6"/>
        <v>142.16583333333332</v>
      </c>
      <c r="D76" s="68">
        <f aca="true" t="shared" si="22" ref="D76:J76">SUM(D60:D75)</f>
        <v>145.34833333333333</v>
      </c>
      <c r="E76" s="68">
        <f t="shared" si="22"/>
        <v>147.90875</v>
      </c>
      <c r="F76" s="68">
        <f t="shared" si="22"/>
        <v>162.5743137254902</v>
      </c>
      <c r="G76" s="68">
        <f t="shared" si="22"/>
        <v>149.15875</v>
      </c>
      <c r="H76" s="68">
        <f t="shared" si="22"/>
        <v>116.4011111111111</v>
      </c>
      <c r="I76" s="68">
        <f t="shared" si="22"/>
        <v>146.11777777777777</v>
      </c>
      <c r="J76" s="69">
        <f t="shared" si="22"/>
        <v>164.72333333333333</v>
      </c>
      <c r="K76" s="23"/>
    </row>
    <row r="77" spans="1:11" ht="13.5" thickBot="1">
      <c r="A77" s="31"/>
      <c r="B77" s="21"/>
      <c r="C77" s="32" t="s">
        <v>70</v>
      </c>
      <c r="D77" s="29"/>
      <c r="E77" s="29"/>
      <c r="F77" s="29"/>
      <c r="G77" s="29"/>
      <c r="H77" s="22"/>
      <c r="I77" s="22"/>
      <c r="J77" s="22"/>
      <c r="K77" s="23"/>
    </row>
    <row r="78" spans="1:11" ht="15">
      <c r="A78" s="50" t="s">
        <v>16</v>
      </c>
      <c r="B78" s="21"/>
      <c r="C78" s="24">
        <f t="shared" si="6"/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7">
        <v>0</v>
      </c>
      <c r="K78" s="23"/>
    </row>
    <row r="79" spans="1:11" ht="15">
      <c r="A79" s="50" t="s">
        <v>23</v>
      </c>
      <c r="B79" s="21"/>
      <c r="C79" s="27">
        <f t="shared" si="6"/>
        <v>0</v>
      </c>
      <c r="D79" s="29">
        <f aca="true" t="shared" si="23" ref="D79:J79">D78*0.35</f>
        <v>0</v>
      </c>
      <c r="E79" s="29">
        <f t="shared" si="23"/>
        <v>0</v>
      </c>
      <c r="F79" s="29">
        <f t="shared" si="23"/>
        <v>0</v>
      </c>
      <c r="G79" s="29">
        <f t="shared" si="23"/>
        <v>0</v>
      </c>
      <c r="H79" s="29">
        <f t="shared" si="23"/>
        <v>0</v>
      </c>
      <c r="I79" s="29">
        <f t="shared" si="23"/>
        <v>0</v>
      </c>
      <c r="J79" s="34">
        <f t="shared" si="23"/>
        <v>0</v>
      </c>
      <c r="K79" s="23"/>
    </row>
    <row r="80" spans="1:11" ht="15">
      <c r="A80" s="50" t="s">
        <v>13</v>
      </c>
      <c r="B80" s="21"/>
      <c r="C80" s="27">
        <f t="shared" si="6"/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34">
        <v>0</v>
      </c>
      <c r="K80" s="23"/>
    </row>
    <row r="81" spans="1:11" ht="15.75" thickBot="1">
      <c r="A81" s="50" t="s">
        <v>14</v>
      </c>
      <c r="B81" s="21"/>
      <c r="C81" s="30">
        <f t="shared" si="6"/>
        <v>9.285</v>
      </c>
      <c r="D81" s="29">
        <v>6</v>
      </c>
      <c r="E81" s="29">
        <v>11</v>
      </c>
      <c r="F81" s="29">
        <v>18</v>
      </c>
      <c r="G81" s="29">
        <v>7</v>
      </c>
      <c r="H81" s="22">
        <v>12</v>
      </c>
      <c r="I81" s="22">
        <v>3</v>
      </c>
      <c r="J81" s="28">
        <v>3</v>
      </c>
      <c r="K81" s="23"/>
    </row>
    <row r="82" spans="1:11" ht="15.75" thickBot="1">
      <c r="A82" s="50" t="s">
        <v>17</v>
      </c>
      <c r="B82" s="21"/>
      <c r="C82" s="75">
        <f t="shared" si="6"/>
        <v>9.285</v>
      </c>
      <c r="D82" s="68">
        <f aca="true" t="shared" si="24" ref="D82:J82">SUM(D78:D81)</f>
        <v>6</v>
      </c>
      <c r="E82" s="68">
        <f t="shared" si="24"/>
        <v>11</v>
      </c>
      <c r="F82" s="68">
        <f t="shared" si="24"/>
        <v>18</v>
      </c>
      <c r="G82" s="68">
        <f t="shared" si="24"/>
        <v>7</v>
      </c>
      <c r="H82" s="68">
        <f t="shared" si="24"/>
        <v>12</v>
      </c>
      <c r="I82" s="68">
        <f t="shared" si="24"/>
        <v>3</v>
      </c>
      <c r="J82" s="69">
        <f t="shared" si="24"/>
        <v>3</v>
      </c>
      <c r="K82" s="23"/>
    </row>
    <row r="83" spans="1:11" ht="13.5" thickBot="1">
      <c r="A83" s="31"/>
      <c r="B83" s="21"/>
      <c r="C83" s="32"/>
      <c r="D83" s="29"/>
      <c r="E83" s="29"/>
      <c r="F83" s="29"/>
      <c r="G83" s="29"/>
      <c r="H83" s="22"/>
      <c r="I83" s="22"/>
      <c r="J83" s="22"/>
      <c r="K83" s="23"/>
    </row>
    <row r="84" spans="1:11" ht="15">
      <c r="A84" s="50" t="s">
        <v>35</v>
      </c>
      <c r="B84" s="21"/>
      <c r="C84" s="24">
        <f t="shared" si="6"/>
        <v>25.51</v>
      </c>
      <c r="D84" s="36">
        <v>24</v>
      </c>
      <c r="E84" s="36">
        <v>25</v>
      </c>
      <c r="F84" s="36">
        <v>23</v>
      </c>
      <c r="G84" s="36">
        <v>26</v>
      </c>
      <c r="H84" s="36">
        <v>27</v>
      </c>
      <c r="I84" s="36">
        <v>25</v>
      </c>
      <c r="J84" s="37">
        <v>28</v>
      </c>
      <c r="K84" s="23"/>
    </row>
    <row r="85" spans="1:11" ht="15">
      <c r="A85" s="50" t="s">
        <v>18</v>
      </c>
      <c r="B85" s="21"/>
      <c r="C85" s="27">
        <f t="shared" si="6"/>
        <v>6.117674999999999</v>
      </c>
      <c r="D85" s="29">
        <f aca="true" t="shared" si="25" ref="D85:J85">(D22-D58)*0.1</f>
        <v>5.01</v>
      </c>
      <c r="E85" s="29">
        <f t="shared" si="25"/>
        <v>0.7299999999999983</v>
      </c>
      <c r="F85" s="29">
        <f t="shared" si="25"/>
        <v>0.025</v>
      </c>
      <c r="G85" s="29">
        <f t="shared" si="25"/>
        <v>4.110999999999999</v>
      </c>
      <c r="H85" s="29">
        <f t="shared" si="25"/>
        <v>5.290000000000001</v>
      </c>
      <c r="I85" s="29">
        <f t="shared" si="25"/>
        <v>24.25</v>
      </c>
      <c r="J85" s="34">
        <f t="shared" si="25"/>
        <v>26.150000000000002</v>
      </c>
      <c r="K85" s="23"/>
    </row>
    <row r="86" spans="1:11" ht="15.75" thickBot="1">
      <c r="A86" s="50" t="s">
        <v>11</v>
      </c>
      <c r="B86" s="21"/>
      <c r="C86" s="27">
        <f t="shared" si="6"/>
        <v>1</v>
      </c>
      <c r="D86" s="22">
        <v>1</v>
      </c>
      <c r="E86" s="22">
        <v>1</v>
      </c>
      <c r="F86" s="22">
        <v>1</v>
      </c>
      <c r="G86" s="22">
        <v>1</v>
      </c>
      <c r="H86" s="22">
        <v>1</v>
      </c>
      <c r="I86" s="22">
        <v>1</v>
      </c>
      <c r="J86" s="28">
        <v>1</v>
      </c>
      <c r="K86" s="23"/>
    </row>
    <row r="87" spans="1:11" ht="15.75" thickBot="1">
      <c r="A87" s="50" t="s">
        <v>19</v>
      </c>
      <c r="B87" s="21"/>
      <c r="C87" s="75">
        <f t="shared" si="6"/>
        <v>32.627674999999996</v>
      </c>
      <c r="D87" s="68">
        <f aca="true" t="shared" si="26" ref="D87:J87">SUM(D84:D86)</f>
        <v>30.009999999999998</v>
      </c>
      <c r="E87" s="68">
        <f t="shared" si="26"/>
        <v>26.729999999999997</v>
      </c>
      <c r="F87" s="68">
        <f t="shared" si="26"/>
        <v>24.025</v>
      </c>
      <c r="G87" s="68">
        <f t="shared" si="26"/>
        <v>31.110999999999997</v>
      </c>
      <c r="H87" s="68">
        <f t="shared" si="26"/>
        <v>33.29</v>
      </c>
      <c r="I87" s="68">
        <f t="shared" si="26"/>
        <v>50.25</v>
      </c>
      <c r="J87" s="69">
        <f t="shared" si="26"/>
        <v>55.150000000000006</v>
      </c>
      <c r="K87" s="23"/>
    </row>
    <row r="88" spans="1:11" ht="13.5" thickBot="1">
      <c r="A88" s="31"/>
      <c r="B88" s="21"/>
      <c r="C88" s="32"/>
      <c r="D88" s="22"/>
      <c r="E88" s="22"/>
      <c r="F88" s="22"/>
      <c r="G88" s="22"/>
      <c r="H88" s="22"/>
      <c r="I88" s="22"/>
      <c r="J88" s="22"/>
      <c r="K88" s="23"/>
    </row>
    <row r="89" spans="1:11" ht="30" customHeight="1" thickBot="1">
      <c r="A89" s="50" t="s">
        <v>36</v>
      </c>
      <c r="B89" s="21"/>
      <c r="C89" s="75">
        <f t="shared" si="6"/>
        <v>452.06676</v>
      </c>
      <c r="D89" s="68">
        <f aca="true" t="shared" si="27" ref="D89:J89">D46+D52+D58+D76+D82+D87</f>
        <v>449.9202940868655</v>
      </c>
      <c r="E89" s="68">
        <f t="shared" si="27"/>
        <v>485.9147107535322</v>
      </c>
      <c r="F89" s="68">
        <f t="shared" si="27"/>
        <v>515.357248283929</v>
      </c>
      <c r="G89" s="68">
        <f t="shared" si="27"/>
        <v>463.1119107535322</v>
      </c>
      <c r="H89" s="68">
        <f t="shared" si="27"/>
        <v>439.9782516134659</v>
      </c>
      <c r="I89" s="68">
        <f t="shared" si="27"/>
        <v>346.61773853130995</v>
      </c>
      <c r="J89" s="69">
        <f t="shared" si="27"/>
        <v>387.53829408686545</v>
      </c>
      <c r="K89" s="23"/>
    </row>
    <row r="90" spans="1:11" ht="12.75">
      <c r="A90" s="31"/>
      <c r="B90" s="21"/>
      <c r="C90" s="32" t="s">
        <v>70</v>
      </c>
      <c r="D90" s="22"/>
      <c r="E90" s="22"/>
      <c r="F90" s="22"/>
      <c r="G90" s="22"/>
      <c r="H90" s="22"/>
      <c r="I90" s="22"/>
      <c r="J90" s="22"/>
      <c r="K90" s="23"/>
    </row>
    <row r="91" spans="1:11" ht="13.5" thickBot="1">
      <c r="A91" s="31"/>
      <c r="B91" s="21"/>
      <c r="C91" s="32"/>
      <c r="D91" s="22"/>
      <c r="E91" s="22"/>
      <c r="F91" s="22"/>
      <c r="G91" s="22"/>
      <c r="H91" s="22"/>
      <c r="I91" s="22"/>
      <c r="J91" s="22"/>
      <c r="K91" s="23"/>
    </row>
    <row r="92" spans="1:11" ht="15.75" thickBot="1">
      <c r="A92" s="50" t="s">
        <v>37</v>
      </c>
      <c r="B92" s="21"/>
      <c r="C92" s="75">
        <f>((D92*D$13)+(E92*E$13)+(F92*F$13)+(G92*G$13)+(K92*K$13)+(H92*H$13)+(I92*I$13)+(J92*J$13))/$C$13</f>
        <v>10</v>
      </c>
      <c r="D92" s="68">
        <v>10</v>
      </c>
      <c r="E92" s="68">
        <v>10</v>
      </c>
      <c r="F92" s="68">
        <v>10</v>
      </c>
      <c r="G92" s="68">
        <v>10</v>
      </c>
      <c r="H92" s="68">
        <v>10</v>
      </c>
      <c r="I92" s="68">
        <v>10</v>
      </c>
      <c r="J92" s="69">
        <v>10</v>
      </c>
      <c r="K92" s="23"/>
    </row>
    <row r="93" spans="1:11" ht="13.5" thickBot="1">
      <c r="A93" s="31"/>
      <c r="B93" s="21"/>
      <c r="C93" s="32"/>
      <c r="D93" s="22"/>
      <c r="E93" s="22"/>
      <c r="F93" s="22"/>
      <c r="G93" s="22"/>
      <c r="H93" s="22"/>
      <c r="I93" s="22"/>
      <c r="J93" s="22"/>
      <c r="K93" s="23"/>
    </row>
    <row r="94" spans="1:11" ht="15.75" thickBot="1">
      <c r="A94" s="50" t="s">
        <v>20</v>
      </c>
      <c r="B94" s="8"/>
      <c r="C94" s="75">
        <f>((D94*D$13)+(E94*E$13)+(F94*F$13)+(G94*G$13)+(K106*K$13)+(H94*H$13)+(I94*I$13)+(J94*J$13))/$C$13</f>
        <v>462.06676</v>
      </c>
      <c r="D94" s="68">
        <f>D89+D92</f>
        <v>459.9202940868655</v>
      </c>
      <c r="E94" s="68">
        <f aca="true" t="shared" si="28" ref="E94:J94">E89+E92</f>
        <v>495.9147107535322</v>
      </c>
      <c r="F94" s="68">
        <f t="shared" si="28"/>
        <v>525.357248283929</v>
      </c>
      <c r="G94" s="68">
        <f t="shared" si="28"/>
        <v>473.1119107535322</v>
      </c>
      <c r="H94" s="68">
        <f t="shared" si="28"/>
        <v>449.9782516134659</v>
      </c>
      <c r="I94" s="68">
        <f t="shared" si="28"/>
        <v>356.61773853130995</v>
      </c>
      <c r="J94" s="69">
        <f t="shared" si="28"/>
        <v>397.53829408686545</v>
      </c>
      <c r="K94" s="23"/>
    </row>
    <row r="95" spans="1:11" ht="12.75">
      <c r="A95" s="20"/>
      <c r="B95" s="8"/>
      <c r="C95" s="38"/>
      <c r="D95" s="39"/>
      <c r="E95" s="39"/>
      <c r="F95" s="39"/>
      <c r="G95" s="39"/>
      <c r="H95" s="39"/>
      <c r="I95" s="39"/>
      <c r="J95" s="39"/>
      <c r="K95" s="23"/>
    </row>
    <row r="96" spans="1:11" ht="13.5" thickBot="1">
      <c r="A96" s="31"/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ht="30.75" thickBot="1">
      <c r="A97" s="50" t="s">
        <v>103</v>
      </c>
      <c r="B97" s="21"/>
      <c r="C97" s="75">
        <f>((D97*D$13)+(E97*E$13)+(F97*F$13)+(G97*G$13)+(K109*K$13)+(H97*H$13)+(I97*I$13)+(J97*J$13))/$C$13</f>
        <v>16.189792923749955</v>
      </c>
      <c r="D97" s="68">
        <f aca="true" t="shared" si="29" ref="D97:J97">D31-D94</f>
        <v>1.2011959131344838</v>
      </c>
      <c r="E97" s="68">
        <f t="shared" si="29"/>
        <v>20.62152924646773</v>
      </c>
      <c r="F97" s="68">
        <f t="shared" si="29"/>
        <v>0.8231984660708349</v>
      </c>
      <c r="G97" s="68">
        <f t="shared" si="29"/>
        <v>25.45575824646778</v>
      </c>
      <c r="H97" s="68">
        <f t="shared" si="29"/>
        <v>21.254658386534118</v>
      </c>
      <c r="I97" s="68">
        <f t="shared" si="29"/>
        <v>20.942011468689998</v>
      </c>
      <c r="J97" s="69">
        <f t="shared" si="29"/>
        <v>1.0483059131344703</v>
      </c>
      <c r="K97" s="23"/>
    </row>
    <row r="98" spans="1:11" ht="12.75">
      <c r="A98" s="31"/>
      <c r="B98" s="21"/>
      <c r="C98" s="22"/>
      <c r="D98" s="22"/>
      <c r="E98" s="22"/>
      <c r="F98" s="22"/>
      <c r="G98" s="22"/>
      <c r="H98" s="22"/>
      <c r="I98" s="22"/>
      <c r="J98" s="22"/>
      <c r="K98" s="23"/>
    </row>
    <row r="99" spans="3:13" ht="13.5" thickBot="1">
      <c r="C99" s="40"/>
      <c r="D99" s="40"/>
      <c r="E99" s="40"/>
      <c r="F99" s="40"/>
      <c r="G99" s="40"/>
      <c r="H99" s="40"/>
      <c r="I99" s="40"/>
      <c r="J99" s="40"/>
      <c r="M99" s="19"/>
    </row>
    <row r="100" spans="1:10" ht="22.5" customHeight="1">
      <c r="A100" s="156" t="s">
        <v>4</v>
      </c>
      <c r="B100" s="157"/>
      <c r="C100" s="157"/>
      <c r="D100" s="157"/>
      <c r="E100" s="157"/>
      <c r="F100" s="157"/>
      <c r="G100" s="157"/>
      <c r="H100" s="157"/>
      <c r="I100" s="157"/>
      <c r="J100" s="158"/>
    </row>
    <row r="101" spans="1:10" ht="15">
      <c r="A101" s="159" t="s">
        <v>57</v>
      </c>
      <c r="B101" s="160"/>
      <c r="C101" s="160"/>
      <c r="D101" s="22">
        <v>40000</v>
      </c>
      <c r="E101" s="22">
        <v>45000</v>
      </c>
      <c r="F101" s="22">
        <v>33000</v>
      </c>
      <c r="G101" s="22">
        <v>46500</v>
      </c>
      <c r="H101" s="22">
        <v>50000</v>
      </c>
      <c r="I101" s="22">
        <v>35000</v>
      </c>
      <c r="J101" s="28">
        <v>25000</v>
      </c>
    </row>
    <row r="102" spans="1:10" ht="15">
      <c r="A102" s="159" t="s">
        <v>58</v>
      </c>
      <c r="B102" s="160"/>
      <c r="C102" s="160"/>
      <c r="D102" s="22">
        <v>20000</v>
      </c>
      <c r="E102" s="22">
        <v>30000</v>
      </c>
      <c r="F102" s="22">
        <v>12750</v>
      </c>
      <c r="G102" s="22">
        <v>32000</v>
      </c>
      <c r="H102" s="22">
        <v>30000</v>
      </c>
      <c r="I102" s="22">
        <v>0</v>
      </c>
      <c r="J102" s="28">
        <v>0</v>
      </c>
    </row>
    <row r="103" spans="1:10" ht="15">
      <c r="A103" s="159" t="s">
        <v>82</v>
      </c>
      <c r="B103" s="160"/>
      <c r="C103" s="160"/>
      <c r="D103" s="22"/>
      <c r="E103" s="22"/>
      <c r="F103" s="22"/>
      <c r="G103" s="22"/>
      <c r="H103" s="22">
        <v>26000</v>
      </c>
      <c r="I103" s="22"/>
      <c r="J103" s="28"/>
    </row>
    <row r="104" spans="1:12" ht="15">
      <c r="A104" s="159" t="s">
        <v>1</v>
      </c>
      <c r="B104" s="163"/>
      <c r="C104" s="163"/>
      <c r="D104" s="22">
        <f>12*D13*D128</f>
        <v>4521.193092621664</v>
      </c>
      <c r="E104" s="22">
        <f aca="true" t="shared" si="30" ref="E104:J104">12*E13*E128</f>
        <v>6028.257456828886</v>
      </c>
      <c r="F104" s="22">
        <f t="shared" si="30"/>
        <v>6832.025117739404</v>
      </c>
      <c r="G104" s="22">
        <f t="shared" si="30"/>
        <v>6028.257456828886</v>
      </c>
      <c r="H104" s="22">
        <f t="shared" si="30"/>
        <v>4822.605965463108</v>
      </c>
      <c r="I104" s="22">
        <f t="shared" si="30"/>
        <v>2260.596546310832</v>
      </c>
      <c r="J104" s="28">
        <f t="shared" si="30"/>
        <v>1507.0643642072214</v>
      </c>
      <c r="L104" s="33"/>
    </row>
    <row r="105" spans="1:12" ht="15">
      <c r="A105" s="159" t="s">
        <v>66</v>
      </c>
      <c r="B105" s="160"/>
      <c r="C105" s="160"/>
      <c r="D105" s="22">
        <f aca="true" t="shared" si="31" ref="D105:J105">SUM(D101:D104)</f>
        <v>64521.19309262167</v>
      </c>
      <c r="E105" s="22">
        <f t="shared" si="31"/>
        <v>81028.25745682888</v>
      </c>
      <c r="F105" s="22">
        <f t="shared" si="31"/>
        <v>52582.0251177394</v>
      </c>
      <c r="G105" s="22">
        <f t="shared" si="31"/>
        <v>84528.25745682888</v>
      </c>
      <c r="H105" s="22">
        <f t="shared" si="31"/>
        <v>110822.60596546311</v>
      </c>
      <c r="I105" s="22">
        <f t="shared" si="31"/>
        <v>37260.59654631083</v>
      </c>
      <c r="J105" s="28">
        <f t="shared" si="31"/>
        <v>26507.06436420722</v>
      </c>
      <c r="L105" s="33"/>
    </row>
    <row r="106" spans="1:12" ht="23.25" customHeight="1" thickBot="1">
      <c r="A106" s="161" t="s">
        <v>59</v>
      </c>
      <c r="B106" s="162"/>
      <c r="C106" s="162"/>
      <c r="D106" s="41">
        <f aca="true" t="shared" si="32" ref="D106:J106">+D105/D13/12</f>
        <v>35.8451072736787</v>
      </c>
      <c r="E106" s="41">
        <f t="shared" si="32"/>
        <v>33.76177394034537</v>
      </c>
      <c r="F106" s="41">
        <f t="shared" si="32"/>
        <v>51.55100501739157</v>
      </c>
      <c r="G106" s="41">
        <f t="shared" si="32"/>
        <v>35.2201072736787</v>
      </c>
      <c r="H106" s="41">
        <f t="shared" si="32"/>
        <v>38.4800715157858</v>
      </c>
      <c r="I106" s="41">
        <f t="shared" si="32"/>
        <v>41.40066282923426</v>
      </c>
      <c r="J106" s="42">
        <f t="shared" si="32"/>
        <v>44.17844060701203</v>
      </c>
      <c r="L106" s="33"/>
    </row>
    <row r="107" spans="3:10" ht="12.75">
      <c r="C107" s="40"/>
      <c r="D107" s="40"/>
      <c r="E107" s="40"/>
      <c r="F107" s="40"/>
      <c r="G107" s="40"/>
      <c r="H107" s="40"/>
      <c r="I107" s="40"/>
      <c r="J107" s="40"/>
    </row>
    <row r="108" spans="3:10" ht="13.5" thickBot="1">
      <c r="C108" s="40"/>
      <c r="D108" s="40"/>
      <c r="E108" s="40"/>
      <c r="F108" s="40"/>
      <c r="G108" s="40"/>
      <c r="H108" s="40"/>
      <c r="I108" s="40"/>
      <c r="J108" s="40"/>
    </row>
    <row r="109" spans="1:10" ht="15.75">
      <c r="A109" s="156" t="s">
        <v>12</v>
      </c>
      <c r="B109" s="157"/>
      <c r="C109" s="157"/>
      <c r="D109" s="157"/>
      <c r="E109" s="157"/>
      <c r="F109" s="157"/>
      <c r="G109" s="157"/>
      <c r="H109" s="157"/>
      <c r="I109" s="157"/>
      <c r="J109" s="158"/>
    </row>
    <row r="110" spans="1:10" ht="15">
      <c r="A110" s="159" t="s">
        <v>60</v>
      </c>
      <c r="B110" s="160"/>
      <c r="C110" s="160"/>
      <c r="D110" s="22">
        <v>40000</v>
      </c>
      <c r="E110" s="22">
        <v>40000</v>
      </c>
      <c r="F110" s="22">
        <v>35000</v>
      </c>
      <c r="G110" s="22">
        <v>40000</v>
      </c>
      <c r="H110" s="22">
        <v>45000</v>
      </c>
      <c r="I110" s="22">
        <v>30000</v>
      </c>
      <c r="J110" s="28">
        <v>30000</v>
      </c>
    </row>
    <row r="111" spans="1:10" ht="22.5" customHeight="1">
      <c r="A111" s="159" t="s">
        <v>61</v>
      </c>
      <c r="B111" s="160"/>
      <c r="C111" s="160"/>
      <c r="D111" s="22">
        <v>35000</v>
      </c>
      <c r="E111" s="22">
        <v>35000</v>
      </c>
      <c r="F111" s="22">
        <v>0</v>
      </c>
      <c r="G111" s="22">
        <v>35000</v>
      </c>
      <c r="H111" s="22">
        <v>35000</v>
      </c>
      <c r="I111" s="22">
        <v>0</v>
      </c>
      <c r="J111" s="28">
        <v>0</v>
      </c>
    </row>
    <row r="112" spans="1:10" ht="15">
      <c r="A112" s="159" t="s">
        <v>80</v>
      </c>
      <c r="B112" s="160"/>
      <c r="C112" s="160"/>
      <c r="D112" s="22">
        <v>24000</v>
      </c>
      <c r="E112" s="22">
        <v>24000</v>
      </c>
      <c r="F112" s="22">
        <v>24000</v>
      </c>
      <c r="G112" s="22">
        <v>24000</v>
      </c>
      <c r="H112" s="22">
        <v>24000</v>
      </c>
      <c r="I112" s="22">
        <v>16000</v>
      </c>
      <c r="J112" s="28">
        <v>8000</v>
      </c>
    </row>
    <row r="113" spans="1:10" ht="15">
      <c r="A113" s="159" t="s">
        <v>84</v>
      </c>
      <c r="B113" s="160"/>
      <c r="C113" s="160"/>
      <c r="D113" s="22">
        <v>0</v>
      </c>
      <c r="E113" s="22">
        <v>24000</v>
      </c>
      <c r="F113" s="22">
        <v>0</v>
      </c>
      <c r="G113" s="22">
        <v>24000</v>
      </c>
      <c r="H113" s="22">
        <v>24000</v>
      </c>
      <c r="I113" s="22">
        <v>0</v>
      </c>
      <c r="J113" s="28">
        <v>0</v>
      </c>
    </row>
    <row r="114" spans="1:10" ht="23.25" customHeight="1">
      <c r="A114" s="159" t="s">
        <v>67</v>
      </c>
      <c r="B114" s="160"/>
      <c r="C114" s="160"/>
      <c r="D114" s="22">
        <f aca="true" t="shared" si="33" ref="D114:J114">SUM(D110:D113)</f>
        <v>99000</v>
      </c>
      <c r="E114" s="22">
        <f t="shared" si="33"/>
        <v>123000</v>
      </c>
      <c r="F114" s="22">
        <f t="shared" si="33"/>
        <v>59000</v>
      </c>
      <c r="G114" s="22">
        <f t="shared" si="33"/>
        <v>123000</v>
      </c>
      <c r="H114" s="22">
        <f>SUM(H110:H113)</f>
        <v>128000</v>
      </c>
      <c r="I114" s="22">
        <f t="shared" si="33"/>
        <v>46000</v>
      </c>
      <c r="J114" s="28">
        <f t="shared" si="33"/>
        <v>38000</v>
      </c>
    </row>
    <row r="115" spans="1:10" ht="23.25" customHeight="1" thickBot="1">
      <c r="A115" s="161" t="s">
        <v>59</v>
      </c>
      <c r="B115" s="162"/>
      <c r="C115" s="162"/>
      <c r="D115" s="41">
        <f aca="true" t="shared" si="34" ref="D115:J115">+D114/D13/12</f>
        <v>55</v>
      </c>
      <c r="E115" s="41">
        <f t="shared" si="34"/>
        <v>51.25</v>
      </c>
      <c r="F115" s="41">
        <f t="shared" si="34"/>
        <v>57.84313725490196</v>
      </c>
      <c r="G115" s="41">
        <f t="shared" si="34"/>
        <v>51.25</v>
      </c>
      <c r="H115" s="41">
        <f t="shared" si="34"/>
        <v>44.44444444444445</v>
      </c>
      <c r="I115" s="41">
        <f t="shared" si="34"/>
        <v>51.111111111111114</v>
      </c>
      <c r="J115" s="42">
        <f t="shared" si="34"/>
        <v>63.333333333333336</v>
      </c>
    </row>
    <row r="116" spans="1:10" ht="12.75">
      <c r="A116" s="1"/>
      <c r="C116" s="40"/>
      <c r="D116" s="40"/>
      <c r="E116" s="40"/>
      <c r="F116" s="40"/>
      <c r="G116" s="40"/>
      <c r="H116" s="40"/>
      <c r="I116" s="40"/>
      <c r="J116" s="40"/>
    </row>
    <row r="117" spans="3:10" ht="12.75">
      <c r="C117" s="40"/>
      <c r="D117" s="40"/>
      <c r="E117" s="40"/>
      <c r="F117" s="40"/>
      <c r="G117" s="40"/>
      <c r="H117" s="40"/>
      <c r="I117" s="40"/>
      <c r="J117" s="40"/>
    </row>
    <row r="118" spans="3:10" ht="12.75" hidden="1">
      <c r="C118" s="40"/>
      <c r="D118" s="40"/>
      <c r="E118" s="40"/>
      <c r="F118" s="40"/>
      <c r="G118" s="40"/>
      <c r="H118" s="40"/>
      <c r="I118" s="40"/>
      <c r="J118" s="40"/>
    </row>
    <row r="119" spans="3:10" ht="12.75" hidden="1">
      <c r="C119" s="40"/>
      <c r="D119" s="40"/>
      <c r="E119" s="40"/>
      <c r="F119" s="40"/>
      <c r="G119" s="40"/>
      <c r="H119" s="40"/>
      <c r="I119" s="40"/>
      <c r="J119" s="40"/>
    </row>
    <row r="120" spans="1:11" ht="12.75" hidden="1">
      <c r="A120" s="3" t="s">
        <v>104</v>
      </c>
      <c r="C120" s="40">
        <v>4.591666666666666</v>
      </c>
      <c r="D120" s="40">
        <v>4.324960753532182</v>
      </c>
      <c r="E120" s="40">
        <v>4.324960753532182</v>
      </c>
      <c r="F120" s="40">
        <v>11.53322867608582</v>
      </c>
      <c r="G120" s="40">
        <v>4.324960753532182</v>
      </c>
      <c r="H120" s="40">
        <v>2.883307169021455</v>
      </c>
      <c r="I120" s="40">
        <v>4.324960753532182</v>
      </c>
      <c r="J120" s="40">
        <v>4.324960753532182</v>
      </c>
      <c r="K120" s="40">
        <f>SUM(D120:J120)</f>
        <v>36.04133961276818</v>
      </c>
    </row>
    <row r="121" spans="1:11" ht="12.75" hidden="1">
      <c r="A121" s="3" t="s">
        <v>105</v>
      </c>
      <c r="D121" s="1">
        <f aca="true" t="shared" si="35" ref="D121:K121">D120/$K$120</f>
        <v>0.12000000000000001</v>
      </c>
      <c r="E121" s="1">
        <f t="shared" si="35"/>
        <v>0.12000000000000001</v>
      </c>
      <c r="F121" s="1">
        <f t="shared" si="35"/>
        <v>0.32</v>
      </c>
      <c r="G121" s="1">
        <f t="shared" si="35"/>
        <v>0.12000000000000001</v>
      </c>
      <c r="H121" s="1">
        <f t="shared" si="35"/>
        <v>0.08</v>
      </c>
      <c r="I121" s="1">
        <f t="shared" si="35"/>
        <v>0.12000000000000001</v>
      </c>
      <c r="J121" s="1">
        <f t="shared" si="35"/>
        <v>0.12000000000000001</v>
      </c>
      <c r="K121" s="1">
        <f t="shared" si="35"/>
        <v>1</v>
      </c>
    </row>
    <row r="122" ht="12.75" hidden="1"/>
    <row r="123" spans="1:11" ht="12.75" hidden="1">
      <c r="A123" s="3" t="s">
        <v>106</v>
      </c>
      <c r="C123" s="1">
        <v>32000</v>
      </c>
      <c r="D123" s="1">
        <f aca="true" t="shared" si="36" ref="D123:J123">D121*$C$123</f>
        <v>3840.0000000000005</v>
      </c>
      <c r="E123" s="1">
        <f t="shared" si="36"/>
        <v>3840.0000000000005</v>
      </c>
      <c r="F123" s="1">
        <f t="shared" si="36"/>
        <v>10240</v>
      </c>
      <c r="G123" s="1">
        <f t="shared" si="36"/>
        <v>3840.0000000000005</v>
      </c>
      <c r="H123" s="1">
        <f t="shared" si="36"/>
        <v>2560</v>
      </c>
      <c r="I123" s="1">
        <f t="shared" si="36"/>
        <v>3840.0000000000005</v>
      </c>
      <c r="J123" s="1">
        <f t="shared" si="36"/>
        <v>3840.0000000000005</v>
      </c>
      <c r="K123" s="1">
        <f>SUM(D123:J123)</f>
        <v>32000</v>
      </c>
    </row>
    <row r="124" spans="1:11" ht="12.75" hidden="1">
      <c r="A124" s="3" t="s">
        <v>81</v>
      </c>
      <c r="C124" s="1">
        <v>2500</v>
      </c>
      <c r="D124" s="1">
        <f>D121*$C124</f>
        <v>300</v>
      </c>
      <c r="E124" s="1">
        <f aca="true" t="shared" si="37" ref="E124:J124">E121*$C124</f>
        <v>300</v>
      </c>
      <c r="F124" s="1">
        <f t="shared" si="37"/>
        <v>800</v>
      </c>
      <c r="G124" s="1">
        <f t="shared" si="37"/>
        <v>300</v>
      </c>
      <c r="H124" s="1">
        <f t="shared" si="37"/>
        <v>200</v>
      </c>
      <c r="I124" s="1">
        <f t="shared" si="37"/>
        <v>300</v>
      </c>
      <c r="J124" s="1">
        <f t="shared" si="37"/>
        <v>300</v>
      </c>
      <c r="K124" s="1">
        <f aca="true" t="shared" si="38" ref="K124:K132">SUM(D124:J124)</f>
        <v>2500</v>
      </c>
    </row>
    <row r="125" spans="1:11" ht="12.75" hidden="1">
      <c r="A125" s="3" t="s">
        <v>49</v>
      </c>
      <c r="C125" s="1">
        <v>900</v>
      </c>
      <c r="D125" s="1">
        <f>D121*$C125</f>
        <v>108.00000000000001</v>
      </c>
      <c r="E125" s="1">
        <f aca="true" t="shared" si="39" ref="E125:J125">E121*$C125</f>
        <v>108.00000000000001</v>
      </c>
      <c r="F125" s="1">
        <f t="shared" si="39"/>
        <v>288</v>
      </c>
      <c r="G125" s="1">
        <f t="shared" si="39"/>
        <v>108.00000000000001</v>
      </c>
      <c r="H125" s="1">
        <f t="shared" si="39"/>
        <v>72</v>
      </c>
      <c r="I125" s="1">
        <f t="shared" si="39"/>
        <v>108.00000000000001</v>
      </c>
      <c r="J125" s="1">
        <f t="shared" si="39"/>
        <v>108.00000000000001</v>
      </c>
      <c r="K125" s="1">
        <f t="shared" si="38"/>
        <v>900</v>
      </c>
    </row>
    <row r="126" spans="1:11" ht="12.75" hidden="1">
      <c r="A126" s="3" t="s">
        <v>0</v>
      </c>
      <c r="C126" s="1">
        <v>9460</v>
      </c>
      <c r="D126" s="1">
        <f>D121*$C126</f>
        <v>1135.2</v>
      </c>
      <c r="E126" s="1">
        <f aca="true" t="shared" si="40" ref="E126:J126">E121*$C126</f>
        <v>1135.2</v>
      </c>
      <c r="F126" s="1">
        <f t="shared" si="40"/>
        <v>3027.2000000000003</v>
      </c>
      <c r="G126" s="1">
        <f t="shared" si="40"/>
        <v>1135.2</v>
      </c>
      <c r="H126" s="1">
        <f t="shared" si="40"/>
        <v>756.8000000000001</v>
      </c>
      <c r="I126" s="1">
        <f t="shared" si="40"/>
        <v>1135.2</v>
      </c>
      <c r="J126" s="1">
        <f t="shared" si="40"/>
        <v>1135.2</v>
      </c>
      <c r="K126" s="1">
        <f t="shared" si="38"/>
        <v>9460.000000000002</v>
      </c>
    </row>
    <row r="127" ht="12.75" hidden="1"/>
    <row r="128" spans="1:10" ht="12.75" hidden="1">
      <c r="A128" s="3" t="s">
        <v>106</v>
      </c>
      <c r="D128" s="43">
        <f aca="true" t="shared" si="41" ref="D128:J128">$C$123/$C$16*D16/D13/12</f>
        <v>2.511773940345369</v>
      </c>
      <c r="E128" s="43">
        <f t="shared" si="41"/>
        <v>2.511773940345369</v>
      </c>
      <c r="F128" s="43">
        <f t="shared" si="41"/>
        <v>6.698063840920984</v>
      </c>
      <c r="G128" s="43">
        <f t="shared" si="41"/>
        <v>2.511773940345369</v>
      </c>
      <c r="H128" s="43">
        <f t="shared" si="41"/>
        <v>1.674515960230246</v>
      </c>
      <c r="I128" s="43">
        <f t="shared" si="41"/>
        <v>2.511773940345369</v>
      </c>
      <c r="J128" s="43">
        <f t="shared" si="41"/>
        <v>2.511773940345369</v>
      </c>
    </row>
    <row r="129" spans="1:10" ht="12.75" hidden="1">
      <c r="A129" s="3" t="s">
        <v>107</v>
      </c>
      <c r="C129" s="1">
        <v>10240</v>
      </c>
      <c r="D129" s="43">
        <f aca="true" t="shared" si="42" ref="D129:J129">$C$129/$C$16*D16/D13/12</f>
        <v>0.803767660910518</v>
      </c>
      <c r="E129" s="43">
        <f t="shared" si="42"/>
        <v>0.803767660910518</v>
      </c>
      <c r="F129" s="43">
        <f t="shared" si="42"/>
        <v>2.1433804290947145</v>
      </c>
      <c r="G129" s="43">
        <f t="shared" si="42"/>
        <v>0.803767660910518</v>
      </c>
      <c r="H129" s="43">
        <f t="shared" si="42"/>
        <v>0.5358451072736786</v>
      </c>
      <c r="I129" s="43">
        <f t="shared" si="42"/>
        <v>0.803767660910518</v>
      </c>
      <c r="J129" s="43">
        <f t="shared" si="42"/>
        <v>0.803767660910518</v>
      </c>
    </row>
    <row r="130" spans="1:11" ht="12.75" hidden="1">
      <c r="A130" s="3" t="s">
        <v>81</v>
      </c>
      <c r="D130" s="43">
        <f aca="true" t="shared" si="43" ref="D130:J130">$C$124/$C$16*D16/D13/12</f>
        <v>0.19623233908948198</v>
      </c>
      <c r="E130" s="43">
        <f t="shared" si="43"/>
        <v>0.19623233908948193</v>
      </c>
      <c r="F130" s="43">
        <f t="shared" si="43"/>
        <v>0.5232862375719519</v>
      </c>
      <c r="G130" s="43">
        <f t="shared" si="43"/>
        <v>0.19623233908948193</v>
      </c>
      <c r="H130" s="43">
        <f t="shared" si="43"/>
        <v>0.13082155939298798</v>
      </c>
      <c r="I130" s="43">
        <f t="shared" si="43"/>
        <v>0.19623233908948198</v>
      </c>
      <c r="J130" s="43">
        <f t="shared" si="43"/>
        <v>0.19623233908948193</v>
      </c>
      <c r="K130" s="43">
        <f t="shared" si="38"/>
        <v>1.6352694924123499</v>
      </c>
    </row>
    <row r="131" spans="1:11" ht="12.75" hidden="1">
      <c r="A131" s="3" t="s">
        <v>49</v>
      </c>
      <c r="D131" s="43">
        <f aca="true" t="shared" si="44" ref="D131:J131">$C$125/$C$16*D16/D13/12</f>
        <v>0.0706436420722135</v>
      </c>
      <c r="E131" s="43">
        <f t="shared" si="44"/>
        <v>0.0706436420722135</v>
      </c>
      <c r="F131" s="43">
        <f t="shared" si="44"/>
        <v>0.18838304552590265</v>
      </c>
      <c r="G131" s="43">
        <f t="shared" si="44"/>
        <v>0.0706436420722135</v>
      </c>
      <c r="H131" s="43">
        <f t="shared" si="44"/>
        <v>0.04709576138147566</v>
      </c>
      <c r="I131" s="43">
        <f t="shared" si="44"/>
        <v>0.0706436420722135</v>
      </c>
      <c r="J131" s="43">
        <f t="shared" si="44"/>
        <v>0.0706436420722135</v>
      </c>
      <c r="K131" s="43">
        <f t="shared" si="38"/>
        <v>0.5886970172684458</v>
      </c>
    </row>
    <row r="132" spans="1:11" ht="12.75" hidden="1">
      <c r="A132" s="3" t="s">
        <v>0</v>
      </c>
      <c r="D132" s="43">
        <f aca="true" t="shared" si="45" ref="D132:J132">$C$126/$C$16*D16/D13/12</f>
        <v>0.7425431711145997</v>
      </c>
      <c r="E132" s="43">
        <f t="shared" si="45"/>
        <v>0.7425431711145998</v>
      </c>
      <c r="F132" s="43">
        <f t="shared" si="45"/>
        <v>1.9801151229722658</v>
      </c>
      <c r="G132" s="43">
        <f t="shared" si="45"/>
        <v>0.7425431711145998</v>
      </c>
      <c r="H132" s="43">
        <f t="shared" si="45"/>
        <v>0.49502878074306644</v>
      </c>
      <c r="I132" s="43">
        <f t="shared" si="45"/>
        <v>0.7425431711145997</v>
      </c>
      <c r="J132" s="43">
        <f t="shared" si="45"/>
        <v>0.7425431711145998</v>
      </c>
      <c r="K132" s="43">
        <f t="shared" si="38"/>
        <v>6.1878597592883295</v>
      </c>
    </row>
    <row r="133" spans="4:10" ht="12.75" hidden="1">
      <c r="D133" s="43">
        <f>SUM(D128:D132)</f>
        <v>4.324960753532182</v>
      </c>
      <c r="E133" s="43">
        <f aca="true" t="shared" si="46" ref="E133:J133">SUM(E128:E132)</f>
        <v>4.324960753532182</v>
      </c>
      <c r="F133" s="43">
        <f t="shared" si="46"/>
        <v>11.53322867608582</v>
      </c>
      <c r="G133" s="43">
        <f t="shared" si="46"/>
        <v>4.324960753532182</v>
      </c>
      <c r="H133" s="43">
        <f t="shared" si="46"/>
        <v>2.883307169021455</v>
      </c>
      <c r="I133" s="43">
        <f t="shared" si="46"/>
        <v>4.324960753532182</v>
      </c>
      <c r="J133" s="43">
        <f t="shared" si="46"/>
        <v>4.324960753532182</v>
      </c>
    </row>
    <row r="134" ht="12.75" hidden="1"/>
    <row r="135" spans="4:10" ht="12.75" hidden="1">
      <c r="D135" s="43">
        <v>4.324960753532182</v>
      </c>
      <c r="E135" s="43">
        <v>4.324960753532182</v>
      </c>
      <c r="F135" s="43">
        <v>11.53322867608582</v>
      </c>
      <c r="G135" s="43">
        <v>4.324960753532182</v>
      </c>
      <c r="H135" s="43">
        <v>2.883307169021455</v>
      </c>
      <c r="I135" s="43">
        <v>4.324960753532182</v>
      </c>
      <c r="J135" s="43">
        <v>4.324960753532182</v>
      </c>
    </row>
    <row r="136" ht="12.75" hidden="1"/>
    <row r="137" ht="12.75">
      <c r="E137" s="19"/>
    </row>
  </sheetData>
  <mergeCells count="18">
    <mergeCell ref="A112:C112"/>
    <mergeCell ref="A113:C113"/>
    <mergeCell ref="A114:C114"/>
    <mergeCell ref="A115:C115"/>
    <mergeCell ref="A100:J100"/>
    <mergeCell ref="A109:J109"/>
    <mergeCell ref="A110:C110"/>
    <mergeCell ref="A111:C111"/>
    <mergeCell ref="A106:C106"/>
    <mergeCell ref="A105:C105"/>
    <mergeCell ref="A103:C103"/>
    <mergeCell ref="A102:C102"/>
    <mergeCell ref="A101:C101"/>
    <mergeCell ref="A104:C104"/>
    <mergeCell ref="C1:J1"/>
    <mergeCell ref="C2:J2"/>
    <mergeCell ref="C3:J3"/>
    <mergeCell ref="G6:G7"/>
  </mergeCells>
  <printOptions/>
  <pageMargins left="0.75" right="0.75" top="1" bottom="1" header="0.5" footer="0.5"/>
  <pageSetup horizontalDpi="600" verticalDpi="600" orientation="portrait" scale="86"/>
  <rowBreaks count="2" manualBreakCount="2">
    <brk id="52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A48" sqref="A48:A52"/>
    </sheetView>
  </sheetViews>
  <sheetFormatPr defaultColWidth="9.140625" defaultRowHeight="12.75"/>
  <cols>
    <col min="1" max="1" width="22.28125" style="78" customWidth="1"/>
    <col min="2" max="2" width="1.421875" style="76" customWidth="1"/>
    <col min="3" max="3" width="12.00390625" style="79" bestFit="1" customWidth="1"/>
    <col min="4" max="4" width="11.00390625" style="76" bestFit="1" customWidth="1"/>
    <col min="5" max="5" width="12.28125" style="76" bestFit="1" customWidth="1"/>
    <col min="6" max="6" width="11.140625" style="76" bestFit="1" customWidth="1"/>
    <col min="7" max="8" width="12.28125" style="76" bestFit="1" customWidth="1"/>
    <col min="9" max="9" width="11.140625" style="76" bestFit="1" customWidth="1"/>
    <col min="10" max="10" width="11.00390625" style="76" bestFit="1" customWidth="1"/>
    <col min="11" max="16384" width="8.8515625" style="76" customWidth="1"/>
  </cols>
  <sheetData>
    <row r="1" spans="1:10" ht="15.75">
      <c r="A1" s="76"/>
      <c r="B1" s="77"/>
      <c r="C1" s="156" t="s">
        <v>89</v>
      </c>
      <c r="D1" s="157"/>
      <c r="E1" s="157"/>
      <c r="F1" s="157"/>
      <c r="G1" s="157"/>
      <c r="H1" s="157"/>
      <c r="I1" s="157"/>
      <c r="J1" s="158"/>
    </row>
    <row r="2" spans="1:10" ht="15.75">
      <c r="A2" s="76"/>
      <c r="C2" s="171" t="s">
        <v>92</v>
      </c>
      <c r="D2" s="172"/>
      <c r="E2" s="172"/>
      <c r="F2" s="172"/>
      <c r="G2" s="172"/>
      <c r="H2" s="172"/>
      <c r="I2" s="172"/>
      <c r="J2" s="173"/>
    </row>
    <row r="3" spans="2:10" ht="16.5" thickBot="1">
      <c r="B3" s="79"/>
      <c r="C3" s="174" t="s">
        <v>91</v>
      </c>
      <c r="D3" s="175"/>
      <c r="E3" s="175"/>
      <c r="F3" s="175"/>
      <c r="G3" s="175"/>
      <c r="H3" s="175"/>
      <c r="I3" s="175"/>
      <c r="J3" s="176"/>
    </row>
    <row r="5" spans="1:9" ht="15.75" thickBot="1">
      <c r="A5" s="79"/>
      <c r="D5" s="80"/>
      <c r="E5" s="80"/>
      <c r="F5" s="80"/>
      <c r="G5" s="80"/>
      <c r="H5" s="80"/>
      <c r="I5" s="80"/>
    </row>
    <row r="6" spans="1:10" ht="15">
      <c r="A6" s="81"/>
      <c r="B6" s="79"/>
      <c r="C6" s="44" t="s">
        <v>51</v>
      </c>
      <c r="D6" s="45" t="s">
        <v>24</v>
      </c>
      <c r="E6" s="45" t="s">
        <v>26</v>
      </c>
      <c r="F6" s="45" t="s">
        <v>28</v>
      </c>
      <c r="G6" s="154" t="s">
        <v>22</v>
      </c>
      <c r="H6" s="45" t="s">
        <v>31</v>
      </c>
      <c r="I6" s="45" t="s">
        <v>32</v>
      </c>
      <c r="J6" s="46" t="s">
        <v>32</v>
      </c>
    </row>
    <row r="7" spans="1:10" ht="15">
      <c r="A7" s="81"/>
      <c r="B7" s="79"/>
      <c r="C7" s="47" t="s">
        <v>52</v>
      </c>
      <c r="D7" s="48" t="s">
        <v>25</v>
      </c>
      <c r="E7" s="48" t="s">
        <v>27</v>
      </c>
      <c r="F7" s="48" t="s">
        <v>29</v>
      </c>
      <c r="G7" s="155"/>
      <c r="H7" s="48" t="s">
        <v>30</v>
      </c>
      <c r="I7" s="48" t="s">
        <v>29</v>
      </c>
      <c r="J7" s="49" t="s">
        <v>33</v>
      </c>
    </row>
    <row r="8" spans="1:10" ht="15.75" thickBot="1">
      <c r="A8" s="82"/>
      <c r="B8" s="83"/>
      <c r="C8" s="84"/>
      <c r="D8" s="84"/>
      <c r="E8" s="84"/>
      <c r="F8" s="84"/>
      <c r="G8" s="84"/>
      <c r="H8" s="84"/>
      <c r="I8" s="84"/>
      <c r="J8" s="84"/>
    </row>
    <row r="9" spans="1:10" ht="15">
      <c r="A9" s="50" t="s">
        <v>71</v>
      </c>
      <c r="B9" s="83"/>
      <c r="C9" s="129"/>
      <c r="D9" s="130" t="s">
        <v>72</v>
      </c>
      <c r="E9" s="130" t="s">
        <v>72</v>
      </c>
      <c r="F9" s="130" t="s">
        <v>72</v>
      </c>
      <c r="G9" s="130" t="s">
        <v>72</v>
      </c>
      <c r="H9" s="130" t="s">
        <v>73</v>
      </c>
      <c r="I9" s="130" t="s">
        <v>72</v>
      </c>
      <c r="J9" s="131" t="s">
        <v>72</v>
      </c>
    </row>
    <row r="10" spans="1:10" ht="15">
      <c r="A10" s="50" t="s">
        <v>74</v>
      </c>
      <c r="B10" s="83"/>
      <c r="C10" s="132"/>
      <c r="D10" s="126" t="s">
        <v>75</v>
      </c>
      <c r="E10" s="126" t="s">
        <v>75</v>
      </c>
      <c r="F10" s="126" t="s">
        <v>75</v>
      </c>
      <c r="G10" s="126" t="s">
        <v>75</v>
      </c>
      <c r="H10" s="126" t="s">
        <v>75</v>
      </c>
      <c r="I10" s="126" t="s">
        <v>76</v>
      </c>
      <c r="J10" s="133" t="s">
        <v>76</v>
      </c>
    </row>
    <row r="11" spans="1:10" ht="15">
      <c r="A11" s="50" t="s">
        <v>77</v>
      </c>
      <c r="B11" s="83"/>
      <c r="C11" s="132"/>
      <c r="D11" s="126">
        <v>1941</v>
      </c>
      <c r="E11" s="126">
        <v>1954</v>
      </c>
      <c r="F11" s="126">
        <v>1957</v>
      </c>
      <c r="G11" s="126">
        <v>1964</v>
      </c>
      <c r="H11" s="126">
        <v>1981</v>
      </c>
      <c r="I11" s="126">
        <v>1984</v>
      </c>
      <c r="J11" s="133">
        <v>1988</v>
      </c>
    </row>
    <row r="12" spans="1:10" ht="15">
      <c r="A12" s="50" t="s">
        <v>78</v>
      </c>
      <c r="B12" s="83"/>
      <c r="C12" s="132"/>
      <c r="D12" s="126" t="s">
        <v>76</v>
      </c>
      <c r="E12" s="126" t="s">
        <v>75</v>
      </c>
      <c r="F12" s="126" t="s">
        <v>75</v>
      </c>
      <c r="G12" s="126" t="s">
        <v>75</v>
      </c>
      <c r="H12" s="126" t="s">
        <v>75</v>
      </c>
      <c r="I12" s="126" t="s">
        <v>75</v>
      </c>
      <c r="J12" s="133" t="s">
        <v>75</v>
      </c>
    </row>
    <row r="13" spans="1:10" ht="15">
      <c r="A13" s="50" t="s">
        <v>21</v>
      </c>
      <c r="B13" s="83"/>
      <c r="C13" s="134">
        <f>SUM(D13:K13)</f>
        <v>1000</v>
      </c>
      <c r="D13" s="126">
        <v>150</v>
      </c>
      <c r="E13" s="126">
        <v>200</v>
      </c>
      <c r="F13" s="126">
        <v>85</v>
      </c>
      <c r="G13" s="126">
        <v>200</v>
      </c>
      <c r="H13" s="126">
        <v>240</v>
      </c>
      <c r="I13" s="126">
        <v>75</v>
      </c>
      <c r="J13" s="133">
        <v>50</v>
      </c>
    </row>
    <row r="14" spans="1:10" ht="15">
      <c r="A14" s="50" t="s">
        <v>79</v>
      </c>
      <c r="B14" s="83"/>
      <c r="C14" s="135">
        <f>((D14*D$13)+(E14*E$13)+(F14*F$13)+(G14*G$13)+(H14*H$13)+(I14*I$13)+(J14*J$13)+(K14*K$13))/$C$13</f>
        <v>2.0625</v>
      </c>
      <c r="D14" s="127">
        <v>1.5</v>
      </c>
      <c r="E14" s="127">
        <v>2</v>
      </c>
      <c r="F14" s="127">
        <v>2.5</v>
      </c>
      <c r="G14" s="127">
        <v>3</v>
      </c>
      <c r="H14" s="127">
        <v>1</v>
      </c>
      <c r="I14" s="127">
        <v>3</v>
      </c>
      <c r="J14" s="136">
        <v>3.2</v>
      </c>
    </row>
    <row r="15" spans="1:10" ht="15">
      <c r="A15" s="50" t="s">
        <v>56</v>
      </c>
      <c r="B15" s="83"/>
      <c r="C15" s="137">
        <v>0.9848</v>
      </c>
      <c r="D15" s="128">
        <v>0.99</v>
      </c>
      <c r="E15" s="128">
        <v>0.98</v>
      </c>
      <c r="F15" s="128">
        <v>0.91</v>
      </c>
      <c r="G15" s="128">
        <v>0.99</v>
      </c>
      <c r="H15" s="128">
        <v>0.99</v>
      </c>
      <c r="I15" s="128">
        <v>0.99</v>
      </c>
      <c r="J15" s="138">
        <v>0.98</v>
      </c>
    </row>
    <row r="16" spans="1:10" ht="15.75" thickBot="1">
      <c r="A16" s="50" t="s">
        <v>83</v>
      </c>
      <c r="B16" s="83"/>
      <c r="C16" s="139">
        <f>SUM(D16:J16)</f>
        <v>159.25</v>
      </c>
      <c r="D16" s="140">
        <f>+D13*0.15</f>
        <v>22.5</v>
      </c>
      <c r="E16" s="140">
        <f>+E13*0.15</f>
        <v>30</v>
      </c>
      <c r="F16" s="140">
        <f>+F13*0.4</f>
        <v>34</v>
      </c>
      <c r="G16" s="140">
        <f>+G13*0.15</f>
        <v>30</v>
      </c>
      <c r="H16" s="140">
        <f>+H13*0.1</f>
        <v>24</v>
      </c>
      <c r="I16" s="140">
        <f>+I13*0.15</f>
        <v>11.25</v>
      </c>
      <c r="J16" s="141">
        <f>+J13*0.15</f>
        <v>7.5</v>
      </c>
    </row>
    <row r="17" spans="1:10" ht="15" hidden="1">
      <c r="A17" s="85" t="s">
        <v>53</v>
      </c>
      <c r="B17" s="83"/>
      <c r="C17" s="86">
        <f>((D17*D$13)+(E17*E$13)+(F17*F$13)+(G17*G$13)+(K17*K$13)+(H17*H$13)+(I17*I$13)+(J17*J$13))/$C$13</f>
        <v>342.595</v>
      </c>
      <c r="D17" s="87">
        <v>325</v>
      </c>
      <c r="E17" s="87">
        <v>362</v>
      </c>
      <c r="F17" s="87">
        <v>372</v>
      </c>
      <c r="G17" s="87">
        <v>365</v>
      </c>
      <c r="H17" s="87">
        <v>305</v>
      </c>
      <c r="I17" s="87">
        <v>345</v>
      </c>
      <c r="J17" s="87">
        <v>355</v>
      </c>
    </row>
    <row r="18" spans="1:10" ht="15" hidden="1">
      <c r="A18" s="85" t="s">
        <v>54</v>
      </c>
      <c r="B18" s="83"/>
      <c r="C18" s="88">
        <f>((D18*D$13)+(E18*E$13)+(F18*F$13)+(G18*G$13)+(K18*K$13)+(H18*H$13)+(I18*I$13)+(J18*J$13))/$C$13</f>
        <v>0.8954145</v>
      </c>
      <c r="D18" s="89">
        <v>0.89</v>
      </c>
      <c r="E18" s="89">
        <v>0.89</v>
      </c>
      <c r="F18" s="89">
        <v>0.9537</v>
      </c>
      <c r="G18" s="89">
        <v>0.89</v>
      </c>
      <c r="H18" s="89">
        <v>0.89</v>
      </c>
      <c r="I18" s="89">
        <v>0.89</v>
      </c>
      <c r="J18" s="89">
        <v>0.89</v>
      </c>
    </row>
    <row r="19" spans="1:10" s="94" customFormat="1" ht="15">
      <c r="A19" s="90"/>
      <c r="B19" s="91"/>
      <c r="C19" s="92"/>
      <c r="D19" s="93"/>
      <c r="E19" s="93"/>
      <c r="F19" s="93"/>
      <c r="G19" s="93"/>
      <c r="H19" s="93"/>
      <c r="I19" s="93"/>
      <c r="J19" s="93"/>
    </row>
    <row r="20" spans="1:10" ht="15">
      <c r="A20" s="95" t="s">
        <v>2</v>
      </c>
      <c r="B20" s="83"/>
      <c r="C20" s="83"/>
      <c r="D20" s="96"/>
      <c r="E20" s="96"/>
      <c r="F20" s="96"/>
      <c r="G20" s="96"/>
      <c r="H20" s="96"/>
      <c r="I20" s="96"/>
      <c r="J20" s="96"/>
    </row>
    <row r="21" spans="1:11" ht="15.75" thickBot="1">
      <c r="A21" s="95"/>
      <c r="B21" s="83"/>
      <c r="C21" s="97"/>
      <c r="D21" s="98"/>
      <c r="E21" s="98"/>
      <c r="F21" s="98"/>
      <c r="G21" s="98"/>
      <c r="H21" s="98"/>
      <c r="I21" s="98"/>
      <c r="J21" s="98"/>
      <c r="K21" s="99"/>
    </row>
    <row r="22" spans="1:11" ht="15">
      <c r="A22" s="50" t="s">
        <v>34</v>
      </c>
      <c r="B22" s="83"/>
      <c r="C22" s="100">
        <f>'Property Budgets PUM'!C22*12*$D$13</f>
        <v>355260.14999999997</v>
      </c>
      <c r="D22" s="101">
        <f>'Property Budgets PUM'!D22*12*$D$13</f>
        <v>338580</v>
      </c>
      <c r="E22" s="101">
        <f>'Property Budgets PUM'!E22*12*E13</f>
        <v>435120</v>
      </c>
      <c r="F22" s="101">
        <f>'Property Budgets PUM'!F22*12*F13</f>
        <v>162435</v>
      </c>
      <c r="G22" s="101">
        <f>'Property Budgets PUM'!G22*12*F13</f>
        <v>190852.19999999998</v>
      </c>
      <c r="H22" s="101">
        <f>'Property Budgets PUM'!H22*12*G13</f>
        <v>498960.00000000006</v>
      </c>
      <c r="I22" s="101">
        <f>'Property Budgets PUM'!I22*12*I13</f>
        <v>222750</v>
      </c>
      <c r="J22" s="102">
        <f>'Property Budgets PUM'!J22*12*J13</f>
        <v>161700</v>
      </c>
      <c r="K22" s="99"/>
    </row>
    <row r="23" spans="1:11" ht="15">
      <c r="A23" s="50" t="s">
        <v>41</v>
      </c>
      <c r="B23" s="83"/>
      <c r="C23" s="103">
        <f>'Property Budgets PUM'!C23*12*$D$13</f>
        <v>8280</v>
      </c>
      <c r="D23" s="98">
        <f>'Property Budgets PUM'!D23*12*D$13</f>
        <v>5400</v>
      </c>
      <c r="E23" s="98">
        <f>'Property Budgets PUM'!E23*12*E$13</f>
        <v>4800</v>
      </c>
      <c r="F23" s="98">
        <f>'Property Budgets PUM'!F23*12*F$13</f>
        <v>4080</v>
      </c>
      <c r="G23" s="98">
        <f>'Property Budgets PUM'!G23*12*G$13</f>
        <v>12000</v>
      </c>
      <c r="H23" s="98">
        <f>'Property Budgets PUM'!H23*12*H$13</f>
        <v>25920</v>
      </c>
      <c r="I23" s="98">
        <f>'Property Budgets PUM'!I23*12*I$13</f>
        <v>1800</v>
      </c>
      <c r="J23" s="104">
        <f>'Property Budgets PUM'!J23*12*J$13</f>
        <v>1200</v>
      </c>
      <c r="K23" s="99"/>
    </row>
    <row r="24" spans="1:11" ht="15">
      <c r="A24" s="50" t="s">
        <v>69</v>
      </c>
      <c r="B24" s="83"/>
      <c r="C24" s="103">
        <f>'Property Budgets PUM'!C24*12*$D$13</f>
        <v>255465.2115</v>
      </c>
      <c r="D24" s="98">
        <f>'Property Budgets PUM'!D24*12*D$13</f>
        <v>243955.80000000002</v>
      </c>
      <c r="E24" s="98">
        <f>'Property Budgets PUM'!E24*12*E$13</f>
        <v>425006.4</v>
      </c>
      <c r="F24" s="98">
        <f>'Property Budgets PUM'!F24*12*F$13</f>
        <v>197474.55000000005</v>
      </c>
      <c r="G24" s="98">
        <f>'Property Budgets PUM'!G24*12*G$13</f>
        <v>422666.64</v>
      </c>
      <c r="H24" s="98">
        <f>'Property Budgets PUM'!H24*12*H$13</f>
        <v>276851.51999999996</v>
      </c>
      <c r="I24" s="98">
        <f>'Property Budgets PUM'!I24*12*I$13</f>
        <v>86872.50000000001</v>
      </c>
      <c r="J24" s="104">
        <f>'Property Budgets PUM'!J24*12*J$13</f>
        <v>50273.99999999999</v>
      </c>
      <c r="K24" s="99"/>
    </row>
    <row r="25" spans="1:11" ht="15">
      <c r="A25" s="50" t="s">
        <v>68</v>
      </c>
      <c r="B25" s="83"/>
      <c r="C25" s="103">
        <f>'Property Budgets PUM'!C25*12*$D$13</f>
        <v>245142</v>
      </c>
      <c r="D25" s="98">
        <f>'Property Budgets PUM'!D25*12*D$13</f>
        <v>248400</v>
      </c>
      <c r="E25" s="98">
        <f>'Property Budgets PUM'!E25*12*E$13</f>
        <v>417600</v>
      </c>
      <c r="F25" s="98">
        <f>'Property Budgets PUM'!F25*12*F$13</f>
        <v>162180</v>
      </c>
      <c r="G25" s="98">
        <f>'Property Budgets PUM'!G25*12*G$13</f>
        <v>350400</v>
      </c>
      <c r="H25" s="98">
        <f>'Property Budgets PUM'!H25*12*H$13</f>
        <v>446400</v>
      </c>
      <c r="I25" s="98">
        <f>'Property Budgets PUM'!I25*12*I$13</f>
        <v>4500</v>
      </c>
      <c r="J25" s="104">
        <f>'Property Budgets PUM'!J25*12*J$13</f>
        <v>4800</v>
      </c>
      <c r="K25" s="99"/>
    </row>
    <row r="26" spans="1:11" ht="15">
      <c r="A26" s="50" t="s">
        <v>93</v>
      </c>
      <c r="B26" s="83"/>
      <c r="C26" s="103">
        <f>'Property Budgets PUM'!C26*12*$D$13</f>
        <v>25411.815</v>
      </c>
      <c r="D26" s="98">
        <f>'Property Budgets PUM'!D26*12*D$13</f>
        <v>23418</v>
      </c>
      <c r="E26" s="98">
        <f>'Property Budgets PUM'!E26*12*E$13</f>
        <v>20952</v>
      </c>
      <c r="F26" s="98">
        <f>'Property Budgets PUM'!F26*12*F$13</f>
        <v>8185.500000000001</v>
      </c>
      <c r="G26" s="98">
        <f>'Property Budgets PUM'!G26*12*G$13</f>
        <v>29066.399999999998</v>
      </c>
      <c r="H26" s="98">
        <f>'Property Budgets PUM'!H26*12*H$13</f>
        <v>38275.200000000004</v>
      </c>
      <c r="I26" s="98">
        <f>'Property Budgets PUM'!I26*12*I$13</f>
        <v>29025</v>
      </c>
      <c r="J26" s="104">
        <f>'Property Budgets PUM'!J26*12*J$13</f>
        <v>20490.000000000004</v>
      </c>
      <c r="K26" s="99"/>
    </row>
    <row r="27" spans="1:11" ht="15">
      <c r="A27" s="50" t="s">
        <v>102</v>
      </c>
      <c r="B27" s="83"/>
      <c r="C27" s="103">
        <f>'Property Budgets PUM'!C27*12*$D$13</f>
        <v>-54347.38123724999</v>
      </c>
      <c r="D27" s="98">
        <f>'Property Budgets PUM'!D27*12*D$13</f>
        <v>-56735.117999999995</v>
      </c>
      <c r="E27" s="98">
        <f>'Property Budgets PUM'!E27*12*E$13</f>
        <v>-94991.424</v>
      </c>
      <c r="F27" s="98">
        <f>'Property Budgets PUM'!F27*12*F$13</f>
        <v>-17030.994315000004</v>
      </c>
      <c r="G27" s="98">
        <f>'Property Budgets PUM'!G27*12*G$13</f>
        <v>-88234.63439999998</v>
      </c>
      <c r="H27" s="98">
        <f>'Property Budgets PUM'!H27*12*H$13</f>
        <v>-83767.93919999998</v>
      </c>
      <c r="I27" s="98">
        <f>'Property Budgets PUM'!I27*12*I$13</f>
        <v>-13243.725</v>
      </c>
      <c r="J27" s="104">
        <f>'Property Budgets PUM'!J27*12*J$13</f>
        <v>-8312.039999999999</v>
      </c>
      <c r="K27" s="99"/>
    </row>
    <row r="28" spans="1:11" ht="30">
      <c r="A28" s="50" t="s">
        <v>55</v>
      </c>
      <c r="B28" s="83"/>
      <c r="C28" s="103">
        <f>'Property Budgets PUM'!C28*12*$D$13</f>
        <v>0</v>
      </c>
      <c r="D28" s="98">
        <f>'Property Budgets PUM'!D28*12*D$13</f>
        <v>0</v>
      </c>
      <c r="E28" s="98">
        <f>'Property Budgets PUM'!E28*12*E$13</f>
        <v>0</v>
      </c>
      <c r="F28" s="98">
        <f>'Property Budgets PUM'!F28*12*F$13</f>
        <v>0</v>
      </c>
      <c r="G28" s="98">
        <f>'Property Budgets PUM'!G28*12*G$13</f>
        <v>0</v>
      </c>
      <c r="H28" s="98">
        <f>'Property Budgets PUM'!H28*12*H$13</f>
        <v>0</v>
      </c>
      <c r="I28" s="98">
        <f>'Property Budgets PUM'!I28*12*I$13</f>
        <v>0</v>
      </c>
      <c r="J28" s="104">
        <f>'Property Budgets PUM'!J28*12*J$13</f>
        <v>0</v>
      </c>
      <c r="K28" s="99"/>
    </row>
    <row r="29" spans="1:11" ht="15">
      <c r="A29" s="50" t="s">
        <v>42</v>
      </c>
      <c r="B29" s="83"/>
      <c r="C29" s="103">
        <f>'Property Budgets PUM'!C29*12*$D$13</f>
        <v>7200</v>
      </c>
      <c r="D29" s="98">
        <f>'Property Budgets PUM'!D29*12*D$13</f>
        <v>7200</v>
      </c>
      <c r="E29" s="98">
        <f>'Property Budgets PUM'!E29*12*E$13</f>
        <v>9600</v>
      </c>
      <c r="F29" s="98">
        <f>'Property Budgets PUM'!F29*12*F$13</f>
        <v>4080</v>
      </c>
      <c r="G29" s="98">
        <f>'Property Budgets PUM'!G29*12*G$13</f>
        <v>9600</v>
      </c>
      <c r="H29" s="98">
        <f>'Property Budgets PUM'!H29*12*H$13</f>
        <v>11520</v>
      </c>
      <c r="I29" s="98">
        <f>'Property Budgets PUM'!I29*12*I$13</f>
        <v>3600</v>
      </c>
      <c r="J29" s="104">
        <f>'Property Budgets PUM'!J29*12*J$13</f>
        <v>2400</v>
      </c>
      <c r="K29" s="99"/>
    </row>
    <row r="30" spans="1:11" ht="15.75" thickBot="1">
      <c r="A30" s="50" t="s">
        <v>43</v>
      </c>
      <c r="B30" s="83"/>
      <c r="C30" s="103">
        <f>'Property Budgets PUM'!C30*12*$D$13</f>
        <v>18450</v>
      </c>
      <c r="D30" s="98">
        <f>'Property Budgets PUM'!D30*12*D$13</f>
        <v>19800</v>
      </c>
      <c r="E30" s="98">
        <f>'Property Budgets PUM'!E30*12*E$13</f>
        <v>21600</v>
      </c>
      <c r="F30" s="98">
        <f>'Property Budgets PUM'!F30*12*F$13</f>
        <v>15300</v>
      </c>
      <c r="G30" s="98">
        <f>'Property Budgets PUM'!G30*12*G$13</f>
        <v>12000</v>
      </c>
      <c r="H30" s="98">
        <f>'Property Budgets PUM'!H30*12*H$13</f>
        <v>43200</v>
      </c>
      <c r="I30" s="98">
        <f>'Property Budgets PUM'!I30*12*I$13</f>
        <v>4500</v>
      </c>
      <c r="J30" s="104">
        <f>'Property Budgets PUM'!J30*12*J$13</f>
        <v>6600</v>
      </c>
      <c r="K30" s="99"/>
    </row>
    <row r="31" spans="1:11" ht="15.75" thickBot="1">
      <c r="A31" s="50" t="s">
        <v>40</v>
      </c>
      <c r="B31" s="83"/>
      <c r="C31" s="142">
        <f>'Property Budgets PUM'!C31*12*'Prop Budgets- Annual- Test'!C$13</f>
        <v>5739078.635085001</v>
      </c>
      <c r="D31" s="68">
        <f>'Property Budgets PUM'!D31*12*'Prop Budgets- Annual- Test'!D$13</f>
        <v>830018.682</v>
      </c>
      <c r="E31" s="68">
        <f>'Property Budgets PUM'!E31*12*'Prop Budgets- Annual- Test'!E$13</f>
        <v>1239686.9759999998</v>
      </c>
      <c r="F31" s="68">
        <f>'Property Budgets PUM'!F31*12*'Prop Budgets- Annual- Test'!F$13</f>
        <v>536704.0556849999</v>
      </c>
      <c r="G31" s="68">
        <f>'Property Budgets PUM'!G31*12*'Prop Budgets- Annual- Test'!G$13</f>
        <v>1196562.4056</v>
      </c>
      <c r="H31" s="68">
        <f>'Property Budgets PUM'!H31*12*'Prop Budgets- Annual- Test'!H$13</f>
        <v>1357150.7808</v>
      </c>
      <c r="I31" s="68">
        <f>'Property Budgets PUM'!I31*12*'Prop Budgets- Annual- Test'!I$13</f>
        <v>339803.77499999997</v>
      </c>
      <c r="J31" s="69">
        <f>'Property Budgets PUM'!J31*12*'Prop Budgets- Annual- Test'!J$13</f>
        <v>239151.95999999996</v>
      </c>
      <c r="K31" s="99"/>
    </row>
    <row r="32" spans="1:11" ht="15">
      <c r="A32" s="105"/>
      <c r="B32" s="96"/>
      <c r="C32" s="97"/>
      <c r="D32" s="98"/>
      <c r="E32" s="98"/>
      <c r="F32" s="98"/>
      <c r="G32" s="98"/>
      <c r="H32" s="98"/>
      <c r="I32" s="98"/>
      <c r="J32" s="98"/>
      <c r="K32" s="99"/>
    </row>
    <row r="33" spans="1:11" ht="15">
      <c r="A33" s="105"/>
      <c r="B33" s="96"/>
      <c r="C33" s="97"/>
      <c r="D33" s="98"/>
      <c r="E33" s="98"/>
      <c r="F33" s="98"/>
      <c r="G33" s="98"/>
      <c r="H33" s="98"/>
      <c r="I33" s="98"/>
      <c r="J33" s="98"/>
      <c r="K33" s="99"/>
    </row>
    <row r="34" spans="1:11" ht="15">
      <c r="A34" s="95" t="s">
        <v>3</v>
      </c>
      <c r="B34" s="96"/>
      <c r="C34" s="106"/>
      <c r="D34" s="98"/>
      <c r="E34" s="98"/>
      <c r="F34" s="107"/>
      <c r="G34" s="98"/>
      <c r="H34" s="98"/>
      <c r="I34" s="98"/>
      <c r="J34" s="98"/>
      <c r="K34" s="99"/>
    </row>
    <row r="35" spans="1:11" ht="15.75" thickBot="1">
      <c r="A35" s="95"/>
      <c r="B35" s="96"/>
      <c r="C35" s="106"/>
      <c r="D35" s="98"/>
      <c r="E35" s="98"/>
      <c r="F35" s="107"/>
      <c r="G35" s="98"/>
      <c r="H35" s="98"/>
      <c r="I35" s="98"/>
      <c r="J35" s="98"/>
      <c r="K35" s="99"/>
    </row>
    <row r="36" spans="1:11" ht="15">
      <c r="A36" s="50" t="s">
        <v>4</v>
      </c>
      <c r="B36" s="96"/>
      <c r="C36" s="100">
        <f>'Property Budgets PUM'!C36*'Prop Budgets- Annual- Test'!C$13*12</f>
        <v>457249.9999999999</v>
      </c>
      <c r="D36" s="101">
        <f>'Property Budgets PUM'!D36*'Prop Budgets- Annual- Test'!D$13*12</f>
        <v>64521.19309262166</v>
      </c>
      <c r="E36" s="101">
        <f>'Property Budgets PUM'!E36*'Prop Budgets- Annual- Test'!E$13*12</f>
        <v>81028.25745682888</v>
      </c>
      <c r="F36" s="101">
        <f>'Property Budgets PUM'!F36*'Prop Budgets- Annual- Test'!F$13*12</f>
        <v>52582.025117739395</v>
      </c>
      <c r="G36" s="101">
        <f>'Property Budgets PUM'!G36*'Prop Budgets- Annual- Test'!G$13*12</f>
        <v>84528.25745682888</v>
      </c>
      <c r="H36" s="101">
        <f>'Property Budgets PUM'!H36*'Prop Budgets- Annual- Test'!H$13*12</f>
        <v>110822.60596546312</v>
      </c>
      <c r="I36" s="101">
        <f>'Property Budgets PUM'!I36*'Prop Budgets- Annual- Test'!I$13*12</f>
        <v>37260.59654631083</v>
      </c>
      <c r="J36" s="102">
        <f>'Property Budgets PUM'!J36*'Prop Budgets- Annual- Test'!J$13*12</f>
        <v>26507.064364207217</v>
      </c>
      <c r="K36" s="99"/>
    </row>
    <row r="37" spans="1:11" ht="15">
      <c r="A37" s="50" t="s">
        <v>38</v>
      </c>
      <c r="B37" s="96"/>
      <c r="C37" s="103">
        <f>'Property Budgets PUM'!C37*'Prop Budgets- Annual- Test'!C$13*12</f>
        <v>146320</v>
      </c>
      <c r="D37" s="98">
        <f>'Property Budgets PUM'!D37*'Prop Budgets- Annual- Test'!D$13*12</f>
        <v>20646.78178963893</v>
      </c>
      <c r="E37" s="98">
        <f>'Property Budgets PUM'!E37*'Prop Budgets- Annual- Test'!E$13*12</f>
        <v>25929.042386185247</v>
      </c>
      <c r="F37" s="98">
        <f>'Property Budgets PUM'!F37*'Prop Budgets- Annual- Test'!F$13*12</f>
        <v>16826.248037676607</v>
      </c>
      <c r="G37" s="98">
        <f>'Property Budgets PUM'!G37*'Prop Budgets- Annual- Test'!G$13*12</f>
        <v>27049.04238618524</v>
      </c>
      <c r="H37" s="98">
        <f>'Property Budgets PUM'!H37*'Prop Budgets- Annual- Test'!H$13*12</f>
        <v>35463.2339089482</v>
      </c>
      <c r="I37" s="98">
        <f>'Property Budgets PUM'!I37*'Prop Budgets- Annual- Test'!I$13*12</f>
        <v>11923.390894819466</v>
      </c>
      <c r="J37" s="104">
        <f>'Property Budgets PUM'!J37*'Prop Budgets- Annual- Test'!J$13*12</f>
        <v>8482.26059654631</v>
      </c>
      <c r="K37" s="99"/>
    </row>
    <row r="38" spans="1:11" ht="15">
      <c r="A38" s="50" t="s">
        <v>39</v>
      </c>
      <c r="B38" s="96"/>
      <c r="C38" s="103">
        <f>'Property Budgets PUM'!C38*'Prop Budgets- Annual- Test'!C$13*12</f>
        <v>24000</v>
      </c>
      <c r="D38" s="98">
        <f>'Property Budgets PUM'!D38*'Prop Budgets- Annual- Test'!D$13*12</f>
        <v>3600</v>
      </c>
      <c r="E38" s="98">
        <f>'Property Budgets PUM'!E38*'Prop Budgets- Annual- Test'!E$13*12</f>
        <v>4800</v>
      </c>
      <c r="F38" s="98">
        <f>'Property Budgets PUM'!F38*'Prop Budgets- Annual- Test'!F$13*12</f>
        <v>2040</v>
      </c>
      <c r="G38" s="98">
        <f>'Property Budgets PUM'!G38*'Prop Budgets- Annual- Test'!G$13*12</f>
        <v>4800</v>
      </c>
      <c r="H38" s="98">
        <f>'Property Budgets PUM'!H38*'Prop Budgets- Annual- Test'!H$13*12</f>
        <v>5760</v>
      </c>
      <c r="I38" s="98">
        <f>'Property Budgets PUM'!I38*'Prop Budgets- Annual- Test'!I$13*12</f>
        <v>1800</v>
      </c>
      <c r="J38" s="104">
        <f>'Property Budgets PUM'!J38*'Prop Budgets- Annual- Test'!J$13*12</f>
        <v>1200</v>
      </c>
      <c r="K38" s="99"/>
    </row>
    <row r="39" spans="1:11" ht="15">
      <c r="A39" s="50" t="s">
        <v>5</v>
      </c>
      <c r="B39" s="96"/>
      <c r="C39" s="103">
        <f>'Property Budgets PUM'!C39*'Prop Budgets- Annual- Test'!C$13*12</f>
        <v>529578</v>
      </c>
      <c r="D39" s="98">
        <f>'Property Budgets PUM'!D39*'Prop Budgets- Annual- Test'!D$13*12</f>
        <v>80190</v>
      </c>
      <c r="E39" s="98">
        <f>'Property Budgets PUM'!E39*'Prop Budgets- Annual- Test'!E$13*12</f>
        <v>105840</v>
      </c>
      <c r="F39" s="98">
        <f>'Property Budgets PUM'!F39*'Prop Budgets- Annual- Test'!F$13*12</f>
        <v>41769.00000000001</v>
      </c>
      <c r="G39" s="98">
        <f>'Property Budgets PUM'!G39*'Prop Budgets- Annual- Test'!G$13*12</f>
        <v>106920</v>
      </c>
      <c r="H39" s="98">
        <f>'Property Budgets PUM'!H39*'Prop Budgets- Annual- Test'!H$13*12</f>
        <v>128304</v>
      </c>
      <c r="I39" s="98">
        <f>'Property Budgets PUM'!I39*'Prop Budgets- Annual- Test'!I$13*12</f>
        <v>40095</v>
      </c>
      <c r="J39" s="104">
        <f>'Property Budgets PUM'!J39*'Prop Budgets- Annual- Test'!J$13*12</f>
        <v>26460</v>
      </c>
      <c r="K39" s="99"/>
    </row>
    <row r="40" spans="1:11" ht="15">
      <c r="A40" s="50" t="s">
        <v>44</v>
      </c>
      <c r="B40" s="96"/>
      <c r="C40" s="103">
        <f>'Property Budgets PUM'!C40*'Prop Budgets- Annual- Test'!C$13*12</f>
        <v>88263</v>
      </c>
      <c r="D40" s="98">
        <f>'Property Budgets PUM'!D40*'Prop Budgets- Annual- Test'!D$13*12</f>
        <v>13365</v>
      </c>
      <c r="E40" s="98">
        <f>'Property Budgets PUM'!E40*'Prop Budgets- Annual- Test'!E$13*12</f>
        <v>17640</v>
      </c>
      <c r="F40" s="98">
        <f>'Property Budgets PUM'!F40*'Prop Budgets- Annual- Test'!F$13*12</f>
        <v>6961.5</v>
      </c>
      <c r="G40" s="98">
        <f>'Property Budgets PUM'!G40*'Prop Budgets- Annual- Test'!G$13*12</f>
        <v>17820</v>
      </c>
      <c r="H40" s="98">
        <f>'Property Budgets PUM'!H40*'Prop Budgets- Annual- Test'!H$13*12</f>
        <v>21384</v>
      </c>
      <c r="I40" s="98">
        <f>'Property Budgets PUM'!I40*'Prop Budgets- Annual- Test'!I$13*12</f>
        <v>6682.5</v>
      </c>
      <c r="J40" s="104">
        <f>'Property Budgets PUM'!J40*'Prop Budgets- Annual- Test'!J$13*12</f>
        <v>4410</v>
      </c>
      <c r="K40" s="99"/>
    </row>
    <row r="41" spans="1:11" ht="15">
      <c r="A41" s="50" t="s">
        <v>65</v>
      </c>
      <c r="B41" s="96"/>
      <c r="C41" s="103">
        <f>'Property Budgets PUM'!C41*'Prop Budgets- Annual- Test'!C$13*12</f>
        <v>47368.020000000004</v>
      </c>
      <c r="D41" s="98">
        <f>'Property Budgets PUM'!D41*'Prop Budgets- Annual- Test'!D$13*12</f>
        <v>6771.599999999999</v>
      </c>
      <c r="E41" s="98">
        <f>'Property Budgets PUM'!E41*'Prop Budgets- Annual- Test'!E$13*12</f>
        <v>8702.4</v>
      </c>
      <c r="F41" s="98">
        <f>'Property Budgets PUM'!F41*'Prop Budgets- Annual- Test'!F$13*12</f>
        <v>3248.7000000000003</v>
      </c>
      <c r="G41" s="98">
        <f>'Property Budgets PUM'!G41*'Prop Budgets- Annual- Test'!G$13*12</f>
        <v>8981.279999999999</v>
      </c>
      <c r="H41" s="98">
        <f>'Property Budgets PUM'!H41*'Prop Budgets- Annual- Test'!H$13*12</f>
        <v>11975.04</v>
      </c>
      <c r="I41" s="98">
        <f>'Property Budgets PUM'!I41*'Prop Budgets- Annual- Test'!I$13*12</f>
        <v>4455</v>
      </c>
      <c r="J41" s="104">
        <f>'Property Budgets PUM'!J41*'Prop Budgets- Annual- Test'!J$13*12</f>
        <v>3234</v>
      </c>
      <c r="K41" s="99"/>
    </row>
    <row r="42" spans="1:11" ht="15">
      <c r="A42" s="50" t="s">
        <v>49</v>
      </c>
      <c r="B42" s="96"/>
      <c r="C42" s="103">
        <f>'Property Budgets PUM'!C42*'Prop Budgets- Annual- Test'!C$13*12</f>
        <v>39300</v>
      </c>
      <c r="D42" s="98">
        <f>'Property Budgets PUM'!D42*'Prop Budgets- Annual- Test'!D$13*12</f>
        <v>6127.158555729985</v>
      </c>
      <c r="E42" s="98">
        <f>'Property Budgets PUM'!E42*'Prop Budgets- Annual- Test'!E$13*12</f>
        <v>6169.544740973313</v>
      </c>
      <c r="F42" s="98">
        <f>'Property Budgets PUM'!F42*'Prop Budgets- Annual- Test'!F$13*12</f>
        <v>4992.150706436421</v>
      </c>
      <c r="G42" s="98">
        <f>'Property Budgets PUM'!G42*'Prop Budgets- Annual- Test'!G$13*12</f>
        <v>6169.544740973313</v>
      </c>
      <c r="H42" s="98">
        <f>'Property Budgets PUM'!H42*'Prop Budgets- Annual- Test'!H$13*12</f>
        <v>6135.63579277865</v>
      </c>
      <c r="I42" s="98">
        <f>'Property Budgets PUM'!I42*'Prop Budgets- Annual- Test'!I$13*12</f>
        <v>4863.579277864992</v>
      </c>
      <c r="J42" s="104">
        <f>'Property Budgets PUM'!J42*'Prop Budgets- Annual- Test'!J$13*12</f>
        <v>4842.386185243327</v>
      </c>
      <c r="K42" s="99"/>
    </row>
    <row r="43" spans="1:11" ht="15">
      <c r="A43" s="50" t="s">
        <v>81</v>
      </c>
      <c r="B43" s="96"/>
      <c r="C43" s="103">
        <f>'Property Budgets PUM'!C43*'Prop Budgets- Annual- Test'!C$13*12</f>
        <v>20000</v>
      </c>
      <c r="D43" s="98">
        <f>'Property Budgets PUM'!D43*'Prop Budgets- Annual- Test'!D$13*12</f>
        <v>2853.218210361068</v>
      </c>
      <c r="E43" s="98">
        <f>'Property Budgets PUM'!E43*'Prop Budgets- Annual- Test'!E$13*12</f>
        <v>2970.957613814757</v>
      </c>
      <c r="F43" s="98">
        <f>'Property Budgets PUM'!F43*'Prop Budgets- Annual- Test'!F$13*12</f>
        <v>3033.7519623233907</v>
      </c>
      <c r="G43" s="98">
        <f>'Property Budgets PUM'!G43*'Prop Budgets- Annual- Test'!G$13*12</f>
        <v>2970.957613814757</v>
      </c>
      <c r="H43" s="98">
        <f>'Property Budgets PUM'!H43*'Prop Budgets- Annual- Test'!H$13*12</f>
        <v>2876.7660910518052</v>
      </c>
      <c r="I43" s="98">
        <f>'Property Budgets PUM'!I43*'Prop Budgets- Annual- Test'!I$13*12</f>
        <v>2676.6091051805342</v>
      </c>
      <c r="J43" s="104">
        <f>'Property Budgets PUM'!J43*'Prop Budgets- Annual- Test'!J$13*12</f>
        <v>2617.7394034536896</v>
      </c>
      <c r="K43" s="99"/>
    </row>
    <row r="44" spans="1:11" ht="15">
      <c r="A44" s="50" t="s">
        <v>50</v>
      </c>
      <c r="B44" s="96"/>
      <c r="C44" s="103">
        <f>'Property Budgets PUM'!C44*'Prop Budgets- Annual- Test'!C$13*12</f>
        <v>64860</v>
      </c>
      <c r="D44" s="98">
        <f>'Property Budgets PUM'!D44*'Prop Budgets- Annual- Test'!D$13*12</f>
        <v>10800</v>
      </c>
      <c r="E44" s="98">
        <f>'Property Budgets PUM'!E44*'Prop Budgets- Annual- Test'!E$13*12</f>
        <v>12000</v>
      </c>
      <c r="F44" s="98">
        <f>'Property Budgets PUM'!F44*'Prop Budgets- Annual- Test'!F$13*12</f>
        <v>6120</v>
      </c>
      <c r="G44" s="98">
        <f>'Property Budgets PUM'!G44*'Prop Budgets- Annual- Test'!G$13*12</f>
        <v>16800</v>
      </c>
      <c r="H44" s="98">
        <f>'Property Budgets PUM'!H44*'Prop Budgets- Annual- Test'!H$13*12</f>
        <v>8640</v>
      </c>
      <c r="I44" s="98">
        <f>'Property Budgets PUM'!I44*'Prop Budgets- Annual- Test'!I$13*12</f>
        <v>4500</v>
      </c>
      <c r="J44" s="104">
        <f>'Property Budgets PUM'!J44*'Prop Budgets- Annual- Test'!J$13*12</f>
        <v>6000</v>
      </c>
      <c r="K44" s="99"/>
    </row>
    <row r="45" spans="1:11" ht="15.75" thickBot="1">
      <c r="A45" s="50" t="s">
        <v>94</v>
      </c>
      <c r="B45" s="96"/>
      <c r="C45" s="108">
        <f>'Property Budgets PUM'!C45*'Prop Budgets- Annual- Test'!C$13*12</f>
        <v>43260.00000000003</v>
      </c>
      <c r="D45" s="109">
        <f>'Property Budgets PUM'!D45*'Prop Budgets- Annual- Test'!D$13*12</f>
        <v>6336.577708006285</v>
      </c>
      <c r="E45" s="109">
        <f>'Property Budgets PUM'!E45*'Prop Budgets- Annual- Test'!E$13*12</f>
        <v>6782.1036106750435</v>
      </c>
      <c r="F45" s="109">
        <f>'Property Budgets PUM'!F45*'Prop Budgets- Annual- Test'!F$13*12</f>
        <v>7019.717425431714</v>
      </c>
      <c r="G45" s="109">
        <f>'Property Budgets PUM'!G45*'Prop Budgets- Annual- Test'!G$13*12</f>
        <v>6782.1036106750435</v>
      </c>
      <c r="H45" s="109">
        <f>'Property Budgets PUM'!H45*'Prop Budgets- Annual- Test'!H$13*12</f>
        <v>6425.682888540036</v>
      </c>
      <c r="I45" s="109">
        <f>'Property Budgets PUM'!I45*'Prop Budgets- Annual- Test'!I$13*12</f>
        <v>5668.2888540031445</v>
      </c>
      <c r="J45" s="110">
        <f>'Property Budgets PUM'!J45*'Prop Budgets- Annual- Test'!J$13*12</f>
        <v>4245.525902668764</v>
      </c>
      <c r="K45" s="99"/>
    </row>
    <row r="46" spans="1:11" ht="15.75" thickBot="1">
      <c r="A46" s="50" t="s">
        <v>6</v>
      </c>
      <c r="B46" s="96"/>
      <c r="C46" s="142">
        <f>'Property Budgets PUM'!C46*12*'Prop Budgets- Annual- Test'!C$13</f>
        <v>1460199.02</v>
      </c>
      <c r="D46" s="68">
        <f>'Property Budgets PUM'!D46*12*'Prop Budgets- Annual- Test'!D$13</f>
        <v>215211.52935635793</v>
      </c>
      <c r="E46" s="68">
        <f>'Property Budgets PUM'!E46*12*'Prop Budgets- Annual- Test'!E$13</f>
        <v>271862.3058084772</v>
      </c>
      <c r="F46" s="68">
        <f>'Property Budgets PUM'!F46*12*'Prop Budgets- Annual- Test'!F$13</f>
        <v>144593.09324960757</v>
      </c>
      <c r="G46" s="68">
        <f>'Property Budgets PUM'!G46*12*'Prop Budgets- Annual- Test'!G$13</f>
        <v>282821.18580847717</v>
      </c>
      <c r="H46" s="68">
        <f>'Property Budgets PUM'!H46*12*'Prop Budgets- Annual- Test'!H$13</f>
        <v>337786.9646467818</v>
      </c>
      <c r="I46" s="68">
        <f>'Property Budgets PUM'!I46*12*'Prop Budgets- Annual- Test'!I$13</f>
        <v>119924.96467817896</v>
      </c>
      <c r="J46" s="69">
        <f>'Property Budgets PUM'!J46*12*'Prop Budgets- Annual- Test'!J$13</f>
        <v>87998.9764521193</v>
      </c>
      <c r="K46" s="99"/>
    </row>
    <row r="47" spans="1:11" ht="15.75" thickBot="1">
      <c r="A47" s="105"/>
      <c r="B47" s="96"/>
      <c r="C47" s="106" t="s">
        <v>70</v>
      </c>
      <c r="D47" s="107"/>
      <c r="E47" s="107"/>
      <c r="F47" s="107"/>
      <c r="G47" s="107"/>
      <c r="H47" s="98"/>
      <c r="I47" s="98"/>
      <c r="J47" s="98"/>
      <c r="K47" s="99"/>
    </row>
    <row r="48" spans="1:11" ht="30">
      <c r="A48" s="50" t="s">
        <v>7</v>
      </c>
      <c r="B48" s="96"/>
      <c r="C48" s="111">
        <f>'Property Budgets PUM'!C48*'Prop Budgets- Annual- Test'!C$13*12</f>
        <v>0</v>
      </c>
      <c r="D48" s="112">
        <f>'Property Budgets PUM'!D48*'Prop Budgets- Annual- Test'!D$13*12</f>
        <v>0</v>
      </c>
      <c r="E48" s="112">
        <f>'Property Budgets PUM'!E48*'Prop Budgets- Annual- Test'!E$13*12</f>
        <v>0</v>
      </c>
      <c r="F48" s="112">
        <f>'Property Budgets PUM'!F48*'Prop Budgets- Annual- Test'!F$13*12</f>
        <v>0</v>
      </c>
      <c r="G48" s="112">
        <f>'Property Budgets PUM'!G48*'Prop Budgets- Annual- Test'!G$13*12</f>
        <v>0</v>
      </c>
      <c r="H48" s="112">
        <f>'Property Budgets PUM'!H48*'Prop Budgets- Annual- Test'!H$13*12</f>
        <v>0</v>
      </c>
      <c r="I48" s="112">
        <f>'Property Budgets PUM'!I48*'Prop Budgets- Annual- Test'!I$13*12</f>
        <v>0</v>
      </c>
      <c r="J48" s="113">
        <f>'Property Budgets PUM'!J48*'Prop Budgets- Annual- Test'!J$13*12</f>
        <v>0</v>
      </c>
      <c r="K48" s="99"/>
    </row>
    <row r="49" spans="1:11" ht="15">
      <c r="A49" s="50" t="s">
        <v>38</v>
      </c>
      <c r="B49" s="96"/>
      <c r="C49" s="114">
        <f>'Property Budgets PUM'!C49*'Prop Budgets- Annual- Test'!C$13*12</f>
        <v>0</v>
      </c>
      <c r="D49" s="107">
        <f>'Property Budgets PUM'!D49*'Prop Budgets- Annual- Test'!D$13*12</f>
        <v>0</v>
      </c>
      <c r="E49" s="107">
        <f>'Property Budgets PUM'!E49*'Prop Budgets- Annual- Test'!E$13*12</f>
        <v>0</v>
      </c>
      <c r="F49" s="107">
        <f>'Property Budgets PUM'!F49*'Prop Budgets- Annual- Test'!F$13*12</f>
        <v>0</v>
      </c>
      <c r="G49" s="107">
        <f>'Property Budgets PUM'!G49*'Prop Budgets- Annual- Test'!G$13*12</f>
        <v>0</v>
      </c>
      <c r="H49" s="107">
        <f>'Property Budgets PUM'!H49*'Prop Budgets- Annual- Test'!H$13*12</f>
        <v>0</v>
      </c>
      <c r="I49" s="107">
        <f>'Property Budgets PUM'!I49*'Prop Budgets- Annual- Test'!I$13*12</f>
        <v>0</v>
      </c>
      <c r="J49" s="115">
        <f>'Property Budgets PUM'!J49*'Prop Budgets- Annual- Test'!J$13*12</f>
        <v>0</v>
      </c>
      <c r="K49" s="99"/>
    </row>
    <row r="50" spans="1:11" ht="30">
      <c r="A50" s="50" t="s">
        <v>8</v>
      </c>
      <c r="B50" s="96"/>
      <c r="C50" s="114">
        <f>'Property Budgets PUM'!C50*'Prop Budgets- Annual- Test'!C$13*12</f>
        <v>35520</v>
      </c>
      <c r="D50" s="107">
        <f>'Property Budgets PUM'!D50*'Prop Budgets- Annual- Test'!D$13*12</f>
        <v>5400</v>
      </c>
      <c r="E50" s="107">
        <f>'Property Budgets PUM'!E50*'Prop Budgets- Annual- Test'!E$13*12</f>
        <v>7200</v>
      </c>
      <c r="F50" s="107">
        <f>'Property Budgets PUM'!F50*'Prop Budgets- Annual- Test'!F$13*12</f>
        <v>3060</v>
      </c>
      <c r="G50" s="107">
        <f>'Property Budgets PUM'!G50*'Prop Budgets- Annual- Test'!G$13*12</f>
        <v>9600</v>
      </c>
      <c r="H50" s="107">
        <f>'Property Budgets PUM'!H50*'Prop Budgets- Annual- Test'!H$13*12</f>
        <v>5760</v>
      </c>
      <c r="I50" s="107">
        <f>'Property Budgets PUM'!I50*'Prop Budgets- Annual- Test'!I$13*12</f>
        <v>2700</v>
      </c>
      <c r="J50" s="115">
        <f>'Property Budgets PUM'!J50*'Prop Budgets- Annual- Test'!J$13*12</f>
        <v>1800</v>
      </c>
      <c r="K50" s="99"/>
    </row>
    <row r="51" spans="1:11" ht="30.75" thickBot="1">
      <c r="A51" s="50" t="s">
        <v>9</v>
      </c>
      <c r="B51" s="96"/>
      <c r="C51" s="116">
        <f>'Property Budgets PUM'!C51*'Prop Budgets- Annual- Test'!C$13*12</f>
        <v>85860</v>
      </c>
      <c r="D51" s="117">
        <f>'Property Budgets PUM'!D51*'Prop Budgets- Annual- Test'!D$13*12</f>
        <v>14400</v>
      </c>
      <c r="E51" s="117">
        <f>'Property Budgets PUM'!E51*'Prop Budgets- Annual- Test'!E$13*12</f>
        <v>24000</v>
      </c>
      <c r="F51" s="117">
        <f>'Property Budgets PUM'!F51*'Prop Budgets- Annual- Test'!F$13*12</f>
        <v>7140</v>
      </c>
      <c r="G51" s="117">
        <f>'Property Budgets PUM'!G51*'Prop Budgets- Annual- Test'!G$13*12</f>
        <v>19200</v>
      </c>
      <c r="H51" s="117">
        <f>'Property Budgets PUM'!H51*'Prop Budgets- Annual- Test'!H$13*12</f>
        <v>11520</v>
      </c>
      <c r="I51" s="117">
        <f>'Property Budgets PUM'!I51*'Prop Budgets- Annual- Test'!I$13*12</f>
        <v>5400</v>
      </c>
      <c r="J51" s="118">
        <f>'Property Budgets PUM'!J51*'Prop Budgets- Annual- Test'!J$13*12</f>
        <v>4200</v>
      </c>
      <c r="K51" s="99"/>
    </row>
    <row r="52" spans="1:11" ht="15.75" thickBot="1">
      <c r="A52" s="50" t="s">
        <v>10</v>
      </c>
      <c r="B52" s="96"/>
      <c r="C52" s="142">
        <f>'Property Budgets PUM'!C52*12*'Prop Budgets- Annual- Test'!C$13</f>
        <v>121380</v>
      </c>
      <c r="D52" s="68">
        <f>'Property Budgets PUM'!D52*12*'Prop Budgets- Annual- Test'!D$13</f>
        <v>19800</v>
      </c>
      <c r="E52" s="68">
        <f>'Property Budgets PUM'!E52*12*'Prop Budgets- Annual- Test'!E$13</f>
        <v>31200</v>
      </c>
      <c r="F52" s="68">
        <f>'Property Budgets PUM'!F52*12*'Prop Budgets- Annual- Test'!F$13</f>
        <v>10200</v>
      </c>
      <c r="G52" s="68">
        <f>'Property Budgets PUM'!G52*12*'Prop Budgets- Annual- Test'!G$13</f>
        <v>28800</v>
      </c>
      <c r="H52" s="68">
        <f>'Property Budgets PUM'!H52*12*'Prop Budgets- Annual- Test'!H$13</f>
        <v>17280</v>
      </c>
      <c r="I52" s="68">
        <f>'Property Budgets PUM'!I52*12*'Prop Budgets- Annual- Test'!I$13</f>
        <v>8100</v>
      </c>
      <c r="J52" s="69">
        <f>'Property Budgets PUM'!J52*12*'Prop Budgets- Annual- Test'!J$13</f>
        <v>6000</v>
      </c>
      <c r="K52" s="99"/>
    </row>
    <row r="53" spans="1:11" ht="15.75" thickBot="1">
      <c r="A53" s="105"/>
      <c r="B53" s="96"/>
      <c r="C53" s="106" t="s">
        <v>70</v>
      </c>
      <c r="D53" s="107"/>
      <c r="E53" s="107"/>
      <c r="F53" s="107"/>
      <c r="G53" s="107"/>
      <c r="H53" s="107"/>
      <c r="I53" s="107"/>
      <c r="J53" s="107"/>
      <c r="K53" s="99"/>
    </row>
    <row r="54" spans="1:11" ht="15">
      <c r="A54" s="50" t="s">
        <v>45</v>
      </c>
      <c r="B54" s="96"/>
      <c r="C54" s="111">
        <f>'Property Budgets PUM'!C54*'Prop Budgets- Annual- Test'!C$13*12</f>
        <v>541260</v>
      </c>
      <c r="D54" s="112">
        <f>'Property Budgets PUM'!D54*'Prop Budgets- Annual- Test'!D$13*12</f>
        <v>81000</v>
      </c>
      <c r="E54" s="112">
        <f>'Property Budgets PUM'!E54*'Prop Budgets- Annual- Test'!E$13*12</f>
        <v>148800</v>
      </c>
      <c r="F54" s="112">
        <f>'Property Budgets PUM'!F54*'Prop Budgets- Annual- Test'!F$13*12</f>
        <v>56100</v>
      </c>
      <c r="G54" s="112">
        <f>'Property Budgets PUM'!G54*'Prop Budgets- Annual- Test'!G$13*12</f>
        <v>120000</v>
      </c>
      <c r="H54" s="112">
        <f>'Property Budgets PUM'!H54*'Prop Budgets- Annual- Test'!H$13*12</f>
        <v>135360</v>
      </c>
      <c r="I54" s="112">
        <f>'Property Budgets PUM'!I54*'Prop Budgets- Annual- Test'!I$13*12</f>
        <v>0</v>
      </c>
      <c r="J54" s="113">
        <f>'Property Budgets PUM'!J54*'Prop Budgets- Annual- Test'!J$13*12</f>
        <v>0</v>
      </c>
      <c r="K54" s="99"/>
    </row>
    <row r="55" spans="1:11" ht="15">
      <c r="A55" s="50" t="s">
        <v>46</v>
      </c>
      <c r="B55" s="96"/>
      <c r="C55" s="114">
        <f>'Property Budgets PUM'!C55*'Prop Budgets- Annual- Test'!C$13*12</f>
        <v>684600</v>
      </c>
      <c r="D55" s="107">
        <f>'Property Budgets PUM'!D55*'Prop Budgets- Annual- Test'!D$13*12</f>
        <v>104400</v>
      </c>
      <c r="E55" s="107">
        <f>'Property Budgets PUM'!E55*'Prop Budgets- Annual- Test'!E$13*12</f>
        <v>168000</v>
      </c>
      <c r="F55" s="107">
        <f>'Property Budgets PUM'!F55*'Prop Budgets- Annual- Test'!F$13*12</f>
        <v>61200</v>
      </c>
      <c r="G55" s="107">
        <f>'Property Budgets PUM'!G55*'Prop Budgets- Annual- Test'!G$13*12</f>
        <v>132000</v>
      </c>
      <c r="H55" s="107">
        <f>'Property Budgets PUM'!H55*'Prop Budgets- Annual- Test'!H$13*12</f>
        <v>216000</v>
      </c>
      <c r="I55" s="107">
        <f>'Property Budgets PUM'!I55*'Prop Budgets- Annual- Test'!I$13*12</f>
        <v>1800</v>
      </c>
      <c r="J55" s="115">
        <f>'Property Budgets PUM'!J55*'Prop Budgets- Annual- Test'!J$13*12</f>
        <v>1200</v>
      </c>
      <c r="K55" s="99"/>
    </row>
    <row r="56" spans="1:11" ht="15">
      <c r="A56" s="50" t="s">
        <v>47</v>
      </c>
      <c r="B56" s="96"/>
      <c r="C56" s="114">
        <f>'Property Budgets PUM'!C56*'Prop Budgets- Annual- Test'!C$13*12</f>
        <v>408420</v>
      </c>
      <c r="D56" s="107">
        <f>'Property Budgets PUM'!D56*'Prop Budgets- Annual- Test'!D$13*12</f>
        <v>63000</v>
      </c>
      <c r="E56" s="107">
        <f>'Property Budgets PUM'!E56*'Prop Budgets- Annual- Test'!E$13*12</f>
        <v>100800</v>
      </c>
      <c r="F56" s="107">
        <f>'Property Budgets PUM'!F56*'Prop Budgets- Annual- Test'!F$13*12</f>
        <v>44880</v>
      </c>
      <c r="G56" s="107">
        <f>'Property Budgets PUM'!G56*'Prop Budgets- Annual- Test'!G$13*12</f>
        <v>98400</v>
      </c>
      <c r="H56" s="107">
        <f>'Property Budgets PUM'!H56*'Prop Budgets- Annual- Test'!H$13*12</f>
        <v>95040</v>
      </c>
      <c r="I56" s="107">
        <f>'Property Budgets PUM'!I56*'Prop Budgets- Annual- Test'!I$13*12</f>
        <v>2700</v>
      </c>
      <c r="J56" s="115">
        <f>'Property Budgets PUM'!J56*'Prop Budgets- Annual- Test'!J$13*12</f>
        <v>3600</v>
      </c>
      <c r="K56" s="99"/>
    </row>
    <row r="57" spans="1:11" ht="15.75" thickBot="1">
      <c r="A57" s="50" t="s">
        <v>11</v>
      </c>
      <c r="B57" s="96"/>
      <c r="C57" s="143">
        <f>'Property Budgets PUM'!C57*'Prop Budgets- Annual- Test'!C$13*12</f>
        <v>0</v>
      </c>
      <c r="D57" s="71">
        <f>'Property Budgets PUM'!D57*'Prop Budgets- Annual- Test'!D$13*12</f>
        <v>0</v>
      </c>
      <c r="E57" s="71">
        <f>'Property Budgets PUM'!E57*'Prop Budgets- Annual- Test'!E$13*12</f>
        <v>0</v>
      </c>
      <c r="F57" s="71">
        <f>'Property Budgets PUM'!F57*'Prop Budgets- Annual- Test'!F$13*12</f>
        <v>0</v>
      </c>
      <c r="G57" s="71">
        <f>'Property Budgets PUM'!G57*'Prop Budgets- Annual- Test'!G$13*12</f>
        <v>0</v>
      </c>
      <c r="H57" s="71">
        <f>'Property Budgets PUM'!H57*'Prop Budgets- Annual- Test'!H$13*12</f>
        <v>0</v>
      </c>
      <c r="I57" s="71">
        <f>'Property Budgets PUM'!I57*'Prop Budgets- Annual- Test'!I$13*12</f>
        <v>0</v>
      </c>
      <c r="J57" s="72">
        <f>'Property Budgets PUM'!J57*'Prop Budgets- Annual- Test'!J$13*12</f>
        <v>0</v>
      </c>
      <c r="K57" s="99"/>
    </row>
    <row r="58" spans="1:11" ht="15.75" thickBot="1">
      <c r="A58" s="50" t="s">
        <v>48</v>
      </c>
      <c r="B58" s="96"/>
      <c r="C58" s="142">
        <f>'Property Budgets PUM'!C58*12*'Prop Budgets- Annual- Test'!C$13</f>
        <v>1634280</v>
      </c>
      <c r="D58" s="68">
        <f>'Property Budgets PUM'!D58*12*'Prop Budgets- Annual- Test'!D$13</f>
        <v>248400</v>
      </c>
      <c r="E58" s="68">
        <f>'Property Budgets PUM'!E58*12*'Prop Budgets- Annual- Test'!E$13</f>
        <v>417600</v>
      </c>
      <c r="F58" s="68">
        <f>'Property Budgets PUM'!F58*12*'Prop Budgets- Annual- Test'!F$13</f>
        <v>162180</v>
      </c>
      <c r="G58" s="68">
        <f>'Property Budgets PUM'!G58*12*'Prop Budgets- Annual- Test'!G$13</f>
        <v>350400</v>
      </c>
      <c r="H58" s="68">
        <f>'Property Budgets PUM'!H58*12*'Prop Budgets- Annual- Test'!H$13</f>
        <v>446400</v>
      </c>
      <c r="I58" s="68">
        <f>'Property Budgets PUM'!I58*12*'Prop Budgets- Annual- Test'!I$13</f>
        <v>4500</v>
      </c>
      <c r="J58" s="69">
        <f>'Property Budgets PUM'!J58*12*'Prop Budgets- Annual- Test'!J$13</f>
        <v>4800</v>
      </c>
      <c r="K58" s="99"/>
    </row>
    <row r="59" spans="1:11" ht="15.75" thickBot="1">
      <c r="A59" s="105"/>
      <c r="B59" s="96"/>
      <c r="C59" s="106" t="s">
        <v>70</v>
      </c>
      <c r="D59" s="107"/>
      <c r="E59" s="107"/>
      <c r="F59" s="107"/>
      <c r="G59" s="107"/>
      <c r="H59" s="98"/>
      <c r="I59" s="98"/>
      <c r="J59" s="98"/>
      <c r="K59" s="99"/>
    </row>
    <row r="60" spans="1:11" ht="15">
      <c r="A60" s="50" t="s">
        <v>12</v>
      </c>
      <c r="B60" s="96"/>
      <c r="C60" s="111">
        <f>'Property Budgets PUM'!C60*'Prop Budgets- Annual- Test'!C$13*12</f>
        <v>616000.0000000001</v>
      </c>
      <c r="D60" s="112">
        <f>'Property Budgets PUM'!D60*'Prop Budgets- Annual- Test'!D$13*12</f>
        <v>99000</v>
      </c>
      <c r="E60" s="112">
        <f>'Property Budgets PUM'!E60*'Prop Budgets- Annual- Test'!E$13*12</f>
        <v>123000</v>
      </c>
      <c r="F60" s="112">
        <f>'Property Budgets PUM'!F60*'Prop Budgets- Annual- Test'!F$13*12</f>
        <v>59000</v>
      </c>
      <c r="G60" s="112">
        <f>'Property Budgets PUM'!G60*'Prop Budgets- Annual- Test'!G$13*12</f>
        <v>123000</v>
      </c>
      <c r="H60" s="112">
        <f>'Property Budgets PUM'!H60*'Prop Budgets- Annual- Test'!H$13*12</f>
        <v>128000.00000000001</v>
      </c>
      <c r="I60" s="112">
        <f>'Property Budgets PUM'!I60*'Prop Budgets- Annual- Test'!I$13*12</f>
        <v>46000</v>
      </c>
      <c r="J60" s="113">
        <f>'Property Budgets PUM'!J60*'Prop Budgets- Annual- Test'!J$13*12</f>
        <v>38000</v>
      </c>
      <c r="K60" s="99"/>
    </row>
    <row r="61" spans="1:11" ht="15">
      <c r="A61" s="50" t="s">
        <v>95</v>
      </c>
      <c r="B61" s="96"/>
      <c r="C61" s="114">
        <f>'Property Budgets PUM'!C61*'Prop Budgets- Annual- Test'!C$13*12</f>
        <v>227920</v>
      </c>
      <c r="D61" s="107">
        <f>'Property Budgets PUM'!D61*'Prop Budgets- Annual- Test'!D$13*12</f>
        <v>36630</v>
      </c>
      <c r="E61" s="107">
        <f>'Property Budgets PUM'!E61*'Prop Budgets- Annual- Test'!E$13*12</f>
        <v>45509.99999999999</v>
      </c>
      <c r="F61" s="107">
        <f>'Property Budgets PUM'!F61*'Prop Budgets- Annual- Test'!F$13*12</f>
        <v>21830</v>
      </c>
      <c r="G61" s="107">
        <f>'Property Budgets PUM'!G61*'Prop Budgets- Annual- Test'!G$13*12</f>
        <v>45509.99999999999</v>
      </c>
      <c r="H61" s="107">
        <f>'Property Budgets PUM'!H61*'Prop Budgets- Annual- Test'!H$13*12</f>
        <v>47360</v>
      </c>
      <c r="I61" s="107">
        <f>'Property Budgets PUM'!I61*'Prop Budgets- Annual- Test'!I$13*12</f>
        <v>17020</v>
      </c>
      <c r="J61" s="115">
        <f>'Property Budgets PUM'!J61*'Prop Budgets- Annual- Test'!J$13*12</f>
        <v>14060</v>
      </c>
      <c r="K61" s="99"/>
    </row>
    <row r="62" spans="1:11" ht="15">
      <c r="A62" s="50" t="s">
        <v>96</v>
      </c>
      <c r="B62" s="96"/>
      <c r="C62" s="114">
        <f>'Property Budgets PUM'!C62*'Prop Budgets- Annual- Test'!C$13*12</f>
        <v>61600.00000000001</v>
      </c>
      <c r="D62" s="107">
        <f>'Property Budgets PUM'!D62*'Prop Budgets- Annual- Test'!D$13*12</f>
        <v>9900</v>
      </c>
      <c r="E62" s="107">
        <f>'Property Budgets PUM'!E62*'Prop Budgets- Annual- Test'!E$13*12</f>
        <v>12300</v>
      </c>
      <c r="F62" s="107">
        <f>'Property Budgets PUM'!F62*'Prop Budgets- Annual- Test'!F$13*12</f>
        <v>5900.000000000001</v>
      </c>
      <c r="G62" s="107">
        <f>'Property Budgets PUM'!G62*'Prop Budgets- Annual- Test'!G$13*12</f>
        <v>12300</v>
      </c>
      <c r="H62" s="107">
        <f>'Property Budgets PUM'!H62*'Prop Budgets- Annual- Test'!H$13*12</f>
        <v>12800.000000000004</v>
      </c>
      <c r="I62" s="107">
        <f>'Property Budgets PUM'!I62*'Prop Budgets- Annual- Test'!I$13*12</f>
        <v>4600</v>
      </c>
      <c r="J62" s="115">
        <f>'Property Budgets PUM'!J62*'Prop Budgets- Annual- Test'!J$13*12</f>
        <v>3800</v>
      </c>
      <c r="K62" s="99"/>
    </row>
    <row r="63" spans="1:11" ht="30">
      <c r="A63" s="50" t="s">
        <v>97</v>
      </c>
      <c r="B63" s="96"/>
      <c r="C63" s="114">
        <f>'Property Budgets PUM'!C63*'Prop Budgets- Annual- Test'!C$13*12</f>
        <v>15400.000000000002</v>
      </c>
      <c r="D63" s="107">
        <f>'Property Budgets PUM'!D63*'Prop Budgets- Annual- Test'!D$13*12</f>
        <v>2475</v>
      </c>
      <c r="E63" s="107">
        <f>'Property Budgets PUM'!E63*'Prop Budgets- Annual- Test'!E$13*12</f>
        <v>3075</v>
      </c>
      <c r="F63" s="107">
        <f>'Property Budgets PUM'!F63*'Prop Budgets- Annual- Test'!F$13*12</f>
        <v>1475.0000000000002</v>
      </c>
      <c r="G63" s="107">
        <f>'Property Budgets PUM'!G63*'Prop Budgets- Annual- Test'!G$13*12</f>
        <v>3075</v>
      </c>
      <c r="H63" s="107">
        <f>'Property Budgets PUM'!H63*'Prop Budgets- Annual- Test'!H$13*12</f>
        <v>3200.000000000001</v>
      </c>
      <c r="I63" s="107">
        <f>'Property Budgets PUM'!I63*'Prop Budgets- Annual- Test'!I$13*12</f>
        <v>1150</v>
      </c>
      <c r="J63" s="115">
        <f>'Property Budgets PUM'!J63*'Prop Budgets- Annual- Test'!J$13*12</f>
        <v>950</v>
      </c>
      <c r="K63" s="99"/>
    </row>
    <row r="64" spans="1:11" ht="15">
      <c r="A64" s="50" t="s">
        <v>13</v>
      </c>
      <c r="B64" s="96"/>
      <c r="C64" s="114">
        <f>'Property Budgets PUM'!C64*'Prop Budgets- Annual- Test'!C$13*12</f>
        <v>241440</v>
      </c>
      <c r="D64" s="107">
        <f>'Property Budgets PUM'!D64*'Prop Budgets- Annual- Test'!D$13*12</f>
        <v>32400</v>
      </c>
      <c r="E64" s="107">
        <f>'Property Budgets PUM'!E64*'Prop Budgets- Annual- Test'!E$13*12</f>
        <v>57600</v>
      </c>
      <c r="F64" s="107">
        <f>'Property Budgets PUM'!F64*'Prop Budgets- Annual- Test'!F$13*12</f>
        <v>24480</v>
      </c>
      <c r="G64" s="107">
        <f>'Property Budgets PUM'!G64*'Prop Budgets- Annual- Test'!G$13*12</f>
        <v>57600</v>
      </c>
      <c r="H64" s="107">
        <f>'Property Budgets PUM'!H64*'Prop Budgets- Annual- Test'!H$13*12</f>
        <v>34560</v>
      </c>
      <c r="I64" s="107">
        <f>'Property Budgets PUM'!I64*'Prop Budgets- Annual- Test'!I$13*12</f>
        <v>21600</v>
      </c>
      <c r="J64" s="115">
        <f>'Property Budgets PUM'!J64*'Prop Budgets- Annual- Test'!J$13*12</f>
        <v>13200</v>
      </c>
      <c r="K64" s="99"/>
    </row>
    <row r="65" spans="1:11" ht="15">
      <c r="A65" s="50" t="s">
        <v>62</v>
      </c>
      <c r="B65" s="96"/>
      <c r="C65" s="114">
        <f>'Property Budgets PUM'!C65*'Prop Budgets- Annual- Test'!C$13*12</f>
        <v>6000</v>
      </c>
      <c r="D65" s="107">
        <f>'Property Budgets PUM'!D65*'Prop Budgets- Annual- Test'!D$13*12</f>
        <v>900</v>
      </c>
      <c r="E65" s="107">
        <f>'Property Budgets PUM'!E65*'Prop Budgets- Annual- Test'!E$13*12</f>
        <v>1200</v>
      </c>
      <c r="F65" s="107">
        <f>'Property Budgets PUM'!F65*'Prop Budgets- Annual- Test'!F$13*12</f>
        <v>510</v>
      </c>
      <c r="G65" s="107">
        <f>'Property Budgets PUM'!G65*'Prop Budgets- Annual- Test'!G$13*12</f>
        <v>1200</v>
      </c>
      <c r="H65" s="107">
        <f>'Property Budgets PUM'!H65*'Prop Budgets- Annual- Test'!H$13*12</f>
        <v>1440</v>
      </c>
      <c r="I65" s="107">
        <f>'Property Budgets PUM'!I65*'Prop Budgets- Annual- Test'!I$13*12</f>
        <v>450</v>
      </c>
      <c r="J65" s="115">
        <f>'Property Budgets PUM'!J65*'Prop Budgets- Annual- Test'!J$13*12</f>
        <v>300</v>
      </c>
      <c r="K65" s="99"/>
    </row>
    <row r="66" spans="1:11" ht="30">
      <c r="A66" s="50" t="s">
        <v>86</v>
      </c>
      <c r="B66" s="96"/>
      <c r="C66" s="114">
        <f>'Property Budgets PUM'!C66*'Prop Budgets- Annual- Test'!C$13*12</f>
        <v>36000</v>
      </c>
      <c r="D66" s="107">
        <f>'Property Budgets PUM'!D66*'Prop Budgets- Annual- Test'!D$13*12</f>
        <v>5400</v>
      </c>
      <c r="E66" s="107">
        <f>'Property Budgets PUM'!E66*'Prop Budgets- Annual- Test'!E$13*12</f>
        <v>7200</v>
      </c>
      <c r="F66" s="107">
        <f>'Property Budgets PUM'!F66*'Prop Budgets- Annual- Test'!F$13*12</f>
        <v>3060</v>
      </c>
      <c r="G66" s="107">
        <f>'Property Budgets PUM'!G66*'Prop Budgets- Annual- Test'!G$13*12</f>
        <v>7200</v>
      </c>
      <c r="H66" s="107">
        <f>'Property Budgets PUM'!H66*'Prop Budgets- Annual- Test'!H$13*12</f>
        <v>8640</v>
      </c>
      <c r="I66" s="107">
        <f>'Property Budgets PUM'!I66*'Prop Budgets- Annual- Test'!I$13*12</f>
        <v>2700</v>
      </c>
      <c r="J66" s="115">
        <f>'Property Budgets PUM'!J66*'Prop Budgets- Annual- Test'!J$13*12</f>
        <v>1800</v>
      </c>
      <c r="K66" s="99"/>
    </row>
    <row r="67" spans="1:11" ht="15">
      <c r="A67" s="50" t="s">
        <v>63</v>
      </c>
      <c r="B67" s="96"/>
      <c r="C67" s="114">
        <f>'Property Budgets PUM'!C67*'Prop Budgets- Annual- Test'!C$13*12</f>
        <v>77100</v>
      </c>
      <c r="D67" s="107">
        <f>'Property Budgets PUM'!D67*'Prop Budgets- Annual- Test'!D$13*12</f>
        <v>14400</v>
      </c>
      <c r="E67" s="107">
        <f>'Property Budgets PUM'!E67*'Prop Budgets- Annual- Test'!E$13*12</f>
        <v>19200</v>
      </c>
      <c r="F67" s="107">
        <f>'Property Budgets PUM'!F67*'Prop Budgets- Annual- Test'!F$13*12</f>
        <v>8160</v>
      </c>
      <c r="G67" s="107">
        <f>'Property Budgets PUM'!G67*'Prop Budgets- Annual- Test'!G$13*12</f>
        <v>19200</v>
      </c>
      <c r="H67" s="107">
        <f>'Property Budgets PUM'!H67*'Prop Budgets- Annual- Test'!H$13*12</f>
        <v>8640</v>
      </c>
      <c r="I67" s="107">
        <f>'Property Budgets PUM'!I67*'Prop Budgets- Annual- Test'!I$13*12</f>
        <v>4500</v>
      </c>
      <c r="J67" s="115">
        <f>'Property Budgets PUM'!J67*'Prop Budgets- Annual- Test'!J$13*12</f>
        <v>3000</v>
      </c>
      <c r="K67" s="99"/>
    </row>
    <row r="68" spans="1:11" ht="30">
      <c r="A68" s="50" t="s">
        <v>88</v>
      </c>
      <c r="B68" s="96"/>
      <c r="C68" s="114">
        <f>'Property Budgets PUM'!C68*'Prop Budgets- Annual- Test'!C$13*12</f>
        <v>48000</v>
      </c>
      <c r="D68" s="107">
        <f>'Property Budgets PUM'!D68*'Prop Budgets- Annual- Test'!D$13*12</f>
        <v>7200</v>
      </c>
      <c r="E68" s="107">
        <f>'Property Budgets PUM'!E68*'Prop Budgets- Annual- Test'!E$13*12</f>
        <v>9600</v>
      </c>
      <c r="F68" s="107">
        <f>'Property Budgets PUM'!F68*'Prop Budgets- Annual- Test'!F$13*12</f>
        <v>4080</v>
      </c>
      <c r="G68" s="107">
        <f>'Property Budgets PUM'!G68*'Prop Budgets- Annual- Test'!G$13*12</f>
        <v>9600</v>
      </c>
      <c r="H68" s="107">
        <f>'Property Budgets PUM'!H68*'Prop Budgets- Annual- Test'!H$13*12</f>
        <v>11520</v>
      </c>
      <c r="I68" s="107">
        <f>'Property Budgets PUM'!I68*'Prop Budgets- Annual- Test'!I$13*12</f>
        <v>3600</v>
      </c>
      <c r="J68" s="115">
        <f>'Property Budgets PUM'!J68*'Prop Budgets- Annual- Test'!J$13*12</f>
        <v>2400</v>
      </c>
      <c r="K68" s="99"/>
    </row>
    <row r="69" spans="1:11" ht="15">
      <c r="A69" s="50" t="s">
        <v>98</v>
      </c>
      <c r="B69" s="96"/>
      <c r="C69" s="114">
        <f>'Property Budgets PUM'!C69*'Prop Budgets- Annual- Test'!C$13*12</f>
        <v>96479.99999999999</v>
      </c>
      <c r="D69" s="107">
        <f>'Property Budgets PUM'!D69*'Prop Budgets- Annual- Test'!D$13*12</f>
        <v>14471.999999999996</v>
      </c>
      <c r="E69" s="107">
        <f>'Property Budgets PUM'!E69*'Prop Budgets- Annual- Test'!E$13*12</f>
        <v>19295.999999999996</v>
      </c>
      <c r="F69" s="107">
        <f>'Property Budgets PUM'!F69*'Prop Budgets- Annual- Test'!F$13*12</f>
        <v>8200.8</v>
      </c>
      <c r="G69" s="107">
        <f>'Property Budgets PUM'!G69*'Prop Budgets- Annual- Test'!G$13*12</f>
        <v>19295.999999999996</v>
      </c>
      <c r="H69" s="107">
        <f>'Property Budgets PUM'!H69*'Prop Budgets- Annual- Test'!H$13*12</f>
        <v>23155.199999999997</v>
      </c>
      <c r="I69" s="107">
        <f>'Property Budgets PUM'!I69*'Prop Budgets- Annual- Test'!I$13*12</f>
        <v>7235.999999999998</v>
      </c>
      <c r="J69" s="115">
        <f>'Property Budgets PUM'!J69*'Prop Budgets- Annual- Test'!J$13*12</f>
        <v>4823.999999999999</v>
      </c>
      <c r="K69" s="99"/>
    </row>
    <row r="70" spans="1:11" ht="15">
      <c r="A70" s="50" t="s">
        <v>85</v>
      </c>
      <c r="B70" s="96"/>
      <c r="C70" s="114">
        <f>'Property Budgets PUM'!C70*'Prop Budgets- Annual- Test'!C$13*12</f>
        <v>77850</v>
      </c>
      <c r="D70" s="107">
        <f>'Property Budgets PUM'!D70*'Prop Budgets- Annual- Test'!D$13*12</f>
        <v>11250</v>
      </c>
      <c r="E70" s="107">
        <f>'Property Budgets PUM'!E70*'Prop Budgets- Annual- Test'!E$13*12</f>
        <v>15000</v>
      </c>
      <c r="F70" s="107">
        <f>'Property Budgets PUM'!F70*'Prop Budgets- Annual- Test'!F$13*12</f>
        <v>12750</v>
      </c>
      <c r="G70" s="107">
        <f>'Property Budgets PUM'!G70*'Prop Budgets- Annual- Test'!G$13*12</f>
        <v>18000</v>
      </c>
      <c r="H70" s="107">
        <f>'Property Budgets PUM'!H70*'Prop Budgets- Annual- Test'!H$13*12</f>
        <v>9600</v>
      </c>
      <c r="I70" s="107">
        <f>'Property Budgets PUM'!I70*'Prop Budgets- Annual- Test'!I$13*12</f>
        <v>6750</v>
      </c>
      <c r="J70" s="115">
        <f>'Property Budgets PUM'!J70*'Prop Budgets- Annual- Test'!J$13*12</f>
        <v>4500</v>
      </c>
      <c r="K70" s="99"/>
    </row>
    <row r="71" spans="1:11" ht="15">
      <c r="A71" s="50" t="s">
        <v>64</v>
      </c>
      <c r="B71" s="96"/>
      <c r="C71" s="114">
        <f>'Property Budgets PUM'!C71*'Prop Budgets- Annual- Test'!C$13*12</f>
        <v>78240</v>
      </c>
      <c r="D71" s="107">
        <f>'Property Budgets PUM'!D71*'Prop Budgets- Annual- Test'!D$13*12</f>
        <v>12600</v>
      </c>
      <c r="E71" s="107">
        <f>'Property Budgets PUM'!E71*'Prop Budgets- Annual- Test'!E$13*12</f>
        <v>21600</v>
      </c>
      <c r="F71" s="107">
        <f>'Property Budgets PUM'!F71*'Prop Budgets- Annual- Test'!F$13*12</f>
        <v>9180</v>
      </c>
      <c r="G71" s="107">
        <f>'Property Budgets PUM'!G71*'Prop Budgets- Annual- Test'!G$13*12</f>
        <v>21600</v>
      </c>
      <c r="H71" s="107">
        <f>'Property Budgets PUM'!H71*'Prop Budgets- Annual- Test'!H$13*12</f>
        <v>5760</v>
      </c>
      <c r="I71" s="107">
        <f>'Property Budgets PUM'!I71*'Prop Budgets- Annual- Test'!I$13*12</f>
        <v>4500</v>
      </c>
      <c r="J71" s="115">
        <f>'Property Budgets PUM'!J71*'Prop Budgets- Annual- Test'!J$13*12</f>
        <v>3000</v>
      </c>
      <c r="K71" s="99"/>
    </row>
    <row r="72" spans="1:11" ht="15">
      <c r="A72" s="50" t="s">
        <v>99</v>
      </c>
      <c r="B72" s="96"/>
      <c r="C72" s="114">
        <f>'Property Budgets PUM'!C72*'Prop Budgets- Annual- Test'!C$13*12</f>
        <v>37080</v>
      </c>
      <c r="D72" s="107">
        <f>'Property Budgets PUM'!D72*'Prop Budgets- Annual- Test'!D$13*12</f>
        <v>6000</v>
      </c>
      <c r="E72" s="107">
        <f>'Property Budgets PUM'!E72*'Prop Budgets- Annual- Test'!E$13*12</f>
        <v>6000</v>
      </c>
      <c r="F72" s="107">
        <f>'Property Budgets PUM'!F72*'Prop Budgets- Annual- Test'!F$13*12</f>
        <v>1080</v>
      </c>
      <c r="G72" s="107">
        <f>'Property Budgets PUM'!G72*'Prop Budgets- Annual- Test'!G$13*12</f>
        <v>6000</v>
      </c>
      <c r="H72" s="107">
        <f>'Property Budgets PUM'!H72*'Prop Budgets- Annual- Test'!H$13*12</f>
        <v>6000.000000000001</v>
      </c>
      <c r="I72" s="107">
        <f>'Property Budgets PUM'!I72*'Prop Budgets- Annual- Test'!I$13*12</f>
        <v>6000</v>
      </c>
      <c r="J72" s="115">
        <f>'Property Budgets PUM'!J72*'Prop Budgets- Annual- Test'!J$13*12</f>
        <v>6000</v>
      </c>
      <c r="K72" s="99"/>
    </row>
    <row r="73" spans="1:11" ht="15">
      <c r="A73" s="50" t="s">
        <v>100</v>
      </c>
      <c r="B73" s="96"/>
      <c r="C73" s="114">
        <f>'Property Budgets PUM'!C73*'Prop Budgets- Annual- Test'!C$13*12</f>
        <v>24000</v>
      </c>
      <c r="D73" s="107">
        <f>'Property Budgets PUM'!D73*'Prop Budgets- Annual- Test'!D$13*12</f>
        <v>3600</v>
      </c>
      <c r="E73" s="107">
        <f>'Property Budgets PUM'!E73*'Prop Budgets- Annual- Test'!E$13*12</f>
        <v>4800</v>
      </c>
      <c r="F73" s="107">
        <f>'Property Budgets PUM'!F73*'Prop Budgets- Annual- Test'!F$13*12</f>
        <v>2040</v>
      </c>
      <c r="G73" s="107">
        <f>'Property Budgets PUM'!G73*'Prop Budgets- Annual- Test'!G$13*12</f>
        <v>4800</v>
      </c>
      <c r="H73" s="107">
        <f>'Property Budgets PUM'!H73*'Prop Budgets- Annual- Test'!H$13*12</f>
        <v>5760</v>
      </c>
      <c r="I73" s="107">
        <f>'Property Budgets PUM'!I73*'Prop Budgets- Annual- Test'!I$13*12</f>
        <v>1800</v>
      </c>
      <c r="J73" s="115">
        <f>'Property Budgets PUM'!J73*'Prop Budgets- Annual- Test'!J$13*12</f>
        <v>1200</v>
      </c>
      <c r="K73" s="99"/>
    </row>
    <row r="74" spans="1:11" ht="15">
      <c r="A74" s="50" t="s">
        <v>87</v>
      </c>
      <c r="B74" s="96"/>
      <c r="C74" s="114">
        <f>'Property Budgets PUM'!C74*'Prop Budgets- Annual- Test'!C$13*12</f>
        <v>17280</v>
      </c>
      <c r="D74" s="107">
        <f>'Property Budgets PUM'!D74*'Prop Budgets- Annual- Test'!D$13*12</f>
        <v>0</v>
      </c>
      <c r="E74" s="107">
        <f>'Property Budgets PUM'!E74*'Prop Budgets- Annual- Test'!E$13*12</f>
        <v>0</v>
      </c>
      <c r="F74" s="107">
        <f>'Property Budgets PUM'!F74*'Prop Budgets- Annual- Test'!F$13*12</f>
        <v>0</v>
      </c>
      <c r="G74" s="107">
        <f>'Property Budgets PUM'!G74*'Prop Budgets- Annual- Test'!G$13*12</f>
        <v>0</v>
      </c>
      <c r="H74" s="107">
        <f>'Property Budgets PUM'!H74*'Prop Budgets- Annual- Test'!H$13*12</f>
        <v>17280</v>
      </c>
      <c r="I74" s="107">
        <f>'Property Budgets PUM'!I74*'Prop Budgets- Annual- Test'!I$13*12</f>
        <v>0</v>
      </c>
      <c r="J74" s="115">
        <f>'Property Budgets PUM'!J74*'Prop Budgets- Annual- Test'!J$13*12</f>
        <v>0</v>
      </c>
      <c r="K74" s="99"/>
    </row>
    <row r="75" spans="1:11" ht="30.75" thickBot="1">
      <c r="A75" s="50" t="s">
        <v>101</v>
      </c>
      <c r="B75" s="96"/>
      <c r="C75" s="116">
        <f>'Property Budgets PUM'!C75*'Prop Budgets- Annual- Test'!C$13*12</f>
        <v>45600</v>
      </c>
      <c r="D75" s="117">
        <f>'Property Budgets PUM'!D75*'Prop Budgets- Annual- Test'!D$13*12</f>
        <v>5400</v>
      </c>
      <c r="E75" s="117">
        <f>'Property Budgets PUM'!E75*'Prop Budgets- Annual- Test'!E$13*12</f>
        <v>9600</v>
      </c>
      <c r="F75" s="117">
        <f>'Property Budgets PUM'!F75*'Prop Budgets- Annual- Test'!F$13*12</f>
        <v>4080</v>
      </c>
      <c r="G75" s="117">
        <f>'Property Budgets PUM'!G75*'Prop Budgets- Annual- Test'!G$13*12</f>
        <v>9600</v>
      </c>
      <c r="H75" s="117">
        <f>'Property Budgets PUM'!H75*'Prop Budgets- Annual- Test'!H$13*12</f>
        <v>11520</v>
      </c>
      <c r="I75" s="117">
        <f>'Property Budgets PUM'!I75*'Prop Budgets- Annual- Test'!I$13*12</f>
        <v>3600</v>
      </c>
      <c r="J75" s="118">
        <f>'Property Budgets PUM'!J75*'Prop Budgets- Annual- Test'!J$13*12</f>
        <v>1800</v>
      </c>
      <c r="K75" s="99"/>
    </row>
    <row r="76" spans="1:11" ht="15.75" thickBot="1">
      <c r="A76" s="50" t="s">
        <v>15</v>
      </c>
      <c r="B76" s="96"/>
      <c r="C76" s="142">
        <f>'Property Budgets PUM'!C76*12*'Prop Budgets- Annual- Test'!C$13</f>
        <v>1705989.9999999998</v>
      </c>
      <c r="D76" s="68">
        <f>'Property Budgets PUM'!D76*12*'Prop Budgets- Annual- Test'!D$13</f>
        <v>261626.99999999997</v>
      </c>
      <c r="E76" s="68">
        <f>'Property Budgets PUM'!E76*12*'Prop Budgets- Annual- Test'!E$13</f>
        <v>354981</v>
      </c>
      <c r="F76" s="68">
        <f>'Property Budgets PUM'!F76*12*'Prop Budgets- Annual- Test'!F$13</f>
        <v>165825.80000000002</v>
      </c>
      <c r="G76" s="68">
        <f>'Property Budgets PUM'!G76*12*'Prop Budgets- Annual- Test'!G$13</f>
        <v>357981</v>
      </c>
      <c r="H76" s="68">
        <f>'Property Budgets PUM'!H76*12*'Prop Budgets- Annual- Test'!H$13</f>
        <v>335235.2</v>
      </c>
      <c r="I76" s="68">
        <f>'Property Budgets PUM'!I76*12*'Prop Budgets- Annual- Test'!I$13</f>
        <v>131506</v>
      </c>
      <c r="J76" s="69">
        <f>'Property Budgets PUM'!J76*12*'Prop Budgets- Annual- Test'!J$13</f>
        <v>98833.99999999999</v>
      </c>
      <c r="K76" s="99"/>
    </row>
    <row r="77" spans="1:11" ht="15.75" thickBot="1">
      <c r="A77" s="105"/>
      <c r="B77" s="96"/>
      <c r="C77" s="106" t="s">
        <v>70</v>
      </c>
      <c r="D77" s="107"/>
      <c r="E77" s="107"/>
      <c r="F77" s="107"/>
      <c r="G77" s="107"/>
      <c r="H77" s="98"/>
      <c r="I77" s="98"/>
      <c r="J77" s="98"/>
      <c r="K77" s="99"/>
    </row>
    <row r="78" spans="1:11" ht="15">
      <c r="A78" s="50" t="s">
        <v>16</v>
      </c>
      <c r="B78" s="96"/>
      <c r="C78" s="119">
        <f>SUM(D78:J78)</f>
        <v>0</v>
      </c>
      <c r="D78" s="120">
        <f>'Property Budgets PUM'!D78*'Prop Budgets- Annual- Test'!D$13*12</f>
        <v>0</v>
      </c>
      <c r="E78" s="112">
        <f>'Property Budgets PUM'!E78*'Prop Budgets- Annual- Test'!E$13*12</f>
        <v>0</v>
      </c>
      <c r="F78" s="112">
        <f>'Property Budgets PUM'!F78*'Prop Budgets- Annual- Test'!F$13*12</f>
        <v>0</v>
      </c>
      <c r="G78" s="112">
        <f>'Property Budgets PUM'!G78*'Prop Budgets- Annual- Test'!G$13*12</f>
        <v>0</v>
      </c>
      <c r="H78" s="112">
        <f>'Property Budgets PUM'!H78*'Prop Budgets- Annual- Test'!H$13*12</f>
        <v>0</v>
      </c>
      <c r="I78" s="112">
        <f>'Property Budgets PUM'!I78*'Prop Budgets- Annual- Test'!I$13*12</f>
        <v>0</v>
      </c>
      <c r="J78" s="113">
        <f>'Property Budgets PUM'!J78*'Prop Budgets- Annual- Test'!J$13*12</f>
        <v>0</v>
      </c>
      <c r="K78" s="99"/>
    </row>
    <row r="79" spans="1:11" ht="15">
      <c r="A79" s="50" t="s">
        <v>23</v>
      </c>
      <c r="B79" s="96"/>
      <c r="C79" s="121">
        <f>SUM(D79:J79)</f>
        <v>0</v>
      </c>
      <c r="D79" s="122">
        <f>'Property Budgets PUM'!D79*'Prop Budgets- Annual- Test'!D$13*12</f>
        <v>0</v>
      </c>
      <c r="E79" s="107">
        <f>'Property Budgets PUM'!E79*'Prop Budgets- Annual- Test'!E$13*12</f>
        <v>0</v>
      </c>
      <c r="F79" s="107">
        <f>'Property Budgets PUM'!F79*'Prop Budgets- Annual- Test'!F$13*12</f>
        <v>0</v>
      </c>
      <c r="G79" s="107">
        <f>'Property Budgets PUM'!G79*'Prop Budgets- Annual- Test'!G$13*12</f>
        <v>0</v>
      </c>
      <c r="H79" s="107">
        <f>'Property Budgets PUM'!H79*'Prop Budgets- Annual- Test'!H$13*12</f>
        <v>0</v>
      </c>
      <c r="I79" s="107">
        <f>'Property Budgets PUM'!I79*'Prop Budgets- Annual- Test'!I$13*12</f>
        <v>0</v>
      </c>
      <c r="J79" s="115">
        <f>'Property Budgets PUM'!J79*'Prop Budgets- Annual- Test'!J$13*12</f>
        <v>0</v>
      </c>
      <c r="K79" s="99"/>
    </row>
    <row r="80" spans="1:11" ht="15">
      <c r="A80" s="50" t="s">
        <v>13</v>
      </c>
      <c r="B80" s="96"/>
      <c r="C80" s="121">
        <f>SUM(D80:J80)</f>
        <v>0</v>
      </c>
      <c r="D80" s="122">
        <f>'Property Budgets PUM'!D80*'Prop Budgets- Annual- Test'!D$13*12</f>
        <v>0</v>
      </c>
      <c r="E80" s="107">
        <f>'Property Budgets PUM'!E80*'Prop Budgets- Annual- Test'!E$13*12</f>
        <v>0</v>
      </c>
      <c r="F80" s="107">
        <f>'Property Budgets PUM'!F80*'Prop Budgets- Annual- Test'!F$13*12</f>
        <v>0</v>
      </c>
      <c r="G80" s="107">
        <f>'Property Budgets PUM'!G80*'Prop Budgets- Annual- Test'!G$13*12</f>
        <v>0</v>
      </c>
      <c r="H80" s="107">
        <f>'Property Budgets PUM'!H80*'Prop Budgets- Annual- Test'!H$13*12</f>
        <v>0</v>
      </c>
      <c r="I80" s="107">
        <f>'Property Budgets PUM'!I80*'Prop Budgets- Annual- Test'!I$13*12</f>
        <v>0</v>
      </c>
      <c r="J80" s="115">
        <f>'Property Budgets PUM'!J80*'Prop Budgets- Annual- Test'!J$13*12</f>
        <v>0</v>
      </c>
      <c r="K80" s="99"/>
    </row>
    <row r="81" spans="1:11" ht="15.75" thickBot="1">
      <c r="A81" s="50" t="s">
        <v>14</v>
      </c>
      <c r="B81" s="96"/>
      <c r="C81" s="116">
        <f>'Property Budgets PUM'!C81*'Prop Budgets- Annual- Test'!C$13*12</f>
        <v>111420</v>
      </c>
      <c r="D81" s="123">
        <f>'Property Budgets PUM'!D81*'Prop Budgets- Annual- Test'!D$13*12</f>
        <v>10800</v>
      </c>
      <c r="E81" s="117">
        <f>'Property Budgets PUM'!E81*'Prop Budgets- Annual- Test'!E$13*12</f>
        <v>26400</v>
      </c>
      <c r="F81" s="117">
        <f>'Property Budgets PUM'!F81*'Prop Budgets- Annual- Test'!F$13*12</f>
        <v>18360</v>
      </c>
      <c r="G81" s="117">
        <f>'Property Budgets PUM'!G81*'Prop Budgets- Annual- Test'!G$13*12</f>
        <v>16800</v>
      </c>
      <c r="H81" s="117">
        <f>'Property Budgets PUM'!H81*'Prop Budgets- Annual- Test'!H$13*12</f>
        <v>34560</v>
      </c>
      <c r="I81" s="117">
        <f>'Property Budgets PUM'!I81*'Prop Budgets- Annual- Test'!I$13*12</f>
        <v>2700</v>
      </c>
      <c r="J81" s="118">
        <f>'Property Budgets PUM'!J81*'Prop Budgets- Annual- Test'!J$13*12</f>
        <v>1800</v>
      </c>
      <c r="K81" s="99"/>
    </row>
    <row r="82" spans="1:11" ht="30.75" thickBot="1">
      <c r="A82" s="50" t="s">
        <v>17</v>
      </c>
      <c r="B82" s="96"/>
      <c r="C82" s="142">
        <f>'Property Budgets PUM'!C82*12*'Prop Budgets- Annual- Test'!C$13</f>
        <v>111420</v>
      </c>
      <c r="D82" s="68">
        <f>'Property Budgets PUM'!D82*12*'Prop Budgets- Annual- Test'!D$13</f>
        <v>10800</v>
      </c>
      <c r="E82" s="68">
        <f>'Property Budgets PUM'!E82*12*'Prop Budgets- Annual- Test'!E$13</f>
        <v>26400</v>
      </c>
      <c r="F82" s="68">
        <f>'Property Budgets PUM'!F82*12*'Prop Budgets- Annual- Test'!F$13</f>
        <v>18360</v>
      </c>
      <c r="G82" s="68">
        <f>'Property Budgets PUM'!G82*12*'Prop Budgets- Annual- Test'!G$13</f>
        <v>16800</v>
      </c>
      <c r="H82" s="68">
        <f>'Property Budgets PUM'!H82*12*'Prop Budgets- Annual- Test'!H$13</f>
        <v>34560</v>
      </c>
      <c r="I82" s="68">
        <f>'Property Budgets PUM'!I82*12*'Prop Budgets- Annual- Test'!I$13</f>
        <v>2700</v>
      </c>
      <c r="J82" s="69">
        <f>'Property Budgets PUM'!J82*12*'Prop Budgets- Annual- Test'!J$13</f>
        <v>1800</v>
      </c>
      <c r="K82" s="99"/>
    </row>
    <row r="83" spans="1:11" ht="15.75" thickBot="1">
      <c r="A83" s="105"/>
      <c r="B83" s="96"/>
      <c r="C83" s="106"/>
      <c r="D83" s="107"/>
      <c r="E83" s="107"/>
      <c r="F83" s="107"/>
      <c r="G83" s="107"/>
      <c r="H83" s="98"/>
      <c r="I83" s="98"/>
      <c r="J83" s="98"/>
      <c r="K83" s="99"/>
    </row>
    <row r="84" spans="1:11" ht="15">
      <c r="A84" s="50" t="s">
        <v>35</v>
      </c>
      <c r="B84" s="96"/>
      <c r="C84" s="111">
        <f>'Property Budgets PUM'!C84*'Prop Budgets- Annual- Test'!C$13*12</f>
        <v>306120</v>
      </c>
      <c r="D84" s="112">
        <f>'Property Budgets PUM'!D84*'Prop Budgets- Annual- Test'!D$13*12</f>
        <v>43200</v>
      </c>
      <c r="E84" s="112">
        <f>'Property Budgets PUM'!E84*'Prop Budgets- Annual- Test'!E$13*12</f>
        <v>60000</v>
      </c>
      <c r="F84" s="112">
        <f>'Property Budgets PUM'!F84*'Prop Budgets- Annual- Test'!F$13*12</f>
        <v>23460</v>
      </c>
      <c r="G84" s="112">
        <f>'Property Budgets PUM'!G84*'Prop Budgets- Annual- Test'!G$13*12</f>
        <v>62400</v>
      </c>
      <c r="H84" s="112">
        <f>'Property Budgets PUM'!H84*'Prop Budgets- Annual- Test'!H$13*12</f>
        <v>77760</v>
      </c>
      <c r="I84" s="112">
        <f>'Property Budgets PUM'!I84*'Prop Budgets- Annual- Test'!I$13*12</f>
        <v>22500</v>
      </c>
      <c r="J84" s="113">
        <f>'Property Budgets PUM'!J84*'Prop Budgets- Annual- Test'!J$13*12</f>
        <v>16800</v>
      </c>
      <c r="K84" s="99"/>
    </row>
    <row r="85" spans="1:11" ht="15">
      <c r="A85" s="50" t="s">
        <v>18</v>
      </c>
      <c r="B85" s="96"/>
      <c r="C85" s="114">
        <f>'Property Budgets PUM'!C85*'Prop Budgets- Annual- Test'!C$13*12</f>
        <v>73412.09999999999</v>
      </c>
      <c r="D85" s="107">
        <f>'Property Budgets PUM'!D85*'Prop Budgets- Annual- Test'!D$13*12</f>
        <v>9018</v>
      </c>
      <c r="E85" s="107">
        <f>'Property Budgets PUM'!E85*'Prop Budgets- Annual- Test'!E$13*12</f>
        <v>1751.999999999996</v>
      </c>
      <c r="F85" s="107">
        <f>'Property Budgets PUM'!F85*'Prop Budgets- Annual- Test'!F$13*12</f>
        <v>25.5</v>
      </c>
      <c r="G85" s="107">
        <f>'Property Budgets PUM'!G85*'Prop Budgets- Annual- Test'!G$13*12</f>
        <v>9866.399999999998</v>
      </c>
      <c r="H85" s="107">
        <f>'Property Budgets PUM'!H85*'Prop Budgets- Annual- Test'!H$13*12</f>
        <v>15235.2</v>
      </c>
      <c r="I85" s="107">
        <f>'Property Budgets PUM'!I85*'Prop Budgets- Annual- Test'!I$13*12</f>
        <v>21825</v>
      </c>
      <c r="J85" s="115">
        <f>'Property Budgets PUM'!J85*'Prop Budgets- Annual- Test'!J$13*12</f>
        <v>15690</v>
      </c>
      <c r="K85" s="99"/>
    </row>
    <row r="86" spans="1:11" ht="15.75" thickBot="1">
      <c r="A86" s="50" t="s">
        <v>11</v>
      </c>
      <c r="B86" s="96"/>
      <c r="C86" s="116">
        <f>'Property Budgets PUM'!C86*'Prop Budgets- Annual- Test'!C$13*12</f>
        <v>12000</v>
      </c>
      <c r="D86" s="117">
        <f>'Property Budgets PUM'!D86*'Prop Budgets- Annual- Test'!D$13*12</f>
        <v>1800</v>
      </c>
      <c r="E86" s="117">
        <f>'Property Budgets PUM'!E86*'Prop Budgets- Annual- Test'!E$13*12</f>
        <v>2400</v>
      </c>
      <c r="F86" s="117">
        <f>'Property Budgets PUM'!F86*'Prop Budgets- Annual- Test'!F$13*12</f>
        <v>1020</v>
      </c>
      <c r="G86" s="117">
        <f>'Property Budgets PUM'!G86*'Prop Budgets- Annual- Test'!G$13*12</f>
        <v>2400</v>
      </c>
      <c r="H86" s="117">
        <f>'Property Budgets PUM'!H86*'Prop Budgets- Annual- Test'!H$13*12</f>
        <v>2880</v>
      </c>
      <c r="I86" s="117">
        <f>'Property Budgets PUM'!I86*'Prop Budgets- Annual- Test'!I$13*12</f>
        <v>900</v>
      </c>
      <c r="J86" s="118">
        <f>'Property Budgets PUM'!J86*'Prop Budgets- Annual- Test'!J$13*12</f>
        <v>600</v>
      </c>
      <c r="K86" s="99"/>
    </row>
    <row r="87" spans="1:11" ht="30.75" thickBot="1">
      <c r="A87" s="50" t="s">
        <v>19</v>
      </c>
      <c r="B87" s="96"/>
      <c r="C87" s="142">
        <f>'Property Budgets PUM'!C87*12*'Prop Budgets- Annual- Test'!C$13</f>
        <v>391532.1</v>
      </c>
      <c r="D87" s="68">
        <f>'Property Budgets PUM'!D87*12*'Prop Budgets- Annual- Test'!D$13</f>
        <v>54018</v>
      </c>
      <c r="E87" s="68">
        <f>'Property Budgets PUM'!E87*12*'Prop Budgets- Annual- Test'!E$13</f>
        <v>64152</v>
      </c>
      <c r="F87" s="68">
        <f>'Property Budgets PUM'!F87*12*'Prop Budgets- Annual- Test'!F$13</f>
        <v>24505.499999999996</v>
      </c>
      <c r="G87" s="68">
        <f>'Property Budgets PUM'!G87*12*'Prop Budgets- Annual- Test'!G$13</f>
        <v>74666.4</v>
      </c>
      <c r="H87" s="68">
        <f>'Property Budgets PUM'!H87*12*'Prop Budgets- Annual- Test'!H$13</f>
        <v>95875.20000000001</v>
      </c>
      <c r="I87" s="68">
        <f>'Property Budgets PUM'!I87*12*'Prop Budgets- Annual- Test'!I$13</f>
        <v>45225</v>
      </c>
      <c r="J87" s="69">
        <f>'Property Budgets PUM'!J87*12*'Prop Budgets- Annual- Test'!J$13</f>
        <v>33090</v>
      </c>
      <c r="K87" s="99"/>
    </row>
    <row r="88" spans="1:11" ht="15.75" thickBot="1">
      <c r="A88" s="105"/>
      <c r="B88" s="96"/>
      <c r="C88" s="106"/>
      <c r="D88" s="98"/>
      <c r="E88" s="98"/>
      <c r="F88" s="98"/>
      <c r="G88" s="98"/>
      <c r="H88" s="98"/>
      <c r="I88" s="98"/>
      <c r="J88" s="98"/>
      <c r="K88" s="99"/>
    </row>
    <row r="89" spans="1:11" ht="30.75" thickBot="1">
      <c r="A89" s="144" t="s">
        <v>36</v>
      </c>
      <c r="B89" s="96"/>
      <c r="C89" s="142">
        <f>'Property Budgets PUM'!C89*12*'Prop Budgets- Annual- Test'!C$13</f>
        <v>5424801.12</v>
      </c>
      <c r="D89" s="68">
        <f>'Property Budgets PUM'!D89*12*'Prop Budgets- Annual- Test'!D$13</f>
        <v>809856.529356358</v>
      </c>
      <c r="E89" s="68">
        <f>'Property Budgets PUM'!E89*12*'Prop Budgets- Annual- Test'!E$13</f>
        <v>1166195.305808477</v>
      </c>
      <c r="F89" s="68">
        <f>'Property Budgets PUM'!F89*12*'Prop Budgets- Annual- Test'!F$13</f>
        <v>525664.3932496076</v>
      </c>
      <c r="G89" s="68">
        <f>'Property Budgets PUM'!G89*12*'Prop Budgets- Annual- Test'!G$13</f>
        <v>1111468.5858084774</v>
      </c>
      <c r="H89" s="68">
        <f>'Property Budgets PUM'!H89*12*'Prop Budgets- Annual- Test'!H$13</f>
        <v>1267137.3646467817</v>
      </c>
      <c r="I89" s="68">
        <f>'Property Budgets PUM'!I89*12*'Prop Budgets- Annual- Test'!I$13</f>
        <v>311955.96467817895</v>
      </c>
      <c r="J89" s="69">
        <f>'Property Budgets PUM'!J89*12*'Prop Budgets- Annual- Test'!J$13</f>
        <v>232522.9764521193</v>
      </c>
      <c r="K89" s="99"/>
    </row>
    <row r="90" spans="1:11" ht="15">
      <c r="A90" s="105"/>
      <c r="B90" s="96"/>
      <c r="C90" s="106" t="s">
        <v>70</v>
      </c>
      <c r="D90" s="98"/>
      <c r="E90" s="98"/>
      <c r="F90" s="98"/>
      <c r="G90" s="98"/>
      <c r="H90" s="98"/>
      <c r="I90" s="98"/>
      <c r="J90" s="98"/>
      <c r="K90" s="99"/>
    </row>
    <row r="91" spans="1:11" ht="15.75" thickBot="1">
      <c r="A91" s="105"/>
      <c r="B91" s="96"/>
      <c r="C91" s="106"/>
      <c r="D91" s="98"/>
      <c r="E91" s="98"/>
      <c r="F91" s="98"/>
      <c r="G91" s="98"/>
      <c r="H91" s="98"/>
      <c r="I91" s="98"/>
      <c r="J91" s="98"/>
      <c r="K91" s="99"/>
    </row>
    <row r="92" spans="1:11" ht="15.75" thickBot="1">
      <c r="A92" s="50" t="s">
        <v>37</v>
      </c>
      <c r="B92" s="96"/>
      <c r="C92" s="142">
        <f>'Property Budgets PUM'!C92*12*'Prop Budgets- Annual- Test'!C$13</f>
        <v>120000</v>
      </c>
      <c r="D92" s="68">
        <f>'Property Budgets PUM'!D92*12*'Prop Budgets- Annual- Test'!D$13</f>
        <v>18000</v>
      </c>
      <c r="E92" s="68">
        <f>'Property Budgets PUM'!E92*12*'Prop Budgets- Annual- Test'!E$13</f>
        <v>24000</v>
      </c>
      <c r="F92" s="68">
        <f>'Property Budgets PUM'!F92*12*'Prop Budgets- Annual- Test'!F$13</f>
        <v>10200</v>
      </c>
      <c r="G92" s="68">
        <f>'Property Budgets PUM'!G92*12*'Prop Budgets- Annual- Test'!G$13</f>
        <v>24000</v>
      </c>
      <c r="H92" s="68">
        <f>'Property Budgets PUM'!H92*12*'Prop Budgets- Annual- Test'!H$13</f>
        <v>28800</v>
      </c>
      <c r="I92" s="68">
        <f>'Property Budgets PUM'!I92*12*'Prop Budgets- Annual- Test'!I$13</f>
        <v>9000</v>
      </c>
      <c r="J92" s="69">
        <f>'Property Budgets PUM'!J92*12*'Prop Budgets- Annual- Test'!J$13</f>
        <v>6000</v>
      </c>
      <c r="K92" s="99"/>
    </row>
    <row r="93" spans="1:11" ht="15.75" thickBot="1">
      <c r="A93" s="105"/>
      <c r="B93" s="96"/>
      <c r="C93" s="106"/>
      <c r="D93" s="98"/>
      <c r="E93" s="98"/>
      <c r="F93" s="98"/>
      <c r="G93" s="98"/>
      <c r="H93" s="98"/>
      <c r="I93" s="98"/>
      <c r="J93" s="98"/>
      <c r="K93" s="99"/>
    </row>
    <row r="94" spans="1:11" ht="15.75" thickBot="1">
      <c r="A94" s="50" t="s">
        <v>20</v>
      </c>
      <c r="B94" s="83"/>
      <c r="C94" s="142">
        <f>'Property Budgets PUM'!C94*12*'Prop Budgets- Annual- Test'!C$13</f>
        <v>5544801.12</v>
      </c>
      <c r="D94" s="68">
        <f>'Property Budgets PUM'!D94*12*'Prop Budgets- Annual- Test'!D$13</f>
        <v>827856.529356358</v>
      </c>
      <c r="E94" s="68">
        <f>'Property Budgets PUM'!E94*12*'Prop Budgets- Annual- Test'!E$13</f>
        <v>1190195.305808477</v>
      </c>
      <c r="F94" s="68">
        <f>'Property Budgets PUM'!F94*12*'Prop Budgets- Annual- Test'!F$13</f>
        <v>535864.3932496076</v>
      </c>
      <c r="G94" s="68">
        <f>'Property Budgets PUM'!G94*12*'Prop Budgets- Annual- Test'!G$13</f>
        <v>1135468.5858084774</v>
      </c>
      <c r="H94" s="68">
        <f>'Property Budgets PUM'!H94*12*'Prop Budgets- Annual- Test'!H$13</f>
        <v>1295937.3646467817</v>
      </c>
      <c r="I94" s="68">
        <f>'Property Budgets PUM'!I94*12*'Prop Budgets- Annual- Test'!I$13</f>
        <v>320955.96467817895</v>
      </c>
      <c r="J94" s="69">
        <f>'Property Budgets PUM'!J94*12*'Prop Budgets- Annual- Test'!J$13</f>
        <v>238522.9764521193</v>
      </c>
      <c r="K94" s="99"/>
    </row>
    <row r="95" spans="1:11" ht="15">
      <c r="A95" s="95"/>
      <c r="B95" s="83"/>
      <c r="C95" s="106"/>
      <c r="D95" s="97"/>
      <c r="E95" s="97"/>
      <c r="F95" s="97"/>
      <c r="G95" s="97"/>
      <c r="H95" s="97"/>
      <c r="I95" s="97"/>
      <c r="J95" s="97"/>
      <c r="K95" s="99"/>
    </row>
    <row r="96" spans="1:11" ht="15.75" thickBot="1">
      <c r="A96" s="105"/>
      <c r="B96" s="96"/>
      <c r="C96" s="97"/>
      <c r="D96" s="98"/>
      <c r="E96" s="98"/>
      <c r="F96" s="98"/>
      <c r="G96" s="98"/>
      <c r="H96" s="98"/>
      <c r="I96" s="98"/>
      <c r="J96" s="98"/>
      <c r="K96" s="99"/>
    </row>
    <row r="97" spans="1:11" ht="30.75" thickBot="1">
      <c r="A97" s="50" t="s">
        <v>103</v>
      </c>
      <c r="B97" s="96"/>
      <c r="C97" s="142">
        <f>'Property Budgets PUM'!C97*12*'Prop Budgets- Annual- Test'!C$13</f>
        <v>194277.51508499947</v>
      </c>
      <c r="D97" s="68">
        <f>'Property Budgets PUM'!D97*12*'Prop Budgets- Annual- Test'!D$13</f>
        <v>2162.152643642071</v>
      </c>
      <c r="E97" s="68">
        <f>'Property Budgets PUM'!E97*12*'Prop Budgets- Annual- Test'!E$13</f>
        <v>49491.67019152256</v>
      </c>
      <c r="F97" s="68">
        <f>'Property Budgets PUM'!F97*12*'Prop Budgets- Annual- Test'!F$13</f>
        <v>839.6624353922516</v>
      </c>
      <c r="G97" s="68">
        <f>'Property Budgets PUM'!G97*12*'Prop Budgets- Annual- Test'!G$13</f>
        <v>61093.81979152268</v>
      </c>
      <c r="H97" s="68">
        <f>'Property Budgets PUM'!H97*12*'Prop Budgets- Annual- Test'!H$13</f>
        <v>61213.41615321826</v>
      </c>
      <c r="I97" s="68">
        <f>'Property Budgets PUM'!I97*12*'Prop Budgets- Annual- Test'!I$13</f>
        <v>18847.810321820998</v>
      </c>
      <c r="J97" s="69">
        <f>'Property Budgets PUM'!J97*12*'Prop Budgets- Annual- Test'!J$13</f>
        <v>628.9835478806822</v>
      </c>
      <c r="K97" s="99"/>
    </row>
    <row r="98" spans="1:11" ht="15">
      <c r="A98" s="105"/>
      <c r="B98" s="96"/>
      <c r="C98" s="97"/>
      <c r="D98" s="98"/>
      <c r="E98" s="98"/>
      <c r="F98" s="98"/>
      <c r="G98" s="98"/>
      <c r="H98" s="98"/>
      <c r="I98" s="98"/>
      <c r="J98" s="98"/>
      <c r="K98" s="99"/>
    </row>
    <row r="99" spans="3:10" ht="15.75" thickBot="1">
      <c r="C99" s="124"/>
      <c r="D99" s="125"/>
      <c r="E99" s="125"/>
      <c r="F99" s="125"/>
      <c r="G99" s="125"/>
      <c r="H99" s="125"/>
      <c r="I99" s="125"/>
      <c r="J99" s="125"/>
    </row>
    <row r="100" spans="1:10" ht="22.5" customHeight="1">
      <c r="A100" s="169" t="s">
        <v>4</v>
      </c>
      <c r="B100" s="63"/>
      <c r="C100" s="63"/>
      <c r="D100" s="63"/>
      <c r="E100" s="63"/>
      <c r="F100" s="63"/>
      <c r="G100" s="63"/>
      <c r="H100" s="63"/>
      <c r="I100" s="63"/>
      <c r="J100" s="170"/>
    </row>
    <row r="101" spans="1:10" ht="15">
      <c r="A101" s="164" t="s">
        <v>57</v>
      </c>
      <c r="B101" s="168"/>
      <c r="C101" s="168"/>
      <c r="D101" s="98">
        <v>40000</v>
      </c>
      <c r="E101" s="98">
        <v>45000</v>
      </c>
      <c r="F101" s="98">
        <v>33000</v>
      </c>
      <c r="G101" s="98">
        <v>46500</v>
      </c>
      <c r="H101" s="98">
        <v>50000</v>
      </c>
      <c r="I101" s="98">
        <v>35000</v>
      </c>
      <c r="J101" s="104">
        <v>25000</v>
      </c>
    </row>
    <row r="102" spans="1:10" ht="15">
      <c r="A102" s="164" t="s">
        <v>58</v>
      </c>
      <c r="B102" s="168"/>
      <c r="C102" s="168"/>
      <c r="D102" s="98">
        <v>20000</v>
      </c>
      <c r="E102" s="98">
        <v>30000</v>
      </c>
      <c r="F102" s="98">
        <v>12750</v>
      </c>
      <c r="G102" s="98">
        <v>32000</v>
      </c>
      <c r="H102" s="98">
        <v>30000</v>
      </c>
      <c r="I102" s="98">
        <v>0</v>
      </c>
      <c r="J102" s="104">
        <v>0</v>
      </c>
    </row>
    <row r="103" spans="1:10" ht="15">
      <c r="A103" s="164" t="s">
        <v>82</v>
      </c>
      <c r="B103" s="168"/>
      <c r="C103" s="168"/>
      <c r="D103" s="98"/>
      <c r="E103" s="98"/>
      <c r="F103" s="98"/>
      <c r="G103" s="98"/>
      <c r="H103" s="98">
        <v>26000</v>
      </c>
      <c r="I103" s="98"/>
      <c r="J103" s="104"/>
    </row>
    <row r="104" spans="1:10" ht="12.75" customHeight="1">
      <c r="A104" s="164" t="str">
        <f>'Property Budgets PUM'!A104:C104</f>
        <v>Centralized Intake Specialist</v>
      </c>
      <c r="B104" s="165"/>
      <c r="C104" s="165"/>
      <c r="D104" s="98">
        <f>'Property Budgets PUM'!D104</f>
        <v>4521.193092621664</v>
      </c>
      <c r="E104" s="98">
        <f>'Property Budgets PUM'!E104</f>
        <v>6028.257456828886</v>
      </c>
      <c r="F104" s="98">
        <f>'Property Budgets PUM'!F104</f>
        <v>6832.025117739404</v>
      </c>
      <c r="G104" s="98">
        <f>'Property Budgets PUM'!G104</f>
        <v>6028.257456828886</v>
      </c>
      <c r="H104" s="98">
        <f>'Property Budgets PUM'!H104</f>
        <v>4822.605965463108</v>
      </c>
      <c r="I104" s="98">
        <f>'Property Budgets PUM'!I104</f>
        <v>2260.596546310832</v>
      </c>
      <c r="J104" s="104">
        <f>'Property Budgets PUM'!J104</f>
        <v>1507.0643642072214</v>
      </c>
    </row>
    <row r="105" spans="1:10" ht="15">
      <c r="A105" s="164" t="s">
        <v>66</v>
      </c>
      <c r="B105" s="168"/>
      <c r="C105" s="168"/>
      <c r="D105" s="98">
        <f aca="true" t="shared" si="0" ref="D105:J105">SUM(D101:D104)</f>
        <v>64521.19309262167</v>
      </c>
      <c r="E105" s="98">
        <f t="shared" si="0"/>
        <v>81028.25745682888</v>
      </c>
      <c r="F105" s="98">
        <f t="shared" si="0"/>
        <v>52582.0251177394</v>
      </c>
      <c r="G105" s="98">
        <f t="shared" si="0"/>
        <v>84528.25745682888</v>
      </c>
      <c r="H105" s="98">
        <f t="shared" si="0"/>
        <v>110822.60596546311</v>
      </c>
      <c r="I105" s="98">
        <f t="shared" si="0"/>
        <v>37260.59654631083</v>
      </c>
      <c r="J105" s="104">
        <f t="shared" si="0"/>
        <v>26507.06436420722</v>
      </c>
    </row>
    <row r="106" spans="1:10" ht="23.25" customHeight="1" thickBot="1">
      <c r="A106" s="166" t="s">
        <v>59</v>
      </c>
      <c r="B106" s="167"/>
      <c r="C106" s="167"/>
      <c r="D106" s="109">
        <f aca="true" t="shared" si="1" ref="D106:J106">+D105/D13/12</f>
        <v>35.8451072736787</v>
      </c>
      <c r="E106" s="109">
        <f t="shared" si="1"/>
        <v>33.76177394034537</v>
      </c>
      <c r="F106" s="109">
        <f t="shared" si="1"/>
        <v>51.55100501739157</v>
      </c>
      <c r="G106" s="109">
        <f t="shared" si="1"/>
        <v>35.2201072736787</v>
      </c>
      <c r="H106" s="109">
        <f t="shared" si="1"/>
        <v>38.4800715157858</v>
      </c>
      <c r="I106" s="109">
        <f t="shared" si="1"/>
        <v>41.40066282923426</v>
      </c>
      <c r="J106" s="110">
        <f t="shared" si="1"/>
        <v>44.17844060701203</v>
      </c>
    </row>
    <row r="107" spans="3:10" ht="15">
      <c r="C107" s="124"/>
      <c r="D107" s="125"/>
      <c r="E107" s="125"/>
      <c r="F107" s="125"/>
      <c r="G107" s="125"/>
      <c r="H107" s="125"/>
      <c r="I107" s="125"/>
      <c r="J107" s="125"/>
    </row>
    <row r="108" spans="3:10" ht="15.75" thickBot="1">
      <c r="C108" s="124"/>
      <c r="D108" s="125"/>
      <c r="E108" s="125"/>
      <c r="F108" s="125"/>
      <c r="G108" s="125"/>
      <c r="H108" s="125"/>
      <c r="I108" s="125"/>
      <c r="J108" s="125"/>
    </row>
    <row r="109" spans="1:10" ht="15.75">
      <c r="A109" s="169" t="s">
        <v>12</v>
      </c>
      <c r="B109" s="63"/>
      <c r="C109" s="63"/>
      <c r="D109" s="63"/>
      <c r="E109" s="63"/>
      <c r="F109" s="63"/>
      <c r="G109" s="63"/>
      <c r="H109" s="63"/>
      <c r="I109" s="63"/>
      <c r="J109" s="170"/>
    </row>
    <row r="110" spans="1:10" ht="15">
      <c r="A110" s="164" t="s">
        <v>60</v>
      </c>
      <c r="B110" s="168"/>
      <c r="C110" s="168"/>
      <c r="D110" s="98">
        <v>40000</v>
      </c>
      <c r="E110" s="98">
        <v>40000</v>
      </c>
      <c r="F110" s="98">
        <v>35000</v>
      </c>
      <c r="G110" s="98">
        <v>40000</v>
      </c>
      <c r="H110" s="98">
        <v>45000</v>
      </c>
      <c r="I110" s="98">
        <v>30000</v>
      </c>
      <c r="J110" s="104">
        <v>30000</v>
      </c>
    </row>
    <row r="111" spans="1:10" ht="22.5" customHeight="1">
      <c r="A111" s="164" t="s">
        <v>61</v>
      </c>
      <c r="B111" s="168"/>
      <c r="C111" s="168"/>
      <c r="D111" s="98">
        <v>35000</v>
      </c>
      <c r="E111" s="98">
        <v>35000</v>
      </c>
      <c r="F111" s="98">
        <v>0</v>
      </c>
      <c r="G111" s="98">
        <v>35000</v>
      </c>
      <c r="H111" s="98">
        <v>35000</v>
      </c>
      <c r="I111" s="98">
        <v>0</v>
      </c>
      <c r="J111" s="104">
        <v>0</v>
      </c>
    </row>
    <row r="112" spans="1:10" ht="15">
      <c r="A112" s="164" t="s">
        <v>80</v>
      </c>
      <c r="B112" s="168"/>
      <c r="C112" s="168"/>
      <c r="D112" s="98">
        <v>24000</v>
      </c>
      <c r="E112" s="98">
        <v>24000</v>
      </c>
      <c r="F112" s="98">
        <v>24000</v>
      </c>
      <c r="G112" s="98">
        <v>24000</v>
      </c>
      <c r="H112" s="98">
        <v>24000</v>
      </c>
      <c r="I112" s="98">
        <v>16000</v>
      </c>
      <c r="J112" s="104">
        <v>8000</v>
      </c>
    </row>
    <row r="113" spans="1:10" ht="15">
      <c r="A113" s="164" t="s">
        <v>84</v>
      </c>
      <c r="B113" s="168"/>
      <c r="C113" s="168"/>
      <c r="D113" s="98">
        <v>0</v>
      </c>
      <c r="E113" s="98">
        <v>24000</v>
      </c>
      <c r="F113" s="98">
        <v>0</v>
      </c>
      <c r="G113" s="98">
        <v>24000</v>
      </c>
      <c r="H113" s="98">
        <v>24000</v>
      </c>
      <c r="I113" s="98">
        <v>0</v>
      </c>
      <c r="J113" s="104">
        <v>0</v>
      </c>
    </row>
    <row r="114" spans="1:10" ht="23.25" customHeight="1">
      <c r="A114" s="164" t="s">
        <v>67</v>
      </c>
      <c r="B114" s="168"/>
      <c r="C114" s="168"/>
      <c r="D114" s="98">
        <f aca="true" t="shared" si="2" ref="D114:J114">SUM(D110:D113)</f>
        <v>99000</v>
      </c>
      <c r="E114" s="98">
        <f t="shared" si="2"/>
        <v>123000</v>
      </c>
      <c r="F114" s="98">
        <f t="shared" si="2"/>
        <v>59000</v>
      </c>
      <c r="G114" s="98">
        <f t="shared" si="2"/>
        <v>123000</v>
      </c>
      <c r="H114" s="98">
        <f>SUM(H110:H113)</f>
        <v>128000</v>
      </c>
      <c r="I114" s="98">
        <f t="shared" si="2"/>
        <v>46000</v>
      </c>
      <c r="J114" s="104">
        <f t="shared" si="2"/>
        <v>38000</v>
      </c>
    </row>
    <row r="115" spans="1:10" ht="23.25" customHeight="1" thickBot="1">
      <c r="A115" s="166" t="s">
        <v>59</v>
      </c>
      <c r="B115" s="167"/>
      <c r="C115" s="167"/>
      <c r="D115" s="109">
        <f aca="true" t="shared" si="3" ref="D115:J115">+D114/D13/12</f>
        <v>55</v>
      </c>
      <c r="E115" s="109">
        <f t="shared" si="3"/>
        <v>51.25</v>
      </c>
      <c r="F115" s="109">
        <f t="shared" si="3"/>
        <v>57.84313725490196</v>
      </c>
      <c r="G115" s="109">
        <f t="shared" si="3"/>
        <v>51.25</v>
      </c>
      <c r="H115" s="109">
        <f t="shared" si="3"/>
        <v>44.44444444444445</v>
      </c>
      <c r="I115" s="109">
        <f t="shared" si="3"/>
        <v>51.111111111111114</v>
      </c>
      <c r="J115" s="110">
        <f t="shared" si="3"/>
        <v>63.333333333333336</v>
      </c>
    </row>
    <row r="116" spans="1:10" ht="15">
      <c r="A116" s="76"/>
      <c r="C116" s="124"/>
      <c r="D116" s="125"/>
      <c r="E116" s="125"/>
      <c r="F116" s="125"/>
      <c r="G116" s="125"/>
      <c r="H116" s="125"/>
      <c r="I116" s="125"/>
      <c r="J116" s="125"/>
    </row>
    <row r="117" spans="3:10" ht="15">
      <c r="C117" s="124"/>
      <c r="D117" s="125"/>
      <c r="E117" s="125"/>
      <c r="F117" s="125"/>
      <c r="G117" s="125"/>
      <c r="H117" s="125"/>
      <c r="I117" s="125"/>
      <c r="J117" s="125"/>
    </row>
    <row r="118" spans="3:10" ht="15">
      <c r="C118" s="124"/>
      <c r="D118" s="125"/>
      <c r="E118" s="125"/>
      <c r="F118" s="125"/>
      <c r="G118" s="125"/>
      <c r="H118" s="125"/>
      <c r="I118" s="125"/>
      <c r="J118" s="125"/>
    </row>
    <row r="119" spans="3:10" ht="15">
      <c r="C119" s="124"/>
      <c r="D119" s="125"/>
      <c r="E119" s="125"/>
      <c r="F119" s="125"/>
      <c r="G119" s="125"/>
      <c r="H119" s="125"/>
      <c r="I119" s="125"/>
      <c r="J119" s="125"/>
    </row>
    <row r="120" spans="3:10" ht="15">
      <c r="C120" s="124"/>
      <c r="D120" s="125"/>
      <c r="E120" s="125"/>
      <c r="F120" s="125"/>
      <c r="G120" s="125"/>
      <c r="H120" s="125"/>
      <c r="I120" s="125"/>
      <c r="J120" s="125"/>
    </row>
  </sheetData>
  <mergeCells count="18">
    <mergeCell ref="C1:J1"/>
    <mergeCell ref="C2:J2"/>
    <mergeCell ref="C3:J3"/>
    <mergeCell ref="G6:G7"/>
    <mergeCell ref="A100:J100"/>
    <mergeCell ref="A101:C101"/>
    <mergeCell ref="A102:C102"/>
    <mergeCell ref="A103:C103"/>
    <mergeCell ref="A104:C104"/>
    <mergeCell ref="A115:C115"/>
    <mergeCell ref="A111:C111"/>
    <mergeCell ref="A112:C112"/>
    <mergeCell ref="A113:C113"/>
    <mergeCell ref="A114:C114"/>
    <mergeCell ref="A105:C105"/>
    <mergeCell ref="A106:C106"/>
    <mergeCell ref="A109:J109"/>
    <mergeCell ref="A110:C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 Vanik</dc:creator>
  <cp:keywords/>
  <dc:description/>
  <cp:lastModifiedBy>Erayna Grant</cp:lastModifiedBy>
  <cp:lastPrinted>2006-07-06T14:19:51Z</cp:lastPrinted>
  <dcterms:created xsi:type="dcterms:W3CDTF">2003-10-02T14:42:06Z</dcterms:created>
  <dcterms:modified xsi:type="dcterms:W3CDTF">2006-11-01T15:58:43Z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