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90" windowWidth="15480" windowHeight="10260" tabRatio="835" activeTab="0"/>
  </bookViews>
  <sheets>
    <sheet name="Vending_Calc" sheetId="1" r:id="rId1"/>
    <sheet name="Assumptions" sheetId="2" r:id="rId2"/>
  </sheets>
  <definedNames>
    <definedName name="_xlnm.Print_Area" localSheetId="1">'Assumptions'!$A$1:$D$46</definedName>
    <definedName name="_xlnm.Print_Area" localSheetId="0">'Vending_Calc'!$A$1:$M$61</definedName>
    <definedName name="Z_554B346B_D9D9_422D_B737_63DDCB95BB09_.wvu.PrintArea" localSheetId="1" hidden="1">'Assumptions'!$A$1:$D$45</definedName>
    <definedName name="Z_554B346B_D9D9_422D_B737_63DDCB95BB09_.wvu.PrintArea" localSheetId="0" hidden="1">'Vending_Calc'!$A$1:$M$61</definedName>
  </definedNames>
  <calcPr fullCalcOnLoad="1"/>
</workbook>
</file>

<file path=xl/sharedStrings.xml><?xml version="1.0" encoding="utf-8"?>
<sst xmlns="http://schemas.openxmlformats.org/spreadsheetml/2006/main" count="114" uniqueCount="76">
  <si>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</si>
  <si>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</si>
  <si>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</si>
  <si>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</si>
  <si>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</si>
  <si>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</si>
  <si>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</si>
  <si>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</si>
  <si>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</si>
  <si>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</si>
  <si>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</si>
  <si>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</si>
  <si>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t>Energy costs (lifetime)</t>
  </si>
  <si>
    <t>Maintenance costs (lifetime)</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</si>
  <si>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</si>
  <si>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</si>
  <si>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</si>
  <si>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</si>
  <si>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</si>
  <si>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</si>
  <si>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</si>
  <si>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</si>
  <si>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</si>
  <si>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</si>
  <si>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</si>
  <si>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</si>
  <si>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</si>
  <si>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</si>
  <si>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</si>
  <si>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</si>
  <si>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</si>
  <si>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</si>
  <si>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</si>
  <si>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</si>
  <si>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</si>
  <si>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</si>
  <si>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Carbon Emissions Factors</t>
  </si>
  <si>
    <t>lbs CO2/kWh</t>
  </si>
  <si>
    <t>Labor cost (per hour)</t>
  </si>
  <si>
    <t>Energy consumption (kWh)</t>
  </si>
  <si>
    <t>Operating cost (energy and maintenance)</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</si>
  <si>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</si>
  <si>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</si>
  <si>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</si>
  <si>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</si>
  <si>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</si>
  <si>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</si>
  <si>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</si>
  <si>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</si>
  <si>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Labor time (hours)</t>
  </si>
  <si>
    <t>With Software</t>
  </si>
  <si>
    <t>Without Software</t>
  </si>
  <si>
    <t>ES</t>
  </si>
  <si>
    <t>Assumptions for Vending Machines</t>
  </si>
  <si>
    <t>Capacity (cans)</t>
  </si>
  <si>
    <t xml:space="preserve">Unit energy consumption (kWh/year)     </t>
  </si>
  <si>
    <t xml:space="preserve">For questions or comments, please send your email to: </t>
  </si>
  <si>
    <t>Escalcs@cadmusgroup.com</t>
  </si>
  <si>
    <t>Commercial Electricity Price</t>
  </si>
  <si>
    <t>Residential Electricity Price</t>
  </si>
  <si>
    <t>Electricity Carbon Emission Factor</t>
  </si>
  <si>
    <t>lbs CO2/year</t>
  </si>
  <si>
    <t>Can Capacity</t>
  </si>
  <si>
    <t>Baseline</t>
  </si>
  <si>
    <t>ES Spec</t>
  </si>
  <si>
    <t>&lt;500</t>
  </si>
  <si>
    <t>ES w/software</t>
  </si>
  <si>
    <t>800+</t>
  </si>
  <si>
    <t>Energy Consumption (by Can Capacity) kWh/year</t>
  </si>
  <si>
    <t>Industry Data 2007</t>
  </si>
  <si>
    <t>Energy Consumption (by Can Capacity) kWh/year-Energy saving software enabled</t>
  </si>
  <si>
    <t>LBNL 2007</t>
  </si>
  <si>
    <t>EIA 2008</t>
  </si>
  <si>
    <t>EPA 2008</t>
  </si>
  <si>
    <t>EPA 2007</t>
  </si>
  <si>
    <t>Constants updated 08/08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</si>
</sst>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_(&quot;$&quot;* #,##0.000_);_(&quot;$&quot;* \(#,##0.000\);_(&quot;$&quot;* &quot;-&quot;???_);_(@_)"/>
  </numFmts>
  <fonts count="4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0"/>
      <color indexed="9"/>
      <name val="Univers"/>
      <family val="0"/>
    </font>
    <font>
      <i/>
      <sz val="10"/>
      <color indexed="9"/>
      <name val="univers"/>
      <family val="0"/>
    </font>
    <font>
      <u val="single"/>
      <sz val="10"/>
      <color indexed="12"/>
      <name val="Univers"/>
      <family val="2"/>
    </font>
    <font>
      <u val="single"/>
      <sz val="10"/>
      <color indexed="12"/>
      <name val="Arial"/>
      <family val="0"/>
    </font>
    <font>
      <b/>
      <sz val="10"/>
      <color indexed="9"/>
      <name val="Arial"/>
      <family val="2"/>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14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2"/>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9" fillId="0" borderId="0" xfId="0" applyFont="1" applyFill="1" applyBorder="1" applyAlignment="1" applyProtection="1">
      <alignment horizontal="center"/>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6" fillId="4" borderId="11" xfId="0" applyFont="1" applyFill="1" applyBorder="1" applyAlignment="1" applyProtection="1">
      <alignment/>
      <protection/>
    </xf>
    <xf numFmtId="0" fontId="12"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2"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21" fillId="7" borderId="11" xfId="0" applyFont="1" applyFill="1" applyBorder="1" applyAlignment="1" applyProtection="1">
      <alignment vertical="center"/>
      <protection locked="0"/>
    </xf>
    <xf numFmtId="0" fontId="1" fillId="0" borderId="12" xfId="0" applyFont="1" applyFill="1" applyBorder="1" applyAlignment="1" applyProtection="1">
      <alignment/>
      <protection/>
    </xf>
    <xf numFmtId="0" fontId="9" fillId="0" borderId="0" xfId="0" applyFont="1" applyFill="1" applyBorder="1" applyAlignment="1" applyProtection="1">
      <alignment/>
      <protection/>
    </xf>
    <xf numFmtId="0" fontId="12" fillId="0" borderId="0" xfId="0" applyFont="1" applyFill="1" applyBorder="1" applyAlignment="1" applyProtection="1">
      <alignment/>
      <protection/>
    </xf>
    <xf numFmtId="6" fontId="1" fillId="0" borderId="11"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Alignment="1" applyProtection="1">
      <alignment/>
      <protection/>
    </xf>
    <xf numFmtId="0" fontId="23" fillId="0" borderId="0" xfId="0" applyFont="1" applyFill="1" applyAlignment="1" applyProtection="1">
      <alignment/>
      <protection/>
    </xf>
    <xf numFmtId="172" fontId="23" fillId="0" borderId="0" xfId="0" applyNumberFormat="1" applyFont="1" applyFill="1" applyAlignment="1" applyProtection="1">
      <alignment/>
      <protection/>
    </xf>
    <xf numFmtId="0" fontId="1" fillId="0" borderId="0" xfId="0" applyFont="1" applyBorder="1" applyAlignment="1" applyProtection="1">
      <alignment wrapText="1"/>
      <protection/>
    </xf>
    <xf numFmtId="0" fontId="24" fillId="0" borderId="0" xfId="52" applyFont="1" applyAlignment="1" applyProtection="1">
      <alignment/>
      <protection/>
    </xf>
    <xf numFmtId="0" fontId="0" fillId="0" borderId="0" xfId="0" applyAlignment="1">
      <alignment/>
    </xf>
    <xf numFmtId="0" fontId="1" fillId="0" borderId="15" xfId="0" applyFont="1" applyFill="1" applyBorder="1" applyAlignment="1" applyProtection="1">
      <alignment horizontal="left"/>
      <protection/>
    </xf>
    <xf numFmtId="0" fontId="21" fillId="0" borderId="0" xfId="0" applyFont="1" applyFill="1" applyBorder="1" applyAlignment="1" applyProtection="1">
      <alignment/>
      <protection/>
    </xf>
    <xf numFmtId="166" fontId="1" fillId="20" borderId="18" xfId="0" applyNumberFormat="1" applyFont="1" applyFill="1" applyBorder="1" applyAlignment="1" applyProtection="1">
      <alignment horizontal="center"/>
      <protection locked="0"/>
    </xf>
    <xf numFmtId="166" fontId="1" fillId="7" borderId="0" xfId="0" applyNumberFormat="1" applyFont="1" applyFill="1" applyBorder="1" applyAlignment="1" applyProtection="1">
      <alignment horizontal="center"/>
      <protection/>
    </xf>
    <xf numFmtId="0" fontId="1" fillId="7" borderId="0" xfId="0" applyFont="1" applyFill="1" applyBorder="1" applyAlignment="1" applyProtection="1">
      <alignment horizontal="center"/>
      <protection/>
    </xf>
    <xf numFmtId="0" fontId="1" fillId="7" borderId="0" xfId="0" applyNumberFormat="1" applyFont="1" applyFill="1" applyBorder="1" applyAlignment="1" applyProtection="1">
      <alignment horizontal="center"/>
      <protection/>
    </xf>
    <xf numFmtId="3" fontId="1" fillId="20" borderId="18" xfId="0" applyNumberFormat="1" applyFont="1" applyFill="1" applyBorder="1" applyAlignment="1" applyProtection="1">
      <alignment horizontal="center"/>
      <protection/>
    </xf>
    <xf numFmtId="3" fontId="1" fillId="7" borderId="0" xfId="0" applyNumberFormat="1" applyFont="1" applyFill="1" applyBorder="1" applyAlignment="1" applyProtection="1">
      <alignment horizontal="center"/>
      <protection/>
    </xf>
    <xf numFmtId="164" fontId="1" fillId="20" borderId="18" xfId="0" applyNumberFormat="1" applyFont="1" applyFill="1" applyBorder="1" applyAlignment="1" applyProtection="1">
      <alignment horizontal="center"/>
      <protection locked="0"/>
    </xf>
    <xf numFmtId="173" fontId="1" fillId="20" borderId="19" xfId="0" applyNumberFormat="1" applyFont="1" applyFill="1" applyBorder="1" applyAlignment="1" applyProtection="1">
      <alignment horizontal="left"/>
      <protection locked="0"/>
    </xf>
    <xf numFmtId="0" fontId="10"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6" fillId="0" borderId="0" xfId="0" applyFont="1" applyAlignment="1">
      <alignment/>
    </xf>
    <xf numFmtId="0" fontId="27" fillId="0" borderId="0" xfId="0" applyFont="1" applyAlignment="1">
      <alignment horizontal="center"/>
    </xf>
    <xf numFmtId="3" fontId="27" fillId="0" borderId="0" xfId="0" applyNumberFormat="1" applyFont="1" applyAlignment="1">
      <alignment/>
    </xf>
    <xf numFmtId="3" fontId="22" fillId="0" borderId="0" xfId="0" applyNumberFormat="1" applyFont="1" applyFill="1" applyBorder="1" applyAlignment="1" applyProtection="1">
      <alignment/>
      <protection/>
    </xf>
    <xf numFmtId="0" fontId="10" fillId="0" borderId="16" xfId="0" applyFont="1" applyFill="1" applyBorder="1" applyAlignment="1" applyProtection="1">
      <alignment/>
      <protection/>
    </xf>
    <xf numFmtId="0" fontId="10" fillId="0" borderId="10" xfId="0" applyFont="1" applyFill="1" applyBorder="1" applyAlignment="1" applyProtection="1">
      <alignment/>
      <protection/>
    </xf>
    <xf numFmtId="0" fontId="10" fillId="0" borderId="11" xfId="0" applyFont="1" applyFill="1" applyBorder="1" applyAlignment="1" applyProtection="1">
      <alignment/>
      <protection/>
    </xf>
    <xf numFmtId="0" fontId="10" fillId="0" borderId="12" xfId="0" applyFont="1" applyFill="1" applyBorder="1" applyAlignment="1" applyProtection="1">
      <alignment/>
      <protection/>
    </xf>
    <xf numFmtId="0" fontId="12" fillId="0" borderId="11" xfId="0" applyFont="1" applyFill="1" applyBorder="1" applyAlignment="1" applyProtection="1">
      <alignment/>
      <protection/>
    </xf>
    <xf numFmtId="0" fontId="12" fillId="0" borderId="12" xfId="0" applyFont="1" applyFill="1" applyBorder="1" applyAlignment="1" applyProtection="1">
      <alignment/>
      <protection/>
    </xf>
    <xf numFmtId="0" fontId="10" fillId="0" borderId="16"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0" fillId="0" borderId="11" xfId="0" applyFont="1" applyFill="1" applyBorder="1" applyAlignment="1" applyProtection="1">
      <alignment wrapText="1"/>
      <protection/>
    </xf>
    <xf numFmtId="0" fontId="12" fillId="0" borderId="11" xfId="0" applyFont="1" applyFill="1" applyBorder="1" applyAlignment="1" applyProtection="1">
      <alignment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wrapText="1"/>
      <protection/>
    </xf>
    <xf numFmtId="0" fontId="1" fillId="0" borderId="11" xfId="0" applyFont="1" applyFill="1" applyBorder="1" applyAlignment="1" applyProtection="1">
      <alignment horizontal="center" wrapText="1"/>
      <protection/>
    </xf>
    <xf numFmtId="0" fontId="1" fillId="0" borderId="13" xfId="0" applyFont="1" applyFill="1" applyBorder="1" applyAlignment="1" applyProtection="1">
      <alignment horizontal="left" wrapText="1"/>
      <protection/>
    </xf>
    <xf numFmtId="0" fontId="1" fillId="0" borderId="12" xfId="0" applyFont="1" applyFill="1" applyBorder="1" applyAlignment="1" applyProtection="1">
      <alignment wrapText="1"/>
      <protection/>
    </xf>
    <xf numFmtId="0" fontId="1" fillId="0" borderId="15" xfId="0" applyFont="1" applyFill="1" applyBorder="1" applyAlignment="1" applyProtection="1">
      <alignment/>
      <protection/>
    </xf>
    <xf numFmtId="0" fontId="1" fillId="0" borderId="11" xfId="0" applyNumberFormat="1" applyFont="1" applyFill="1" applyBorder="1" applyAlignment="1" applyProtection="1">
      <alignment horizontal="right"/>
      <protection/>
    </xf>
    <xf numFmtId="3" fontId="0" fillId="0" borderId="11" xfId="0" applyNumberFormat="1" applyBorder="1" applyAlignment="1">
      <alignment/>
    </xf>
    <xf numFmtId="3" fontId="1" fillId="0" borderId="11" xfId="0" applyNumberFormat="1" applyFont="1" applyFill="1" applyBorder="1" applyAlignment="1" applyProtection="1">
      <alignment/>
      <protection/>
    </xf>
    <xf numFmtId="3"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0" fontId="14" fillId="0" borderId="0" xfId="0" applyFont="1" applyAlignment="1">
      <alignment horizontal="center" wrapText="1"/>
    </xf>
    <xf numFmtId="0" fontId="1" fillId="0" borderId="0" xfId="0" applyFont="1" applyAlignment="1">
      <alignment horizontal="left" wrapText="1"/>
    </xf>
    <xf numFmtId="0" fontId="15" fillId="0" borderId="0" xfId="0" applyFont="1" applyAlignment="1">
      <alignment horizontal="center" wrapText="1"/>
    </xf>
    <xf numFmtId="0" fontId="12"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2" fillId="4" borderId="20"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0" fontId="19" fillId="0" borderId="0" xfId="0" applyFont="1" applyAlignment="1" applyProtection="1">
      <alignment horizontal="left"/>
      <protection/>
    </xf>
    <xf numFmtId="167" fontId="3" fillId="22" borderId="0" xfId="0" applyNumberFormat="1" applyFont="1" applyFill="1" applyBorder="1" applyAlignment="1" applyProtection="1">
      <alignment horizontal="right"/>
      <protection/>
    </xf>
    <xf numFmtId="3" fontId="3" fillId="22" borderId="0" xfId="0" applyNumberFormat="1" applyFont="1" applyFill="1" applyBorder="1" applyAlignment="1" applyProtection="1">
      <alignment horizontal="right"/>
      <protection/>
    </xf>
    <xf numFmtId="9" fontId="3" fillId="22" borderId="0" xfId="58"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562850" cy="885825"/>
        </a:xfrm>
        <a:prstGeom prst="rect">
          <a:avLst/>
        </a:prstGeom>
        <a:noFill/>
        <a:ln w="9525" cmpd="sng">
          <a:noFill/>
        </a:ln>
      </xdr:spPr>
    </xdr:pic>
    <xdr:clientData/>
  </xdr:twoCellAnchor>
  <xdr:twoCellAnchor>
    <xdr:from>
      <xdr:col>0</xdr:col>
      <xdr:colOff>47625</xdr:colOff>
      <xdr:row>19</xdr:row>
      <xdr:rowOff>66675</xdr:rowOff>
    </xdr:from>
    <xdr:to>
      <xdr:col>0</xdr:col>
      <xdr:colOff>2476500</xdr:colOff>
      <xdr:row>21</xdr:row>
      <xdr:rowOff>19050</xdr:rowOff>
    </xdr:to>
    <xdr:sp>
      <xdr:nvSpPr>
        <xdr:cNvPr id="2" name="AutoShape 83"/>
        <xdr:cNvSpPr>
          <a:spLocks/>
        </xdr:cNvSpPr>
      </xdr:nvSpPr>
      <xdr:spPr>
        <a:xfrm>
          <a:off x="47625" y="3819525"/>
          <a:ext cx="2428875" cy="29527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Software helps ENERGY STAR units save even more!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PageLayoutView="0" workbookViewId="0" topLeftCell="A1">
      <selection activeCell="N5" sqref="N5"/>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5.00390625" style="1" customWidth="1"/>
    <col min="9" max="9" width="5.28125" style="1" customWidth="1"/>
    <col min="10" max="10" width="4.140625" style="1" customWidth="1"/>
    <col min="11" max="11" width="10.140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29" t="s">
        <v>0</v>
      </c>
      <c r="B7" s="129"/>
      <c r="C7" s="129"/>
      <c r="D7" s="129"/>
      <c r="E7" s="129"/>
      <c r="F7" s="129"/>
      <c r="G7" s="129"/>
      <c r="H7" s="129"/>
      <c r="I7" s="129"/>
      <c r="J7" s="129"/>
      <c r="K7" s="129"/>
      <c r="L7" s="129"/>
      <c r="M7" s="129"/>
    </row>
    <row r="8" spans="1:13" ht="15.75" customHeight="1">
      <c r="A8" s="129" t="str">
        <f>""&amp;C16&amp;" ENERGY STAR Qualified Vending Machine(s)"</f>
        <v>1 ENERGY STAR Qualified Vending Machine(s)</v>
      </c>
      <c r="B8" s="129"/>
      <c r="C8" s="129"/>
      <c r="D8" s="129"/>
      <c r="E8" s="129"/>
      <c r="F8" s="129"/>
      <c r="G8" s="129"/>
      <c r="H8" s="129"/>
      <c r="I8" s="129"/>
      <c r="J8" s="129"/>
      <c r="K8" s="129"/>
      <c r="L8" s="129"/>
      <c r="M8" s="129"/>
    </row>
    <row r="9" spans="1:13" s="3" customFormat="1" ht="12.75">
      <c r="A9" s="2"/>
      <c r="B9" s="2"/>
      <c r="C9" s="2"/>
      <c r="D9" s="2"/>
      <c r="E9" s="2"/>
      <c r="F9" s="2"/>
      <c r="G9" s="2"/>
      <c r="H9" s="2"/>
      <c r="I9" s="2"/>
      <c r="J9" s="2"/>
      <c r="K9" s="2"/>
      <c r="L9" s="2"/>
      <c r="M9" s="2"/>
    </row>
    <row r="10" spans="1:13" ht="15.75" customHeight="1">
      <c r="A10" s="45"/>
      <c r="B10" s="45"/>
      <c r="C10" s="45"/>
      <c r="D10" s="45"/>
      <c r="E10" s="45"/>
      <c r="F10" s="45"/>
      <c r="G10" s="45"/>
      <c r="H10" s="45"/>
      <c r="I10" s="45"/>
      <c r="J10" s="45"/>
      <c r="K10" s="45"/>
      <c r="L10" s="45"/>
      <c r="M10" s="45"/>
    </row>
    <row r="11" spans="1:13" s="3" customFormat="1" ht="24" customHeight="1">
      <c r="A11" s="130" t="s">
        <v>1</v>
      </c>
      <c r="B11" s="130"/>
      <c r="C11" s="130"/>
      <c r="D11" s="130"/>
      <c r="E11" s="130"/>
      <c r="F11" s="130"/>
      <c r="G11" s="130"/>
      <c r="H11" s="130"/>
      <c r="I11" s="130"/>
      <c r="J11" s="130"/>
      <c r="K11" s="130"/>
      <c r="L11" s="130"/>
      <c r="M11" s="130"/>
    </row>
    <row r="12" spans="1:13" s="3" customFormat="1" ht="12.75">
      <c r="A12" s="2"/>
      <c r="B12" s="2"/>
      <c r="C12" s="2"/>
      <c r="D12" s="2"/>
      <c r="E12" s="2"/>
      <c r="F12" s="2"/>
      <c r="G12" s="2"/>
      <c r="H12" s="2"/>
      <c r="I12" s="2"/>
      <c r="J12" s="2"/>
      <c r="K12" s="2"/>
      <c r="L12" s="2"/>
      <c r="M12" s="2"/>
    </row>
    <row r="13" ht="15.75" customHeight="1">
      <c r="A13" s="31"/>
    </row>
    <row r="14" spans="1:13" ht="15.75">
      <c r="A14" s="131" t="s">
        <v>2</v>
      </c>
      <c r="B14" s="131"/>
      <c r="C14" s="131"/>
      <c r="D14" s="131"/>
      <c r="E14" s="131"/>
      <c r="F14" s="131"/>
      <c r="G14" s="131"/>
      <c r="H14" s="131"/>
      <c r="I14" s="131"/>
      <c r="J14" s="131"/>
      <c r="K14" s="131"/>
      <c r="L14" s="131"/>
      <c r="M14" s="131"/>
    </row>
    <row r="15" spans="1:13" ht="4.5" customHeight="1" thickBot="1">
      <c r="A15" s="46"/>
      <c r="B15" s="47"/>
      <c r="C15" s="47"/>
      <c r="D15" s="47"/>
      <c r="E15" s="47"/>
      <c r="F15" s="47"/>
      <c r="G15" s="47"/>
      <c r="H15" s="47"/>
      <c r="I15" s="47"/>
      <c r="J15" s="47"/>
      <c r="K15" s="47"/>
      <c r="L15" s="47"/>
      <c r="M15" s="4"/>
    </row>
    <row r="16" spans="1:14" ht="15.75" customHeight="1" thickBot="1">
      <c r="A16" s="5" t="s">
        <v>3</v>
      </c>
      <c r="B16" s="6"/>
      <c r="C16" s="100">
        <v>1</v>
      </c>
      <c r="D16" s="7"/>
      <c r="E16" s="7"/>
      <c r="F16" s="7"/>
      <c r="G16" s="7"/>
      <c r="H16" s="7"/>
      <c r="I16" s="7"/>
      <c r="J16" s="7"/>
      <c r="K16" s="7"/>
      <c r="L16" s="7"/>
      <c r="M16" s="8"/>
      <c r="N16" s="9"/>
    </row>
    <row r="17" spans="1:13" ht="15.75" customHeight="1" thickBot="1">
      <c r="A17" s="10" t="s">
        <v>4</v>
      </c>
      <c r="B17" s="6"/>
      <c r="C17" s="101">
        <f>Assumptions!B38</f>
        <v>0.0952</v>
      </c>
      <c r="D17" s="7"/>
      <c r="E17" s="7"/>
      <c r="F17" s="7"/>
      <c r="G17" s="7"/>
      <c r="H17" s="7"/>
      <c r="I17" s="7"/>
      <c r="J17" s="7"/>
      <c r="K17" s="7"/>
      <c r="L17" s="7"/>
      <c r="M17" s="8"/>
    </row>
    <row r="18" spans="1:14" ht="6.75" customHeight="1">
      <c r="A18" s="11"/>
      <c r="B18" s="6"/>
      <c r="C18" s="12"/>
      <c r="D18" s="7"/>
      <c r="E18" s="7"/>
      <c r="F18" s="7"/>
      <c r="G18" s="7"/>
      <c r="H18" s="7"/>
      <c r="I18" s="7"/>
      <c r="J18" s="7"/>
      <c r="K18" s="7"/>
      <c r="L18" s="7"/>
      <c r="M18" s="8"/>
      <c r="N18" s="9"/>
    </row>
    <row r="19" spans="1:13" ht="27.75" customHeight="1">
      <c r="A19" s="59"/>
      <c r="B19" s="132" t="s">
        <v>5</v>
      </c>
      <c r="C19" s="132"/>
      <c r="D19" s="132"/>
      <c r="E19" s="48"/>
      <c r="F19" s="132" t="s">
        <v>6</v>
      </c>
      <c r="G19" s="132"/>
      <c r="H19" s="132"/>
      <c r="I19" s="48"/>
      <c r="J19" s="133"/>
      <c r="K19" s="133"/>
      <c r="L19" s="133"/>
      <c r="M19" s="8"/>
    </row>
    <row r="20" spans="1:13" ht="6.75" customHeight="1">
      <c r="A20" s="79"/>
      <c r="B20" s="48"/>
      <c r="C20" s="48"/>
      <c r="D20" s="48"/>
      <c r="E20" s="48"/>
      <c r="F20" s="48"/>
      <c r="G20" s="78"/>
      <c r="H20" s="48"/>
      <c r="I20" s="48"/>
      <c r="J20" s="48"/>
      <c r="K20" s="48"/>
      <c r="L20" s="48"/>
      <c r="M20" s="8"/>
    </row>
    <row r="21" spans="1:13" ht="20.25" customHeight="1" thickBot="1">
      <c r="A21" s="79"/>
      <c r="B21" s="48"/>
      <c r="C21" s="48"/>
      <c r="D21" s="48"/>
      <c r="E21" s="48"/>
      <c r="F21" s="48"/>
      <c r="G21" s="78"/>
      <c r="H21" s="48"/>
      <c r="I21" s="48"/>
      <c r="J21" s="48"/>
      <c r="K21" s="48"/>
      <c r="L21" s="48"/>
      <c r="M21" s="8"/>
    </row>
    <row r="22" spans="1:13" ht="16.5" customHeight="1" thickBot="1">
      <c r="A22" s="5" t="s">
        <v>7</v>
      </c>
      <c r="B22" s="7"/>
      <c r="C22" s="94">
        <f>Assumptions!B5</f>
        <v>3500</v>
      </c>
      <c r="D22" s="95"/>
      <c r="E22" s="95"/>
      <c r="F22" s="95"/>
      <c r="G22" s="94">
        <f>Assumptions!B21</f>
        <v>3500</v>
      </c>
      <c r="H22" s="13"/>
      <c r="I22" s="13"/>
      <c r="J22" s="14"/>
      <c r="K22" s="7"/>
      <c r="L22" s="13"/>
      <c r="M22" s="8"/>
    </row>
    <row r="23" spans="1:13" ht="21.75" customHeight="1" thickBot="1">
      <c r="A23" s="5" t="s">
        <v>54</v>
      </c>
      <c r="B23" s="7"/>
      <c r="C23" s="96"/>
      <c r="D23" s="97"/>
      <c r="E23" s="97"/>
      <c r="F23" s="97"/>
      <c r="G23" s="96" t="str">
        <f>VLOOKUP(Assumptions!E11,Assumptions!F11:I15,2)</f>
        <v>&lt;500</v>
      </c>
      <c r="H23" s="13"/>
      <c r="I23" s="13"/>
      <c r="J23" s="14"/>
      <c r="K23" s="7"/>
      <c r="L23" s="13"/>
      <c r="M23" s="8"/>
    </row>
    <row r="24" spans="1:13" ht="14.25" customHeight="1" thickBot="1">
      <c r="A24" s="5" t="s">
        <v>55</v>
      </c>
      <c r="B24" s="7"/>
      <c r="C24" s="98">
        <f>IF(Assumptions!F6=3,VLOOKUP(Assumptions!E11,Assumptions!F11:J15,4),VLOOKUP(Assumptions!E11,Assumptions!F11:J15,5))</f>
        <v>1454</v>
      </c>
      <c r="D24" s="99"/>
      <c r="E24" s="99"/>
      <c r="F24" s="99"/>
      <c r="G24" s="98">
        <f>VLOOKUP(Assumptions!E11,Assumptions!F11:I15,3)</f>
        <v>3113</v>
      </c>
      <c r="H24" s="7"/>
      <c r="I24" s="7"/>
      <c r="J24" s="7"/>
      <c r="K24" s="7"/>
      <c r="L24" s="7"/>
      <c r="M24" s="8"/>
    </row>
    <row r="25" spans="1:13" ht="4.5" customHeight="1">
      <c r="A25" s="15"/>
      <c r="B25" s="16"/>
      <c r="C25" s="73"/>
      <c r="D25" s="16"/>
      <c r="E25" s="16"/>
      <c r="F25" s="16"/>
      <c r="G25" s="74"/>
      <c r="H25" s="16"/>
      <c r="I25" s="16"/>
      <c r="J25" s="16"/>
      <c r="K25" s="16"/>
      <c r="L25" s="16"/>
      <c r="M25" s="17"/>
    </row>
    <row r="26" ht="14.25" customHeight="1">
      <c r="A26" s="49"/>
    </row>
    <row r="27" ht="15.75" customHeight="1">
      <c r="A27" s="50"/>
    </row>
    <row r="28" spans="1:13" ht="15.75">
      <c r="A28" s="131" t="str">
        <f>"Annual and Life Cycle Costs and Savings for "&amp;C16&amp;" Vending Machine(s)"</f>
        <v>Annual and Life Cycle Costs and Savings for 1 Vending Machine(s)</v>
      </c>
      <c r="B28" s="131"/>
      <c r="C28" s="131"/>
      <c r="D28" s="131"/>
      <c r="E28" s="131"/>
      <c r="F28" s="131"/>
      <c r="G28" s="131"/>
      <c r="H28" s="131"/>
      <c r="I28" s="131"/>
      <c r="J28" s="131"/>
      <c r="K28" s="131"/>
      <c r="L28" s="131"/>
      <c r="M28" s="131"/>
    </row>
    <row r="29" spans="1:13" ht="31.5" customHeight="1">
      <c r="A29" s="18"/>
      <c r="B29" s="134" t="str">
        <f>""&amp;C16&amp;" ENERGY STAR Qualified Units"</f>
        <v>1 ENERGY STAR Qualified Units</v>
      </c>
      <c r="C29" s="134"/>
      <c r="D29" s="134"/>
      <c r="E29" s="51"/>
      <c r="F29" s="134" t="str">
        <f>""&amp;C16&amp;" Conventional Units"</f>
        <v>1 Conventional Units</v>
      </c>
      <c r="G29" s="134"/>
      <c r="H29" s="134"/>
      <c r="I29" s="51"/>
      <c r="J29" s="134" t="s">
        <v>8</v>
      </c>
      <c r="K29" s="134"/>
      <c r="L29" s="134"/>
      <c r="M29" s="19"/>
    </row>
    <row r="30" spans="1:13" ht="15.75" customHeight="1">
      <c r="A30" s="71" t="s">
        <v>44</v>
      </c>
      <c r="B30" s="20"/>
      <c r="C30" s="20"/>
      <c r="D30" s="20"/>
      <c r="E30" s="20"/>
      <c r="F30" s="20"/>
      <c r="G30" s="20"/>
      <c r="H30" s="20"/>
      <c r="I30" s="20"/>
      <c r="J30" s="20"/>
      <c r="K30" s="20"/>
      <c r="L30" s="20"/>
      <c r="M30" s="21"/>
    </row>
    <row r="31" spans="1:13" ht="15.75" customHeight="1">
      <c r="A31" s="22" t="s">
        <v>9</v>
      </c>
      <c r="B31" s="20"/>
      <c r="C31" s="23">
        <f>C32*C17</f>
        <v>138.4208</v>
      </c>
      <c r="D31" s="20"/>
      <c r="E31" s="20"/>
      <c r="F31" s="20"/>
      <c r="G31" s="23">
        <f>G32*C17</f>
        <v>296.35760000000005</v>
      </c>
      <c r="H31" s="20"/>
      <c r="I31" s="20"/>
      <c r="J31" s="20"/>
      <c r="K31" s="23">
        <f>G31-C31</f>
        <v>157.93680000000003</v>
      </c>
      <c r="L31" s="20"/>
      <c r="M31" s="21"/>
    </row>
    <row r="32" spans="1:13" ht="15.75" customHeight="1" hidden="1" outlineLevel="1">
      <c r="A32" s="27" t="s">
        <v>39</v>
      </c>
      <c r="B32" s="20"/>
      <c r="C32" s="25">
        <f>C16*(Vending_Calc!C24)</f>
        <v>1454</v>
      </c>
      <c r="D32" s="25"/>
      <c r="E32" s="25"/>
      <c r="F32" s="25"/>
      <c r="G32" s="25">
        <f>C16*(Vending_Calc!G24)</f>
        <v>3113</v>
      </c>
      <c r="H32" s="25"/>
      <c r="I32" s="25"/>
      <c r="J32" s="25"/>
      <c r="K32" s="25">
        <f>G32-C32</f>
        <v>1659</v>
      </c>
      <c r="L32" s="25"/>
      <c r="M32" s="21"/>
    </row>
    <row r="33" spans="1:13" ht="15.75" customHeight="1" collapsed="1">
      <c r="A33" s="28" t="s">
        <v>10</v>
      </c>
      <c r="B33" s="20"/>
      <c r="C33" s="23">
        <f>C16*(Assumptions!B31*Assumptions!B32)</f>
        <v>0</v>
      </c>
      <c r="D33" s="20"/>
      <c r="E33" s="20"/>
      <c r="F33" s="20"/>
      <c r="G33" s="23">
        <f>C16*(Assumptions!B31*Assumptions!B32)</f>
        <v>0</v>
      </c>
      <c r="H33" s="20"/>
      <c r="I33" s="20"/>
      <c r="J33" s="20"/>
      <c r="K33" s="23">
        <f>G33-C33</f>
        <v>0</v>
      </c>
      <c r="L33" s="20"/>
      <c r="M33" s="21"/>
    </row>
    <row r="34" spans="1:13" s="31" customFormat="1" ht="15.75" customHeight="1">
      <c r="A34" s="72" t="s">
        <v>11</v>
      </c>
      <c r="B34" s="29"/>
      <c r="C34" s="54">
        <f>C31+C33</f>
        <v>138.4208</v>
      </c>
      <c r="D34" s="29"/>
      <c r="E34" s="29"/>
      <c r="F34" s="29"/>
      <c r="G34" s="54">
        <f>G31+G33</f>
        <v>296.35760000000005</v>
      </c>
      <c r="H34" s="29"/>
      <c r="I34" s="29"/>
      <c r="J34" s="29"/>
      <c r="K34" s="54">
        <f>K31+K33</f>
        <v>157.93680000000003</v>
      </c>
      <c r="L34" s="29"/>
      <c r="M34" s="30"/>
    </row>
    <row r="35" spans="1:13" ht="15.75" customHeight="1">
      <c r="A35" s="22"/>
      <c r="B35" s="20"/>
      <c r="C35" s="20"/>
      <c r="D35" s="20"/>
      <c r="E35" s="20"/>
      <c r="F35" s="20"/>
      <c r="G35" s="20"/>
      <c r="H35" s="20"/>
      <c r="I35" s="20"/>
      <c r="J35" s="20"/>
      <c r="K35" s="20"/>
      <c r="L35" s="20"/>
      <c r="M35" s="21"/>
    </row>
    <row r="36" spans="1:13" ht="15.75" customHeight="1">
      <c r="A36" s="71" t="s">
        <v>45</v>
      </c>
      <c r="B36" s="20"/>
      <c r="C36" s="20"/>
      <c r="D36" s="20"/>
      <c r="E36" s="20"/>
      <c r="F36" s="20"/>
      <c r="G36" s="20"/>
      <c r="H36" s="20"/>
      <c r="I36" s="20"/>
      <c r="J36" s="20"/>
      <c r="K36" s="20"/>
      <c r="L36" s="20"/>
      <c r="M36" s="21"/>
    </row>
    <row r="37" spans="1:13" ht="15.75" customHeight="1">
      <c r="A37" s="44" t="s">
        <v>40</v>
      </c>
      <c r="B37" s="20"/>
      <c r="C37" s="23">
        <f>C38+C40</f>
        <v>1462.1559263934848</v>
      </c>
      <c r="D37" s="20"/>
      <c r="E37" s="20"/>
      <c r="F37" s="20"/>
      <c r="G37" s="23">
        <f>G38+G40</f>
        <v>3130.46175987821</v>
      </c>
      <c r="H37" s="20"/>
      <c r="I37" s="20"/>
      <c r="J37" s="20"/>
      <c r="K37" s="23">
        <f>G37-C37</f>
        <v>1668.3058334847253</v>
      </c>
      <c r="L37" s="20"/>
      <c r="M37" s="21"/>
    </row>
    <row r="38" spans="1:13" ht="15.75" customHeight="1" hidden="1" outlineLevel="1">
      <c r="A38" s="24" t="s">
        <v>12</v>
      </c>
      <c r="B38" s="20"/>
      <c r="C38" s="23">
        <f>PV(Assumptions!B35,Assumptions!B6,-C31,,0)</f>
        <v>1462.1559263934848</v>
      </c>
      <c r="D38" s="20"/>
      <c r="E38" s="20"/>
      <c r="F38" s="20"/>
      <c r="G38" s="23">
        <f>PV(Assumptions!B35,Assumptions!B22,-G31,,0)</f>
        <v>3130.46175987821</v>
      </c>
      <c r="H38" s="20"/>
      <c r="I38" s="20"/>
      <c r="J38" s="20"/>
      <c r="K38" s="23">
        <f>G38-C38</f>
        <v>1668.3058334847253</v>
      </c>
      <c r="L38" s="20"/>
      <c r="M38" s="21"/>
    </row>
    <row r="39" spans="1:13" ht="15.75" customHeight="1" hidden="1" outlineLevel="1">
      <c r="A39" s="27" t="s">
        <v>39</v>
      </c>
      <c r="B39" s="20"/>
      <c r="C39" s="25">
        <f>C32*Assumptions!B6</f>
        <v>20356</v>
      </c>
      <c r="D39" s="25"/>
      <c r="E39" s="25"/>
      <c r="F39" s="25"/>
      <c r="G39" s="25">
        <f>G32*Assumptions!B22</f>
        <v>43582</v>
      </c>
      <c r="H39" s="25"/>
      <c r="I39" s="25"/>
      <c r="J39" s="25"/>
      <c r="K39" s="25">
        <f>G39-C39</f>
        <v>23226</v>
      </c>
      <c r="L39" s="26"/>
      <c r="M39" s="21"/>
    </row>
    <row r="40" spans="1:13" ht="15.75" customHeight="1" hidden="1" outlineLevel="1">
      <c r="A40" s="24" t="s">
        <v>13</v>
      </c>
      <c r="B40" s="20"/>
      <c r="C40" s="23">
        <f>PV(Assumptions!B35,Assumptions!B6,-C33,,0)</f>
        <v>0</v>
      </c>
      <c r="D40" s="20"/>
      <c r="E40" s="20"/>
      <c r="F40" s="20"/>
      <c r="G40" s="23">
        <f>PV(Assumptions!B35,Assumptions!B22,-G33,,0)</f>
        <v>0</v>
      </c>
      <c r="H40" s="20"/>
      <c r="I40" s="20"/>
      <c r="J40" s="20"/>
      <c r="K40" s="23">
        <f>G40-C40</f>
        <v>0</v>
      </c>
      <c r="L40" s="20"/>
      <c r="M40" s="21"/>
    </row>
    <row r="41" spans="1:13" ht="15.75" customHeight="1" collapsed="1">
      <c r="A41" s="22" t="str">
        <f>"Purchase price for "&amp;C16&amp;" unit(s)"</f>
        <v>Purchase price for 1 unit(s)</v>
      </c>
      <c r="B41" s="20"/>
      <c r="C41" s="23">
        <f>C16*C22</f>
        <v>3500</v>
      </c>
      <c r="D41" s="20"/>
      <c r="E41" s="20"/>
      <c r="F41" s="20"/>
      <c r="G41" s="23">
        <f>C16*G22</f>
        <v>3500</v>
      </c>
      <c r="H41" s="20"/>
      <c r="I41" s="20"/>
      <c r="J41" s="20"/>
      <c r="K41" s="23">
        <f>G41-C41</f>
        <v>0</v>
      </c>
      <c r="L41" s="20"/>
      <c r="M41" s="21"/>
    </row>
    <row r="42" spans="1:13" s="31" customFormat="1" ht="15.75" customHeight="1">
      <c r="A42" s="72" t="s">
        <v>11</v>
      </c>
      <c r="B42" s="29"/>
      <c r="C42" s="54">
        <f>C37+C41</f>
        <v>4962.155926393485</v>
      </c>
      <c r="D42" s="29"/>
      <c r="E42" s="29"/>
      <c r="F42" s="29"/>
      <c r="G42" s="54">
        <f>G37+G41</f>
        <v>6630.46175987821</v>
      </c>
      <c r="H42" s="29"/>
      <c r="I42" s="29"/>
      <c r="J42" s="29"/>
      <c r="K42" s="54">
        <f>K37+K41</f>
        <v>1668.3058334847253</v>
      </c>
      <c r="L42" s="29"/>
      <c r="M42" s="30"/>
    </row>
    <row r="43" spans="1:13" s="31" customFormat="1" ht="15.75" customHeight="1">
      <c r="A43" s="53"/>
      <c r="B43" s="29"/>
      <c r="C43" s="55"/>
      <c r="D43" s="29"/>
      <c r="E43" s="29"/>
      <c r="F43" s="29"/>
      <c r="G43" s="55"/>
      <c r="H43" s="29"/>
      <c r="I43" s="29"/>
      <c r="J43" s="29"/>
      <c r="K43" s="55"/>
      <c r="L43" s="29"/>
      <c r="M43" s="30"/>
    </row>
    <row r="44" spans="1:13" ht="15.75" customHeight="1">
      <c r="A44" s="52"/>
      <c r="B44" s="20"/>
      <c r="C44" s="20"/>
      <c r="D44" s="20"/>
      <c r="E44" s="20"/>
      <c r="F44" s="20"/>
      <c r="G44" s="20"/>
      <c r="H44" s="20"/>
      <c r="I44" s="20"/>
      <c r="J44" s="32" t="s">
        <v>14</v>
      </c>
      <c r="K44" s="77">
        <f>IF(H52&lt;=0,0,IF(K34&lt;0,"N/A",IF(K34=0,"&gt;"&amp;Assumptions!B6&amp;"",IF(H52/K34&gt;Assumptions!B6,"&gt;"&amp;Assumptions!B6&amp;"",H52/K34))))</f>
        <v>0</v>
      </c>
      <c r="L44" s="20"/>
      <c r="M44" s="21"/>
    </row>
    <row r="45" spans="1:13" ht="4.5" customHeight="1">
      <c r="A45" s="33"/>
      <c r="B45" s="34"/>
      <c r="C45" s="34"/>
      <c r="D45" s="34"/>
      <c r="E45" s="34"/>
      <c r="F45" s="34"/>
      <c r="G45" s="34"/>
      <c r="H45" s="34"/>
      <c r="I45" s="34"/>
      <c r="J45" s="34"/>
      <c r="K45" s="34"/>
      <c r="L45" s="34"/>
      <c r="M45" s="35"/>
    </row>
    <row r="46" spans="1:13" ht="24" customHeight="1">
      <c r="A46" s="135" t="s">
        <v>46</v>
      </c>
      <c r="B46" s="136"/>
      <c r="C46" s="136"/>
      <c r="D46" s="136"/>
      <c r="E46" s="136"/>
      <c r="F46" s="136"/>
      <c r="G46" s="136"/>
      <c r="H46" s="136"/>
      <c r="I46" s="136"/>
      <c r="J46" s="136"/>
      <c r="K46" s="136"/>
      <c r="L46" s="136"/>
      <c r="M46" s="136"/>
    </row>
    <row r="47" spans="1:13" ht="13.5">
      <c r="A47" s="137" t="s">
        <v>47</v>
      </c>
      <c r="B47" s="137"/>
      <c r="C47" s="137"/>
      <c r="D47" s="137"/>
      <c r="E47" s="137"/>
      <c r="F47" s="137"/>
      <c r="G47" s="137"/>
      <c r="H47" s="137"/>
      <c r="I47" s="137"/>
      <c r="J47" s="137"/>
      <c r="K47" s="137"/>
      <c r="L47" s="137"/>
      <c r="M47" s="137"/>
    </row>
    <row r="48" spans="1:13" ht="14.25">
      <c r="A48" s="56"/>
      <c r="B48" s="56"/>
      <c r="C48" s="56"/>
      <c r="D48" s="56"/>
      <c r="E48" s="56"/>
      <c r="F48" s="56"/>
      <c r="G48" s="56"/>
      <c r="H48" s="56"/>
      <c r="I48" s="56"/>
      <c r="J48" s="56"/>
      <c r="K48" s="56"/>
      <c r="L48" s="56"/>
      <c r="M48" s="56"/>
    </row>
    <row r="49" ht="15" customHeight="1"/>
    <row r="50" spans="1:13" ht="15.75" customHeight="1">
      <c r="A50" s="131" t="str">
        <f>"Summary of Benefits for "&amp;C16&amp;" Vending Machine(s)"</f>
        <v>Summary of Benefits for 1 Vending Machine(s)</v>
      </c>
      <c r="B50" s="131"/>
      <c r="C50" s="131"/>
      <c r="D50" s="131"/>
      <c r="E50" s="131"/>
      <c r="F50" s="131"/>
      <c r="G50" s="131"/>
      <c r="H50" s="131"/>
      <c r="I50" s="131"/>
      <c r="J50" s="131"/>
      <c r="K50" s="131"/>
      <c r="L50" s="131"/>
      <c r="M50" s="131"/>
    </row>
    <row r="51" spans="1:13" ht="4.5" customHeight="1">
      <c r="A51" s="36" t="s">
        <v>15</v>
      </c>
      <c r="B51" s="37"/>
      <c r="C51" s="37"/>
      <c r="D51" s="37"/>
      <c r="E51" s="37"/>
      <c r="F51" s="37"/>
      <c r="G51" s="37"/>
      <c r="H51" s="37"/>
      <c r="I51" s="37"/>
      <c r="J51" s="37"/>
      <c r="K51" s="37"/>
      <c r="L51" s="37"/>
      <c r="M51" s="38"/>
    </row>
    <row r="52" spans="1:13" ht="15.75" customHeight="1">
      <c r="A52" s="39" t="s">
        <v>16</v>
      </c>
      <c r="B52" s="58"/>
      <c r="C52" s="58"/>
      <c r="D52" s="58"/>
      <c r="E52" s="58"/>
      <c r="F52" s="58"/>
      <c r="G52" s="58"/>
      <c r="H52" s="138">
        <f>(C22-G22)*C16</f>
        <v>0</v>
      </c>
      <c r="I52" s="138"/>
      <c r="J52" s="58"/>
      <c r="K52" s="58"/>
      <c r="L52" s="58"/>
      <c r="M52" s="40"/>
    </row>
    <row r="53" spans="1:13" ht="15.75" customHeight="1">
      <c r="A53" s="39" t="s">
        <v>17</v>
      </c>
      <c r="B53" s="58"/>
      <c r="C53" s="58"/>
      <c r="D53" s="58"/>
      <c r="E53" s="58"/>
      <c r="F53" s="58"/>
      <c r="G53" s="58"/>
      <c r="H53" s="138">
        <f>K37</f>
        <v>1668.3058334847253</v>
      </c>
      <c r="I53" s="138"/>
      <c r="J53" s="58"/>
      <c r="K53" s="58"/>
      <c r="L53" s="58"/>
      <c r="M53" s="40"/>
    </row>
    <row r="54" spans="1:13" ht="15.75" customHeight="1">
      <c r="A54" s="39" t="s">
        <v>18</v>
      </c>
      <c r="B54" s="58"/>
      <c r="C54" s="58"/>
      <c r="D54" s="58"/>
      <c r="E54" s="58"/>
      <c r="F54" s="58"/>
      <c r="G54" s="58"/>
      <c r="H54" s="138">
        <f>K42</f>
        <v>1668.3058334847253</v>
      </c>
      <c r="I54" s="138"/>
      <c r="J54" s="58"/>
      <c r="K54" s="58"/>
      <c r="L54" s="58"/>
      <c r="M54" s="40"/>
    </row>
    <row r="55" spans="1:13" ht="15.75" customHeight="1">
      <c r="A55" s="39" t="s">
        <v>19</v>
      </c>
      <c r="B55" s="58"/>
      <c r="C55" s="58"/>
      <c r="D55" s="58"/>
      <c r="E55" s="58"/>
      <c r="F55" s="58"/>
      <c r="G55" s="58"/>
      <c r="H55" s="141">
        <f>K44</f>
        <v>0</v>
      </c>
      <c r="I55" s="141"/>
      <c r="J55" s="58"/>
      <c r="K55" s="58"/>
      <c r="L55" s="58"/>
      <c r="M55" s="40"/>
    </row>
    <row r="56" spans="1:13" ht="15.75" customHeight="1">
      <c r="A56" s="39" t="s">
        <v>20</v>
      </c>
      <c r="B56" s="58"/>
      <c r="C56" s="58"/>
      <c r="D56" s="58"/>
      <c r="E56" s="58"/>
      <c r="F56" s="58"/>
      <c r="G56" s="58"/>
      <c r="H56" s="139">
        <f>K39</f>
        <v>23226</v>
      </c>
      <c r="I56" s="139"/>
      <c r="J56" s="58"/>
      <c r="K56" s="58"/>
      <c r="L56" s="58"/>
      <c r="M56" s="40"/>
    </row>
    <row r="57" spans="1:13" ht="15.75" customHeight="1">
      <c r="A57" s="39" t="s">
        <v>21</v>
      </c>
      <c r="B57" s="58"/>
      <c r="C57" s="58"/>
      <c r="D57" s="58"/>
      <c r="E57" s="58"/>
      <c r="F57" s="58"/>
      <c r="G57" s="58"/>
      <c r="H57" s="139">
        <f>K39*Assumptions!B42</f>
        <v>35768.04</v>
      </c>
      <c r="I57" s="139"/>
      <c r="J57" s="58"/>
      <c r="K57" s="58"/>
      <c r="L57" s="58"/>
      <c r="M57" s="40"/>
    </row>
    <row r="58" spans="1:13" ht="15.75" customHeight="1">
      <c r="A58" s="39" t="s">
        <v>22</v>
      </c>
      <c r="B58" s="58"/>
      <c r="C58" s="58"/>
      <c r="D58" s="58"/>
      <c r="E58" s="58"/>
      <c r="F58" s="58"/>
      <c r="G58" s="58"/>
      <c r="H58" s="139">
        <f>K39*Assumptions!B42/Assumptions!B46</f>
        <v>2.971507850793387</v>
      </c>
      <c r="I58" s="139"/>
      <c r="J58" s="58"/>
      <c r="K58" s="58"/>
      <c r="L58" s="58"/>
      <c r="M58" s="40"/>
    </row>
    <row r="59" spans="1:13" ht="15.75" customHeight="1">
      <c r="A59" s="39" t="s">
        <v>23</v>
      </c>
      <c r="B59" s="58"/>
      <c r="C59" s="58"/>
      <c r="D59" s="58"/>
      <c r="E59" s="58"/>
      <c r="F59" s="58"/>
      <c r="G59" s="58"/>
      <c r="H59" s="139">
        <f>K39*Assumptions!B42/Assumptions!B45</f>
        <v>3.6874268041237115</v>
      </c>
      <c r="I59" s="139"/>
      <c r="J59" s="58"/>
      <c r="K59" s="58"/>
      <c r="L59" s="58"/>
      <c r="M59" s="40"/>
    </row>
    <row r="60" spans="1:13" ht="15.75" customHeight="1">
      <c r="A60" s="75" t="s">
        <v>24</v>
      </c>
      <c r="B60" s="58"/>
      <c r="C60" s="58"/>
      <c r="D60" s="58"/>
      <c r="E60" s="58"/>
      <c r="F60" s="58"/>
      <c r="G60" s="58"/>
      <c r="H60" s="140">
        <f>K42/(C22*C16)</f>
        <v>0.47665880956706436</v>
      </c>
      <c r="I60" s="140"/>
      <c r="J60" s="58"/>
      <c r="K60" s="58"/>
      <c r="L60" s="58"/>
      <c r="M60" s="40"/>
    </row>
    <row r="61" spans="1:13" s="43" customFormat="1" ht="4.5" customHeight="1">
      <c r="A61" s="76"/>
      <c r="B61" s="41"/>
      <c r="C61" s="41"/>
      <c r="D61" s="41"/>
      <c r="E61" s="41"/>
      <c r="F61" s="41"/>
      <c r="G61" s="41"/>
      <c r="H61" s="41"/>
      <c r="I61" s="41"/>
      <c r="J61" s="41"/>
      <c r="K61" s="41"/>
      <c r="L61" s="41"/>
      <c r="M61" s="42"/>
    </row>
    <row r="62" s="43" customFormat="1" ht="15.75" customHeight="1">
      <c r="A62" s="5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23">
    <mergeCell ref="H58:I58"/>
    <mergeCell ref="H59:I59"/>
    <mergeCell ref="H60:I60"/>
    <mergeCell ref="H54:I54"/>
    <mergeCell ref="H55:I55"/>
    <mergeCell ref="H56:I56"/>
    <mergeCell ref="H57:I57"/>
    <mergeCell ref="A47:M47"/>
    <mergeCell ref="A50:M50"/>
    <mergeCell ref="H52:I52"/>
    <mergeCell ref="H53:I53"/>
    <mergeCell ref="B29:D29"/>
    <mergeCell ref="F29:H29"/>
    <mergeCell ref="J29:L29"/>
    <mergeCell ref="A46:M46"/>
    <mergeCell ref="B19:D19"/>
    <mergeCell ref="F19:H19"/>
    <mergeCell ref="J19:L19"/>
    <mergeCell ref="A28:M28"/>
    <mergeCell ref="A7:M7"/>
    <mergeCell ref="A8:M8"/>
    <mergeCell ref="A11:M11"/>
    <mergeCell ref="A14:M14"/>
  </mergeCells>
  <dataValidations count="2">
    <dataValidation type="decimal" operator="greaterThan" allowBlank="1" showInputMessage="1" showErrorMessage="1" error="Please enter a positive value.&#10;&#10;Thank you." sqref="C16:C17 C22 C24 G22 G24">
      <formula1>0</formula1>
    </dataValidation>
    <dataValidation operator="greaterThan" allowBlank="1" showInputMessage="1" showErrorMessage="1" error="Please enter a positive value.&#10;&#10;Thank you." sqref="G23"/>
  </dataValidations>
  <printOptions horizontalCentered="1"/>
  <pageMargins left="1" right="1" top="0.5" bottom="0.5" header="0.5" footer="0.25"/>
  <pageSetup fitToHeight="1" fitToWidth="1" horizontalDpi="600" verticalDpi="600" orientation="portrait" scale="7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A50"/>
  <sheetViews>
    <sheetView zoomScale="85" zoomScaleNormal="85" zoomScalePageLayoutView="0" workbookViewId="0" topLeftCell="A20">
      <selection activeCell="C49" sqref="C49"/>
    </sheetView>
  </sheetViews>
  <sheetFormatPr defaultColWidth="9.140625" defaultRowHeight="12.75"/>
  <cols>
    <col min="1" max="1" width="47.28125" style="67" customWidth="1"/>
    <col min="2" max="2" width="8.00390625" style="69" customWidth="1"/>
    <col min="3" max="3" width="12.140625" style="70" bestFit="1" customWidth="1"/>
    <col min="4" max="4" width="60.57421875" style="68" customWidth="1"/>
    <col min="5" max="5" width="3.28125" style="67" customWidth="1"/>
    <col min="6" max="7" width="9.140625" style="67" customWidth="1"/>
    <col min="8" max="8" width="21.421875" style="67" customWidth="1"/>
    <col min="9" max="21" width="9.140625" style="67" customWidth="1"/>
    <col min="22" max="16384" width="9.140625" style="68" customWidth="1"/>
  </cols>
  <sheetData>
    <row r="1" spans="1:9" ht="15.75">
      <c r="A1" s="142" t="s">
        <v>53</v>
      </c>
      <c r="B1" s="142"/>
      <c r="C1" s="142"/>
      <c r="D1" s="142"/>
      <c r="E1" s="81"/>
      <c r="F1" s="81"/>
      <c r="G1" s="81"/>
      <c r="H1" s="81"/>
      <c r="I1" s="81"/>
    </row>
    <row r="2" spans="1:9" ht="15.75">
      <c r="A2" s="61"/>
      <c r="B2" s="61"/>
      <c r="C2" s="61"/>
      <c r="D2" s="61"/>
      <c r="E2" s="81"/>
      <c r="F2" s="81"/>
      <c r="G2" s="81"/>
      <c r="H2" s="81"/>
      <c r="I2" s="81"/>
    </row>
    <row r="3" spans="1:4" ht="15">
      <c r="A3" s="82" t="s">
        <v>25</v>
      </c>
      <c r="B3" s="143" t="s">
        <v>26</v>
      </c>
      <c r="C3" s="143"/>
      <c r="D3" s="102" t="s">
        <v>27</v>
      </c>
    </row>
    <row r="4" spans="1:27" ht="12.75">
      <c r="A4" s="114" t="s">
        <v>5</v>
      </c>
      <c r="B4" s="108"/>
      <c r="C4" s="109"/>
      <c r="D4" s="109"/>
      <c r="E4" s="85"/>
      <c r="F4" s="85"/>
      <c r="G4" s="85"/>
      <c r="H4" s="85"/>
      <c r="I4" s="85"/>
      <c r="J4" s="85"/>
      <c r="K4" s="85"/>
      <c r="L4" s="85"/>
      <c r="M4" s="85"/>
      <c r="N4" s="85"/>
      <c r="O4" s="85"/>
      <c r="P4" s="85"/>
      <c r="Q4" s="85"/>
      <c r="R4" s="85"/>
      <c r="S4" s="85"/>
      <c r="T4" s="85"/>
      <c r="U4" s="85"/>
      <c r="V4" s="86"/>
      <c r="W4" s="86"/>
      <c r="X4" s="86"/>
      <c r="Y4" s="86"/>
      <c r="Z4" s="86"/>
      <c r="AA4" s="86"/>
    </row>
    <row r="5" spans="1:27" ht="12.75">
      <c r="A5" s="115" t="s">
        <v>7</v>
      </c>
      <c r="B5" s="83">
        <v>3500</v>
      </c>
      <c r="C5" s="60"/>
      <c r="D5" s="80" t="s">
        <v>69</v>
      </c>
      <c r="E5" s="85"/>
      <c r="F5" s="85"/>
      <c r="G5" s="85"/>
      <c r="H5" s="103" t="s">
        <v>52</v>
      </c>
      <c r="I5" s="85" t="s">
        <v>6</v>
      </c>
      <c r="J5" s="85"/>
      <c r="K5" s="85"/>
      <c r="L5" s="85"/>
      <c r="M5" s="85"/>
      <c r="N5" s="85"/>
      <c r="O5" s="85"/>
      <c r="P5" s="85"/>
      <c r="Q5" s="85"/>
      <c r="R5" s="85"/>
      <c r="S5" s="85"/>
      <c r="T5" s="85"/>
      <c r="U5" s="85"/>
      <c r="V5" s="86"/>
      <c r="W5" s="86"/>
      <c r="X5" s="86"/>
      <c r="Y5" s="86"/>
      <c r="Z5" s="86"/>
      <c r="AA5" s="86"/>
    </row>
    <row r="6" spans="1:27" ht="12.75">
      <c r="A6" s="115" t="s">
        <v>48</v>
      </c>
      <c r="B6" s="124">
        <v>14</v>
      </c>
      <c r="C6" s="60" t="s">
        <v>28</v>
      </c>
      <c r="D6" s="80" t="s">
        <v>71</v>
      </c>
      <c r="E6" s="85"/>
      <c r="F6" s="86">
        <v>2</v>
      </c>
      <c r="G6" s="86" t="s">
        <v>50</v>
      </c>
      <c r="H6" s="86">
        <v>1521</v>
      </c>
      <c r="I6" s="85">
        <v>3161</v>
      </c>
      <c r="J6" s="85"/>
      <c r="K6" s="85"/>
      <c r="L6" s="85"/>
      <c r="M6" s="85"/>
      <c r="N6" s="85"/>
      <c r="O6" s="85"/>
      <c r="P6" s="85"/>
      <c r="Q6" s="85"/>
      <c r="R6" s="85"/>
      <c r="S6" s="85"/>
      <c r="T6" s="85"/>
      <c r="U6" s="85"/>
      <c r="V6" s="86"/>
      <c r="W6" s="86"/>
      <c r="X6" s="86"/>
      <c r="Y6" s="86"/>
      <c r="Z6" s="86"/>
      <c r="AA6" s="86"/>
    </row>
    <row r="7" spans="1:27" ht="12.75">
      <c r="A7" s="116" t="s">
        <v>68</v>
      </c>
      <c r="B7" s="110"/>
      <c r="C7" s="111"/>
      <c r="D7" s="111"/>
      <c r="E7" s="85"/>
      <c r="F7" s="86"/>
      <c r="G7" s="86" t="s">
        <v>51</v>
      </c>
      <c r="H7" s="86">
        <v>1738</v>
      </c>
      <c r="I7" s="85">
        <v>3161</v>
      </c>
      <c r="J7" s="85"/>
      <c r="K7" s="85"/>
      <c r="L7" s="85"/>
      <c r="M7" s="85"/>
      <c r="N7" s="85"/>
      <c r="O7" s="85"/>
      <c r="P7" s="85"/>
      <c r="Q7" s="85"/>
      <c r="R7" s="85"/>
      <c r="S7" s="85"/>
      <c r="T7" s="85"/>
      <c r="U7" s="85"/>
      <c r="V7" s="86"/>
      <c r="W7" s="86"/>
      <c r="X7" s="86"/>
      <c r="Y7" s="86"/>
      <c r="Z7" s="86"/>
      <c r="AA7" s="86"/>
    </row>
    <row r="8" spans="1:27" ht="12.75">
      <c r="A8" s="115" t="s">
        <v>65</v>
      </c>
      <c r="B8" s="125">
        <f>(0.45*(400*0.009+8.66))*365</f>
        <v>2013.7050000000002</v>
      </c>
      <c r="C8" s="60"/>
      <c r="D8" s="80" t="s">
        <v>71</v>
      </c>
      <c r="E8" s="85"/>
      <c r="F8" s="87"/>
      <c r="G8" s="88"/>
      <c r="H8" s="87"/>
      <c r="I8" s="85"/>
      <c r="J8" s="85"/>
      <c r="K8" s="85"/>
      <c r="L8" s="85"/>
      <c r="M8" s="85"/>
      <c r="N8" s="85"/>
      <c r="O8" s="85"/>
      <c r="P8" s="85"/>
      <c r="Q8" s="85"/>
      <c r="R8" s="85"/>
      <c r="S8" s="85"/>
      <c r="T8" s="85"/>
      <c r="U8" s="85"/>
      <c r="V8" s="86"/>
      <c r="W8" s="86"/>
      <c r="X8" s="86"/>
      <c r="Y8" s="86"/>
      <c r="Z8" s="86"/>
      <c r="AA8" s="86"/>
    </row>
    <row r="9" spans="1:27" ht="12.75">
      <c r="A9" s="115">
        <v>500</v>
      </c>
      <c r="B9" s="125">
        <f>(0.45*(500*0.009+8.66))*365</f>
        <v>2161.53</v>
      </c>
      <c r="C9" s="60"/>
      <c r="D9" s="80" t="s">
        <v>71</v>
      </c>
      <c r="E9" s="85"/>
      <c r="F9" s="87"/>
      <c r="G9" s="88"/>
      <c r="H9" s="87"/>
      <c r="I9" s="85"/>
      <c r="J9" s="85"/>
      <c r="K9" s="85"/>
      <c r="L9" s="85"/>
      <c r="M9" s="85"/>
      <c r="N9" s="85"/>
      <c r="O9" s="85"/>
      <c r="P9" s="85"/>
      <c r="Q9" s="85"/>
      <c r="R9" s="85"/>
      <c r="S9" s="85"/>
      <c r="T9" s="85"/>
      <c r="U9" s="85"/>
      <c r="V9" s="86"/>
      <c r="W9" s="86"/>
      <c r="X9" s="86"/>
      <c r="Y9" s="86"/>
      <c r="Z9" s="86"/>
      <c r="AA9" s="86"/>
    </row>
    <row r="10" spans="1:27" ht="12.75">
      <c r="A10" s="115">
        <v>600</v>
      </c>
      <c r="B10" s="125">
        <f>(0.45*(600*0.009+8.66))*365</f>
        <v>2309.355</v>
      </c>
      <c r="C10" s="60"/>
      <c r="D10" s="80" t="s">
        <v>71</v>
      </c>
      <c r="E10" s="85"/>
      <c r="F10" s="87"/>
      <c r="G10" s="104" t="s">
        <v>62</v>
      </c>
      <c r="H10" s="104" t="s">
        <v>63</v>
      </c>
      <c r="I10" s="104" t="s">
        <v>64</v>
      </c>
      <c r="J10" s="85" t="s">
        <v>66</v>
      </c>
      <c r="K10" s="85"/>
      <c r="L10" s="85"/>
      <c r="M10" s="85"/>
      <c r="N10" s="85"/>
      <c r="O10" s="85"/>
      <c r="P10" s="85"/>
      <c r="Q10" s="85"/>
      <c r="R10" s="85"/>
      <c r="S10" s="85"/>
      <c r="T10" s="85"/>
      <c r="U10" s="85"/>
      <c r="V10" s="86"/>
      <c r="W10" s="86"/>
      <c r="X10" s="86"/>
      <c r="Y10" s="86"/>
      <c r="Z10" s="86"/>
      <c r="AA10" s="86"/>
    </row>
    <row r="11" spans="1:27" ht="12.75">
      <c r="A11" s="115">
        <v>700</v>
      </c>
      <c r="B11" s="125">
        <f>(0.45*(700*0.009+8.66))*365</f>
        <v>2457.1800000000003</v>
      </c>
      <c r="C11" s="60"/>
      <c r="D11" s="80" t="s">
        <v>71</v>
      </c>
      <c r="E11" s="86">
        <v>1</v>
      </c>
      <c r="F11" s="85">
        <v>1</v>
      </c>
      <c r="G11" s="105" t="s">
        <v>65</v>
      </c>
      <c r="H11" s="106">
        <f>B24</f>
        <v>3113</v>
      </c>
      <c r="I11" s="106">
        <f>B8</f>
        <v>2013.7050000000002</v>
      </c>
      <c r="J11" s="107">
        <f>B14</f>
        <v>1454</v>
      </c>
      <c r="K11" s="85"/>
      <c r="L11" s="85"/>
      <c r="M11" s="85"/>
      <c r="N11" s="85"/>
      <c r="O11" s="85"/>
      <c r="P11" s="85"/>
      <c r="Q11" s="85"/>
      <c r="R11" s="85"/>
      <c r="S11" s="85"/>
      <c r="T11" s="85"/>
      <c r="U11" s="85"/>
      <c r="V11" s="86"/>
      <c r="W11" s="86"/>
      <c r="X11" s="86"/>
      <c r="Y11" s="86"/>
      <c r="Z11" s="86"/>
      <c r="AA11" s="86"/>
    </row>
    <row r="12" spans="1:27" ht="12.75">
      <c r="A12" s="115" t="s">
        <v>67</v>
      </c>
      <c r="B12" s="125">
        <f>(0.45*(800*0.009+8.66))*365</f>
        <v>2605.0049999999997</v>
      </c>
      <c r="C12" s="60"/>
      <c r="D12" s="80" t="s">
        <v>71</v>
      </c>
      <c r="E12" s="85"/>
      <c r="F12" s="85">
        <v>2</v>
      </c>
      <c r="G12" s="105">
        <v>500</v>
      </c>
      <c r="H12" s="106">
        <f>B25</f>
        <v>3916</v>
      </c>
      <c r="I12" s="106">
        <f>B9</f>
        <v>2161.53</v>
      </c>
      <c r="J12" s="107">
        <f>B15</f>
        <v>1685</v>
      </c>
      <c r="K12" s="85"/>
      <c r="L12" s="85"/>
      <c r="M12" s="85"/>
      <c r="N12" s="85"/>
      <c r="O12" s="85"/>
      <c r="P12" s="85"/>
      <c r="Q12" s="85"/>
      <c r="R12" s="85"/>
      <c r="S12" s="85"/>
      <c r="T12" s="85"/>
      <c r="U12" s="85"/>
      <c r="V12" s="86"/>
      <c r="W12" s="86"/>
      <c r="X12" s="86"/>
      <c r="Y12" s="86"/>
      <c r="Z12" s="86"/>
      <c r="AA12" s="86"/>
    </row>
    <row r="13" spans="1:27" ht="25.5">
      <c r="A13" s="116" t="s">
        <v>70</v>
      </c>
      <c r="B13" s="110"/>
      <c r="C13" s="111"/>
      <c r="D13" s="111"/>
      <c r="E13" s="85"/>
      <c r="F13" s="85">
        <v>3</v>
      </c>
      <c r="G13" s="105">
        <v>600</v>
      </c>
      <c r="H13" s="106">
        <f>B26</f>
        <v>3551</v>
      </c>
      <c r="I13" s="106">
        <f>B10</f>
        <v>2309.355</v>
      </c>
      <c r="J13" s="107">
        <f>B16</f>
        <v>1800</v>
      </c>
      <c r="K13" s="85"/>
      <c r="L13" s="85"/>
      <c r="M13" s="85"/>
      <c r="N13" s="85"/>
      <c r="O13" s="85"/>
      <c r="P13" s="85"/>
      <c r="Q13" s="85"/>
      <c r="R13" s="85"/>
      <c r="S13" s="85"/>
      <c r="T13" s="85"/>
      <c r="U13" s="85"/>
      <c r="V13" s="86"/>
      <c r="W13" s="86"/>
      <c r="X13" s="86"/>
      <c r="Y13" s="86"/>
      <c r="Z13" s="86"/>
      <c r="AA13" s="86"/>
    </row>
    <row r="14" spans="1:27" ht="12.75">
      <c r="A14" s="115" t="s">
        <v>65</v>
      </c>
      <c r="B14" s="126">
        <v>1454</v>
      </c>
      <c r="C14" s="60"/>
      <c r="D14" s="80" t="s">
        <v>71</v>
      </c>
      <c r="E14" s="85"/>
      <c r="F14" s="86">
        <v>4</v>
      </c>
      <c r="G14" s="105">
        <v>700</v>
      </c>
      <c r="H14" s="106">
        <f>B27</f>
        <v>4198</v>
      </c>
      <c r="I14" s="106">
        <f>B11</f>
        <v>2457.1800000000003</v>
      </c>
      <c r="J14" s="107">
        <f>B17</f>
        <v>1915</v>
      </c>
      <c r="K14" s="85"/>
      <c r="L14" s="85"/>
      <c r="M14" s="85"/>
      <c r="N14" s="85"/>
      <c r="O14" s="85"/>
      <c r="P14" s="85"/>
      <c r="Q14" s="85"/>
      <c r="R14" s="85"/>
      <c r="S14" s="85"/>
      <c r="T14" s="85"/>
      <c r="U14" s="85"/>
      <c r="V14" s="86"/>
      <c r="W14" s="86"/>
      <c r="X14" s="86"/>
      <c r="Y14" s="86"/>
      <c r="Z14" s="86"/>
      <c r="AA14" s="86"/>
    </row>
    <row r="15" spans="1:27" ht="12.75">
      <c r="A15" s="115">
        <v>500</v>
      </c>
      <c r="B15" s="126">
        <v>1685</v>
      </c>
      <c r="C15" s="60"/>
      <c r="D15" s="80" t="s">
        <v>71</v>
      </c>
      <c r="E15" s="85"/>
      <c r="F15" s="87">
        <v>5</v>
      </c>
      <c r="G15" s="105" t="s">
        <v>67</v>
      </c>
      <c r="H15" s="106">
        <f>B28</f>
        <v>3318</v>
      </c>
      <c r="I15" s="106">
        <f>B12</f>
        <v>2605.0049999999997</v>
      </c>
      <c r="J15" s="107">
        <f>B18</f>
        <v>2030</v>
      </c>
      <c r="K15" s="85"/>
      <c r="L15" s="85"/>
      <c r="M15" s="85"/>
      <c r="N15" s="85"/>
      <c r="O15" s="85"/>
      <c r="P15" s="85"/>
      <c r="Q15" s="85"/>
      <c r="R15" s="85"/>
      <c r="S15" s="85"/>
      <c r="T15" s="85"/>
      <c r="U15" s="85"/>
      <c r="V15" s="86"/>
      <c r="W15" s="86"/>
      <c r="X15" s="86"/>
      <c r="Y15" s="86"/>
      <c r="Z15" s="86"/>
      <c r="AA15" s="86"/>
    </row>
    <row r="16" spans="1:27" ht="12.75">
      <c r="A16" s="115">
        <v>600</v>
      </c>
      <c r="B16" s="126">
        <v>1800</v>
      </c>
      <c r="C16" s="60"/>
      <c r="D16" s="80" t="s">
        <v>71</v>
      </c>
      <c r="E16" s="85"/>
      <c r="F16" s="85"/>
      <c r="G16" s="85"/>
      <c r="H16" s="85"/>
      <c r="I16" s="85"/>
      <c r="J16" s="85"/>
      <c r="K16" s="85"/>
      <c r="L16" s="85"/>
      <c r="M16" s="85"/>
      <c r="N16" s="85"/>
      <c r="O16" s="85"/>
      <c r="P16" s="85"/>
      <c r="Q16" s="85"/>
      <c r="R16" s="85"/>
      <c r="S16" s="85"/>
      <c r="T16" s="85"/>
      <c r="U16" s="85"/>
      <c r="V16" s="86"/>
      <c r="W16" s="86"/>
      <c r="X16" s="86"/>
      <c r="Y16" s="86"/>
      <c r="Z16" s="86"/>
      <c r="AA16" s="86"/>
    </row>
    <row r="17" spans="1:27" ht="12.75">
      <c r="A17" s="115">
        <v>700</v>
      </c>
      <c r="B17" s="126">
        <v>1915</v>
      </c>
      <c r="C17" s="60"/>
      <c r="D17" s="80" t="s">
        <v>71</v>
      </c>
      <c r="E17" s="85"/>
      <c r="F17" s="85"/>
      <c r="G17" s="85"/>
      <c r="H17" s="85"/>
      <c r="I17" s="85"/>
      <c r="J17" s="85"/>
      <c r="K17" s="85"/>
      <c r="L17" s="85"/>
      <c r="M17" s="85"/>
      <c r="N17" s="85"/>
      <c r="O17" s="85"/>
      <c r="P17" s="85"/>
      <c r="Q17" s="85"/>
      <c r="R17" s="85"/>
      <c r="S17" s="85"/>
      <c r="T17" s="85"/>
      <c r="U17" s="85"/>
      <c r="V17" s="86"/>
      <c r="W17" s="86"/>
      <c r="X17" s="86"/>
      <c r="Y17" s="86"/>
      <c r="Z17" s="86"/>
      <c r="AA17" s="86"/>
    </row>
    <row r="18" spans="1:11" ht="12.75">
      <c r="A18" s="115" t="s">
        <v>67</v>
      </c>
      <c r="B18" s="126">
        <v>2030</v>
      </c>
      <c r="C18" s="60"/>
      <c r="D18" s="80" t="s">
        <v>71</v>
      </c>
      <c r="F18" s="93"/>
      <c r="G18" s="93"/>
      <c r="H18" s="93"/>
      <c r="I18" s="93"/>
      <c r="J18" s="93"/>
      <c r="K18" s="93"/>
    </row>
    <row r="19" spans="1:4" ht="12.75">
      <c r="A19" s="115"/>
      <c r="B19" s="124"/>
      <c r="C19" s="60"/>
      <c r="D19" s="80"/>
    </row>
    <row r="20" spans="1:4" ht="12.75">
      <c r="A20" s="116" t="s">
        <v>6</v>
      </c>
      <c r="B20" s="110"/>
      <c r="C20" s="111"/>
      <c r="D20" s="111"/>
    </row>
    <row r="21" spans="1:4" ht="12.75">
      <c r="A21" s="115" t="s">
        <v>7</v>
      </c>
      <c r="B21" s="83">
        <v>3500</v>
      </c>
      <c r="C21" s="60"/>
      <c r="D21" s="80" t="s">
        <v>69</v>
      </c>
    </row>
    <row r="22" spans="1:4" ht="12.75">
      <c r="A22" s="115" t="s">
        <v>48</v>
      </c>
      <c r="B22" s="64">
        <v>14</v>
      </c>
      <c r="C22" s="63" t="s">
        <v>28</v>
      </c>
      <c r="D22" s="80" t="s">
        <v>71</v>
      </c>
    </row>
    <row r="23" spans="1:9" ht="12.75">
      <c r="A23" s="116" t="s">
        <v>68</v>
      </c>
      <c r="B23" s="110"/>
      <c r="C23" s="111"/>
      <c r="D23" s="111"/>
      <c r="E23" s="84"/>
      <c r="F23" s="84"/>
      <c r="G23" s="84"/>
      <c r="H23" s="84"/>
      <c r="I23" s="84"/>
    </row>
    <row r="24" spans="1:4" ht="12.75">
      <c r="A24" s="115" t="s">
        <v>65</v>
      </c>
      <c r="B24" s="125">
        <v>3113</v>
      </c>
      <c r="C24" s="60"/>
      <c r="D24" s="80" t="s">
        <v>71</v>
      </c>
    </row>
    <row r="25" spans="1:4" ht="12.75">
      <c r="A25" s="115">
        <v>500</v>
      </c>
      <c r="B25" s="125">
        <v>3916</v>
      </c>
      <c r="C25" s="60"/>
      <c r="D25" s="80" t="s">
        <v>71</v>
      </c>
    </row>
    <row r="26" spans="1:4" ht="12.75">
      <c r="A26" s="115">
        <v>600</v>
      </c>
      <c r="B26" s="125">
        <v>3551</v>
      </c>
      <c r="C26" s="60"/>
      <c r="D26" s="80" t="s">
        <v>71</v>
      </c>
    </row>
    <row r="27" spans="1:4" ht="15" customHeight="1">
      <c r="A27" s="115">
        <v>700</v>
      </c>
      <c r="B27" s="125">
        <v>4198</v>
      </c>
      <c r="C27" s="60"/>
      <c r="D27" s="80" t="s">
        <v>71</v>
      </c>
    </row>
    <row r="28" spans="1:4" ht="12.75">
      <c r="A28" s="115" t="s">
        <v>67</v>
      </c>
      <c r="B28" s="125">
        <v>3318</v>
      </c>
      <c r="C28" s="60"/>
      <c r="D28" s="80" t="s">
        <v>71</v>
      </c>
    </row>
    <row r="29" spans="1:4" ht="12.75">
      <c r="A29" s="115"/>
      <c r="B29" s="127"/>
      <c r="C29" s="60"/>
      <c r="D29" s="80"/>
    </row>
    <row r="30" spans="1:4" ht="15">
      <c r="A30" s="117" t="s">
        <v>29</v>
      </c>
      <c r="B30" s="112"/>
      <c r="C30" s="113"/>
      <c r="D30" s="113"/>
    </row>
    <row r="31" spans="1:4" ht="12.75">
      <c r="A31" s="115" t="s">
        <v>38</v>
      </c>
      <c r="B31" s="65">
        <v>20</v>
      </c>
      <c r="C31" s="60"/>
      <c r="D31" s="80" t="s">
        <v>35</v>
      </c>
    </row>
    <row r="32" spans="1:4" ht="12.75">
      <c r="A32" s="115" t="s">
        <v>49</v>
      </c>
      <c r="B32" s="62">
        <v>0</v>
      </c>
      <c r="C32" s="60"/>
      <c r="D32" s="80" t="s">
        <v>35</v>
      </c>
    </row>
    <row r="33" spans="1:4" ht="12.75">
      <c r="A33" s="115"/>
      <c r="B33" s="62"/>
      <c r="C33" s="60"/>
      <c r="D33" s="80"/>
    </row>
    <row r="34" spans="1:4" ht="15">
      <c r="A34" s="117" t="s">
        <v>30</v>
      </c>
      <c r="B34" s="112"/>
      <c r="C34" s="113"/>
      <c r="D34" s="113"/>
    </row>
    <row r="35" spans="1:4" ht="38.25">
      <c r="A35" s="118" t="s">
        <v>31</v>
      </c>
      <c r="B35" s="66">
        <v>0.04</v>
      </c>
      <c r="C35" s="60"/>
      <c r="D35" s="122" t="s">
        <v>32</v>
      </c>
    </row>
    <row r="36" spans="1:4" ht="12.75">
      <c r="A36" s="119"/>
      <c r="B36" s="62"/>
      <c r="C36" s="60"/>
      <c r="D36" s="80"/>
    </row>
    <row r="37" spans="1:4" ht="15">
      <c r="A37" s="117" t="s">
        <v>33</v>
      </c>
      <c r="B37" s="112"/>
      <c r="C37" s="113"/>
      <c r="D37" s="113"/>
    </row>
    <row r="38" spans="1:4" ht="15.75" customHeight="1">
      <c r="A38" s="115" t="s">
        <v>58</v>
      </c>
      <c r="B38" s="62">
        <v>0.0952</v>
      </c>
      <c r="C38" s="60" t="s">
        <v>34</v>
      </c>
      <c r="D38" s="80" t="s">
        <v>72</v>
      </c>
    </row>
    <row r="39" spans="1:4" ht="12.75">
      <c r="A39" s="115" t="s">
        <v>59</v>
      </c>
      <c r="B39" s="62">
        <v>0.1059</v>
      </c>
      <c r="C39" s="60" t="s">
        <v>34</v>
      </c>
      <c r="D39" s="80" t="s">
        <v>72</v>
      </c>
    </row>
    <row r="40" spans="1:4" ht="12.75">
      <c r="A40" s="119"/>
      <c r="B40" s="62"/>
      <c r="C40" s="60"/>
      <c r="D40" s="80"/>
    </row>
    <row r="41" spans="1:4" ht="15">
      <c r="A41" s="117" t="s">
        <v>36</v>
      </c>
      <c r="B41" s="112"/>
      <c r="C41" s="113"/>
      <c r="D41" s="113"/>
    </row>
    <row r="42" spans="1:4" ht="12.75">
      <c r="A42" s="115" t="s">
        <v>60</v>
      </c>
      <c r="B42" s="62">
        <v>1.54</v>
      </c>
      <c r="C42" s="60" t="s">
        <v>37</v>
      </c>
      <c r="D42" s="80" t="s">
        <v>73</v>
      </c>
    </row>
    <row r="43" spans="1:4" ht="12.75">
      <c r="A43" s="119"/>
      <c r="B43" s="62"/>
      <c r="C43" s="60"/>
      <c r="D43" s="80"/>
    </row>
    <row r="44" spans="1:4" ht="16.5">
      <c r="A44" s="117" t="s">
        <v>43</v>
      </c>
      <c r="B44" s="112"/>
      <c r="C44" s="113"/>
      <c r="D44" s="113"/>
    </row>
    <row r="45" spans="1:4" ht="15.75">
      <c r="A45" s="120" t="s">
        <v>41</v>
      </c>
      <c r="B45" s="127">
        <v>9700</v>
      </c>
      <c r="C45" s="60" t="s">
        <v>61</v>
      </c>
      <c r="D45" s="80" t="s">
        <v>74</v>
      </c>
    </row>
    <row r="46" spans="1:4" ht="15.75">
      <c r="A46" s="121" t="s">
        <v>42</v>
      </c>
      <c r="B46" s="128">
        <v>12037</v>
      </c>
      <c r="C46" s="92" t="s">
        <v>61</v>
      </c>
      <c r="D46" s="123" t="s">
        <v>74</v>
      </c>
    </row>
    <row r="49" ht="12.75">
      <c r="A49" s="67" t="s">
        <v>75</v>
      </c>
    </row>
    <row r="50" spans="1:4" ht="25.5">
      <c r="A50" s="89" t="s">
        <v>56</v>
      </c>
      <c r="B50" s="90" t="s">
        <v>57</v>
      </c>
      <c r="C50" s="91"/>
      <c r="D50" s="91"/>
    </row>
  </sheetData>
  <sheetProtection/>
  <mergeCells count="2">
    <mergeCell ref="A1:D1"/>
    <mergeCell ref="B3:C3"/>
  </mergeCells>
  <hyperlinks>
    <hyperlink ref="B50" r:id="rId1" display="Escalcs@cadmusgroup.com"/>
  </hyperlinks>
  <printOptions horizontalCentered="1"/>
  <pageMargins left="0.25" right="0.25" top="1" bottom="1" header="0.5" footer="0.5"/>
  <pageSetup fitToHeight="1" fitToWidth="1" horizontalDpi="600" verticalDpi="600" orientation="portrait"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2005-07-11T17:32:01Z</cp:lastPrinted>
  <dcterms:created xsi:type="dcterms:W3CDTF">2004-07-12T13:20:55Z</dcterms:created>
  <dcterms:modified xsi:type="dcterms:W3CDTF">2008-10-30T21:07:54Z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