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40" windowHeight="8580" tabRatio="897" activeTab="9"/>
  </bookViews>
  <sheets>
    <sheet name="Introduction" sheetId="1" r:id="rId1"/>
    <sheet name="Disclaimer (Hide)" sheetId="2" state="hidden" r:id="rId2"/>
    <sheet name="InstrDef" sheetId="3" r:id="rId3"/>
    <sheet name="Physical" sheetId="4" r:id="rId4"/>
    <sheet name="Financial" sheetId="5" r:id="rId5"/>
    <sheet name="Ratios (Hide)" sheetId="6" state="hidden" r:id="rId6"/>
    <sheet name="Management" sheetId="7" r:id="rId7"/>
    <sheet name="Mgmt Scores (Hide)" sheetId="8" state="hidden" r:id="rId8"/>
    <sheet name="Capital Fund" sheetId="9" r:id="rId9"/>
    <sheet name="PHAS" sheetId="10" r:id="rId10"/>
    <sheet name="High Performer (Hide)" sheetId="11" state="hidden" r:id="rId11"/>
  </sheets>
  <definedNames>
    <definedName name="Capital">'InstrDef'!$A$244</definedName>
    <definedName name="DISCLAIMER">'Disclaimer (Hide)'!$A$5</definedName>
    <definedName name="Financial">'InstrDef'!$A$60</definedName>
    <definedName name="GOHEREFIRST">'InstrDef'!$B$65536</definedName>
    <definedName name="HideMe">'Introduction'!$H$12</definedName>
    <definedName name="Management">'InstrDef'!$A$104</definedName>
    <definedName name="PHAS">'InstrDef'!$A$274</definedName>
    <definedName name="Physical">'InstrDef'!$A$43</definedName>
    <definedName name="_xlnm.Print_Area" localSheetId="2">'InstrDef'!$A$1:$A$294</definedName>
    <definedName name="_xlnm.Print_Area" localSheetId="0">'Introduction'!$A$1:$P$33</definedName>
    <definedName name="_xlnm.Print_Titles" localSheetId="2">'InstrDef'!$1:$1</definedName>
  </definedNames>
  <calcPr fullCalcOnLoad="1"/>
</workbook>
</file>

<file path=xl/sharedStrings.xml><?xml version="1.0" encoding="utf-8"?>
<sst xmlns="http://schemas.openxmlformats.org/spreadsheetml/2006/main" count="316" uniqueCount="242">
  <si>
    <t xml:space="preserve">This tool is intended as an aid to understanding the new scoring arrangements under the proposed rule, published August 21, 2008.  </t>
  </si>
  <si>
    <t>DO NOT represent official scores released by REAC. Please press "OK" to continue or "Cancel" to close the Scoring Tool.</t>
  </si>
  <si>
    <r>
      <t xml:space="preserve">Grade A: </t>
    </r>
    <r>
      <rPr>
        <sz val="12"/>
        <rFont val="Times New Roman"/>
        <family val="1"/>
      </rPr>
      <t>The project has: (1) Achieved a grade of A under component 5.1, vacancy rate; or (2) Turned around vacant units in an average of less than 15 calendar days; and (3) An adequate system for tracking vacant unit turnaround days.</t>
    </r>
  </si>
  <si>
    <r>
      <t xml:space="preserve">Grade B: </t>
    </r>
    <r>
      <rPr>
        <sz val="12"/>
        <rFont val="Times New Roman"/>
        <family val="1"/>
      </rPr>
      <t>The project has: (1) Turned around vacant units in an average of at least 15 calendar days but less than 20 calendar days; and (2) An adequate system for tracking vacant unit turnaround days.</t>
    </r>
  </si>
  <si>
    <r>
      <t xml:space="preserve">Grade C: </t>
    </r>
    <r>
      <rPr>
        <sz val="12"/>
        <rFont val="Times New Roman"/>
        <family val="1"/>
      </rPr>
      <t>The project has: (1) Turned around vacant units in an average of at least 20 calendar days but less than 25 calendar days; and (2) An adequate system for tracking vacant unit turnaround days.</t>
    </r>
  </si>
  <si>
    <r>
      <t xml:space="preserve">Grade D: </t>
    </r>
    <r>
      <rPr>
        <sz val="12"/>
        <rFont val="Times New Roman"/>
        <family val="1"/>
      </rPr>
      <t>The project has: (1) Turned around vacant units in an average of at least 25 calendar days but less than 30 calendar days; and (2) An adequate system for tracking vacant unit turnaround days.</t>
    </r>
  </si>
  <si>
    <r>
      <t xml:space="preserve">Grade A: </t>
    </r>
    <r>
      <rPr>
        <sz val="12"/>
        <rFont val="Times New Roman"/>
        <family val="1"/>
      </rPr>
      <t>The project has: (1) At least 85 percent of its households with a head, spouse, or sole member that is an elderly person or a disabled person; or (2) At least 50 percent of its adult residents employed either full or parttime; or (3) At least 10 percent of its adult residents participating in a self-sufficiency program.</t>
    </r>
  </si>
  <si>
    <t>The user should select the appropriate value from the DSCR drop-down list.  If a project has no debt, the user should select 'No Debt Service' in the drop-down box.</t>
  </si>
  <si>
    <t>This screen will automatically populate the HA Name, FYE, project numbers, and ACC units entered on the Physical Inspection Indicator Screen.</t>
  </si>
  <si>
    <t>The tool will automatically covert the ratios to scores, as per the following tables:</t>
  </si>
  <si>
    <t>SCORING TOOL (v1.5)</t>
  </si>
  <si>
    <r>
      <t xml:space="preserve">Note: </t>
    </r>
    <r>
      <rPr>
        <sz val="12"/>
        <rFont val="Times New Roman"/>
        <family val="1"/>
      </rPr>
      <t>This screen will automatically populate the HA Name, FYE, project numbers, and ACC units entered on the Physical Inspection Indicator Screen. The point value and / or grades of the subindicators and components are listed in the tool against each component. The point equivalents to the grades A,B,C,D and F are 1.00, 0.85, 0.70, 0.50 and 0 respectively.</t>
    </r>
  </si>
  <si>
    <t>Note: This screen will automatically populate the HA Name and FYE entered on the Physical Inspection Indicator Screen.</t>
  </si>
  <si>
    <r>
      <t xml:space="preserve">• Expenditure Rate </t>
    </r>
    <r>
      <rPr>
        <sz val="12"/>
        <rFont val="Times New Roman"/>
        <family val="1"/>
      </rPr>
      <t xml:space="preserve">(1) Select '100% (or Balance &lt; 1% or &lt; $1000)' if the PHA has: (a) expended 100 percent of the grant amount for all of its grants on the expenditure end date for all Capital Fund program grants that have an expenditure end date within a PHA’s assessed fiscal year; or (b) a remaining balance of one percent or less of the grant amount or $1,000 or less of the grant amount (whichever is smaller) for all Capital Fund program grants that have an expenditure end date within a PHA’s assessed fiscal year. (2) Select 'Less than 100% (or Balance &gt; 1% or &gt; $1000)' if the PHA has: (a) expended less than 100 percent of the grant amount for all of its grants on the expenditure end date for all Capital Fund program grants that have an expenditure end date within a PHA’s assessed fiscal year; or (b) a remaining balance of greater than one percent of the grant amount or more than $1,000 of the grant amount (whichever is smaller) for all Capital Fund program grants that have an expenditure end date within the PHA’s assessed fiscal year. (3) Select 'N/A' if PHA has chosen not to participate in the Capital Fund Program or has no expenditure end date during the assessed fiscal year. </t>
    </r>
  </si>
  <si>
    <t>This tool is intended as an aid to understanding the new scoring arrangements under the proposed rule, published August 21, 2008, that would make revisions to 24 CFR Parts 901, 902 and 907, the Public Housing Assessment System (PHAS). The comment period for this proposed rule ends January 8, 2009.</t>
  </si>
  <si>
    <r>
      <t>• Obligation Rate</t>
    </r>
    <r>
      <rPr>
        <sz val="12"/>
        <rFont val="Times New Roman"/>
        <family val="1"/>
      </rPr>
      <t xml:space="preserve"> (1) Select '90% or more' if the PHA has obligated 90 percent or more of the grant amount for all of its grants on its obligation end date for all open Capital Fund program grants that have obligation end dates during the assessed fiscal year. (2) Select 'less than 90%' if the PHA obligated less than 90%. (3) Select 'N/A' if the PHA has chosen not to participate in the Capital Fund Program or has no obligation end date during the assessed fiscal year. </t>
    </r>
  </si>
  <si>
    <r>
      <t xml:space="preserve">• Undergoing Sanctions? </t>
    </r>
    <r>
      <rPr>
        <sz val="12"/>
        <rFont val="Times New Roman"/>
        <family val="1"/>
      </rPr>
      <t>(1) Select 'Sanctions for Obligation of Funds' if a PHA has grants that have been sanctioned for obligation of funds during the assessment period; (2) Select 'Sanctions for Expenditure of Funds' if a PHA has grants that have been sanctioned for expenditure of funds during the assessment period; (3) Select 'Both' if a PHA has grants that have been sanctioned for obligation and expenditure of funds during the assessment period; (4) Select 'None' if PHA does not have any grants that have been sanctioned.</t>
    </r>
  </si>
  <si>
    <t>In addition to the above four screens there is an 'Overall PHAS Scoring' screen that generates the overall estimated PHAS score and PHAS designation.</t>
  </si>
  <si>
    <t xml:space="preserve">On each of the screens, there are two different types of fields:                                                                                                                                                         1) input fields, and                                                                                                                                                                                                                                                      2) calculated or derived fields.                                                                                                                                                                                          </t>
  </si>
  <si>
    <t xml:space="preserve">The Excel tool uses color-coding to guide the PHA users.                                                                                                                                - Fields yellow in color require data to be entered by the user either by typing in text/ number into a specific field or selecting a value from a list of options. All yellow fields can be edited by the PHA. </t>
  </si>
  <si>
    <t>- Fields that are orange in color are locked and cannot be edited by PHAs but are instead calculated by formulas. All orange fields are read-only.</t>
  </si>
  <si>
    <t xml:space="preserve">Upon completion of the four screens, the tool will generate an overall PHAS score and PHAS designation for the agency. </t>
  </si>
  <si>
    <t>The following provides instruction for the five screens:</t>
  </si>
  <si>
    <t>The tool will automatically covert the selections to grades and to scores, as per the following table:</t>
  </si>
  <si>
    <r>
      <t xml:space="preserve">Grade F: </t>
    </r>
    <r>
      <rPr>
        <sz val="12"/>
        <rFont val="Times New Roman"/>
        <family val="1"/>
      </rPr>
      <t>The project: (1) Has an adjusted vacancy rate greater than 10 percent; or (2) Does not have an adequate system for tracking vacancy days.</t>
    </r>
  </si>
  <si>
    <r>
      <t xml:space="preserve">Grade F: </t>
    </r>
    <r>
      <rPr>
        <sz val="12"/>
        <rFont val="Times New Roman"/>
        <family val="1"/>
      </rPr>
      <t>The project has: (1) Turned around vacant units in an average of 30 calendar days or more; or (2) Does not have an adequate system for tracking vacant unit turnaround days.</t>
    </r>
  </si>
  <si>
    <r>
      <t xml:space="preserve">Grade C: </t>
    </r>
    <r>
      <rPr>
        <sz val="12"/>
        <rFont val="Times New Roman"/>
        <family val="1"/>
      </rPr>
      <t>The project offers or coordinates with an outside agency to make available at least one economic self-sufficiency activity.</t>
    </r>
  </si>
  <si>
    <r>
      <t xml:space="preserve">Grade F: </t>
    </r>
    <r>
      <rPr>
        <sz val="12"/>
        <rFont val="Times New Roman"/>
        <family val="1"/>
      </rPr>
      <t>The project does not offer or coordinate with an outside agency to make available at least one economic self-sufficiency activity.</t>
    </r>
  </si>
  <si>
    <t>6.2 Resident Involvement in Project Administration</t>
  </si>
  <si>
    <r>
      <t xml:space="preserve">Grade A: </t>
    </r>
    <r>
      <rPr>
        <sz val="12"/>
        <rFont val="Times New Roman"/>
        <family val="1"/>
      </rPr>
      <t>The project offers at least one  opportunity for tenants to be involved in the administration of the project.</t>
    </r>
  </si>
  <si>
    <t>The tool assigns a color to each of the four designations as indicated in the table below:</t>
  </si>
  <si>
    <t>Total ACC Units:</t>
  </si>
  <si>
    <t>Indicator Scores (Unit Weighted)</t>
  </si>
  <si>
    <t>Ratios should be inputted with no more than one decimal place.</t>
  </si>
  <si>
    <r>
      <t xml:space="preserve">• Quick Ratio: </t>
    </r>
    <r>
      <rPr>
        <sz val="12"/>
        <rFont val="Times New Roman"/>
        <family val="1"/>
      </rPr>
      <t>It compares quick assets to current liabilities. Quick assets are cash and assets that are easily convertible to cash and do not include inventory. Current liabilities are those liabilities that are due within the next 12 months. Per the new FDS under asset management, the calculation of Quick Ratio is as follows:</t>
    </r>
    <r>
      <rPr>
        <b/>
        <sz val="12"/>
        <rFont val="Times New Roman"/>
        <family val="1"/>
      </rPr>
      <t xml:space="preserve">
</t>
    </r>
  </si>
  <si>
    <r>
      <t xml:space="preserve">• Months Expendable Net Assets Ratio (MENAR): </t>
    </r>
    <r>
      <rPr>
        <sz val="12"/>
        <rFont val="Times New Roman"/>
        <family val="1"/>
      </rPr>
      <t>It</t>
    </r>
    <r>
      <rPr>
        <b/>
        <sz val="12"/>
        <rFont val="Times New Roman"/>
        <family val="1"/>
      </rPr>
      <t xml:space="preserve"> </t>
    </r>
    <r>
      <rPr>
        <sz val="12"/>
        <rFont val="Times New Roman"/>
        <family val="1"/>
      </rPr>
      <t xml:space="preserve">compares the net available unrestricted resources to the average monthly operating expenses. Per the new FDS under asset management, the calculation of MENAR is as follows: </t>
    </r>
    <r>
      <rPr>
        <b/>
        <sz val="12"/>
        <rFont val="Times New Roman"/>
        <family val="1"/>
      </rPr>
      <t xml:space="preserve">
</t>
    </r>
  </si>
  <si>
    <t>When entering the anticipated Quick Ratio for the project it should be carried out to one decimal point, e.g., 1.1, 1.2, 1.3, etc.</t>
  </si>
  <si>
    <t>When entering the anticipated MENAR for the project it should be carried out to one decimal point, e.g., 1.1, 1.2, 1.3, etc.</t>
  </si>
  <si>
    <r>
      <t xml:space="preserve">• Debt Service Coverage Ratio (DSCR): </t>
    </r>
    <r>
      <rPr>
        <sz val="12"/>
        <rFont val="Times New Roman"/>
        <family val="1"/>
      </rPr>
      <t>It is a measure of net operating income available to make debt payments to the amount of debt payments. Per the new FDS under asset management, the calculation of DSCR is as follows:</t>
    </r>
    <r>
      <rPr>
        <b/>
        <sz val="12"/>
        <rFont val="Times New Roman"/>
        <family val="1"/>
      </rPr>
      <t xml:space="preserve"> 
</t>
    </r>
  </si>
  <si>
    <r>
      <t xml:space="preserve">Grade F: </t>
    </r>
    <r>
      <rPr>
        <sz val="12"/>
        <rFont val="Times New Roman"/>
        <family val="1"/>
      </rPr>
      <t>The project does not offer at least one opportunity for tenants to be involved in the administration of the project.</t>
    </r>
  </si>
  <si>
    <t>PHAS Scoring</t>
  </si>
  <si>
    <t>Upon completion of the four screens (physical, financial, management and Capital Fund) the tool will generate an overall PHAS score for the agency.</t>
  </si>
  <si>
    <t>All PHAs that receive a PHAS assessment shall receive a performance designation. The performance designation is based on the overall PHAS score and the four indicator scores, as set forth below.</t>
  </si>
  <si>
    <r>
      <t>- Standard performer</t>
    </r>
    <r>
      <rPr>
        <sz val="12"/>
        <rFont val="Times New Roman"/>
        <family val="1"/>
      </rPr>
      <t>. A PHA that is not a high performer will be designated a standard performer if the PHA achieves an overall PHAS score of at least 60 percent and at least 60 percent under each of the four PHAS indicators.</t>
    </r>
  </si>
  <si>
    <r>
      <t>- Troubled performer</t>
    </r>
    <r>
      <rPr>
        <sz val="12"/>
        <rFont val="Times New Roman"/>
        <family val="1"/>
      </rPr>
      <t>. A PHA that achieves an overall PHAS score of less than 60 percent shall be designated as a troubled performer. A PHA that receives less than 60 percent under the Capital Fund program indicator will be designated as a troubled performer.</t>
    </r>
  </si>
  <si>
    <r>
      <t>- Substandard performer</t>
    </r>
    <r>
      <rPr>
        <sz val="12"/>
        <rFont val="Times New Roman"/>
        <family val="1"/>
      </rPr>
      <t xml:space="preserve">. A PHA will be designated a substandard performer if a PHA achieves a total PHAS score of at least 60 percent and achieves a score of less than 60 percent under one or more of the physical condition, financial condition, or management operations indicators. The PHA will be designated as substandard physical, substandard financial, or substandard management, respectively. The tool does not distinguish between substandard physical, substandard financial, or substandard management. If the PHAs score falls under the substandard performer category the tool will assign a designation of substandard performer. </t>
    </r>
  </si>
  <si>
    <r>
      <t xml:space="preserve">1.1. Appearance and Market Appeal: </t>
    </r>
    <r>
      <rPr>
        <sz val="12"/>
        <rFont val="Times New Roman"/>
        <family val="1"/>
      </rPr>
      <t>Enter the anticipated grade (A, C, or F) for this indicator for each project.</t>
    </r>
  </si>
  <si>
    <r>
      <t>1.2. Security:</t>
    </r>
    <r>
      <rPr>
        <sz val="12"/>
        <rFont val="Times New Roman"/>
        <family val="1"/>
      </rPr>
      <t xml:space="preserve"> Enter the anticipated grade (A, C, or F) for this indicator for each project.</t>
    </r>
  </si>
  <si>
    <t>Currently, the tool accepts only 10 projects. PHAs that have more than 10 projects may input any 10 projects for which they wish to generate project level scores; however, these PHAs are cautioned that the selected projects may not be representative of how the PHA would score overall under the proposed rule if all projects were included.</t>
  </si>
  <si>
    <r>
      <t>• PASS Score:</t>
    </r>
    <r>
      <rPr>
        <sz val="12"/>
        <rFont val="Times New Roman"/>
        <family val="1"/>
      </rPr>
      <t xml:space="preserve"> Enter the actual or anticipated PASS score for each project on a 100-point scale. Because this tool is attempting to estimate a PHA’s scoring under the proposed PHAS rule, a PHA should enter what it believes will be the PASS score for the project during the assessed period (which may also be its recent PASS score).                                                                                                                                                                                                                                                                                                                                                                                                                                                         </t>
    </r>
  </si>
  <si>
    <t xml:space="preserve">In order to receive a passing score under the Financial Indicator, the PHA must achieve a score of at least 12 points on a 20-point basis, or 60 percent. </t>
  </si>
  <si>
    <t>Once the user enters the above grades, the tool then requests the user to enter information, by project, on the age and census tract where the project is located. In accordance with the proposed rule, adjustments to a project's management score can be made due to Physical Condition and Neigborhood Environment.</t>
  </si>
  <si>
    <t xml:space="preserve">Under the Capital Fund program indicator a PHA may receive up to 10 points of the total 100 points available for a PHAS score. The Capital Fund program indicator score provides an assessment of a PHA’s ability to obligate and expend Capital Fund program funds in a timely manner.  </t>
  </si>
  <si>
    <t xml:space="preserve">In the tool please make an appropriate selection from the drop down menu within each of the three yellow cells: </t>
  </si>
  <si>
    <t>A PHA that receives less than 60 percent (6 points on a 10 point basis) under the Capital Fund program indicator will be designated as a troubled performer.</t>
  </si>
  <si>
    <t>After project-level scores are calculated for Physical, Financial and Management indicators, an overall Physical, Financial and Management score is determined based on the weighted average project score. The PHAS score is a total of Physical, Financial and Management weighted average score, plus the Capital Fund indicator score.</t>
  </si>
  <si>
    <r>
      <t>- High performer</t>
    </r>
    <r>
      <rPr>
        <sz val="12"/>
        <rFont val="Times New Roman"/>
        <family val="1"/>
      </rPr>
      <t>. A PHA that achieves an overall PHAS score of 90 percent or greater is designated a high performer. A PHA will not be designated a high performer if more than 10 percent of its total units are in projects that fail the physical, financial, or management operations indicator. In this case, a PHA will receive a standard performer designation.</t>
    </r>
  </si>
  <si>
    <r>
      <t>3.1. Unit Inspections:</t>
    </r>
    <r>
      <rPr>
        <sz val="12"/>
        <rFont val="Times New Roman"/>
        <family val="1"/>
      </rPr>
      <t xml:space="preserve"> Enter the anticipated grade (A, C, or F) for this indicator for each project.</t>
    </r>
  </si>
  <si>
    <r>
      <t>3.2. Work Orders:</t>
    </r>
    <r>
      <rPr>
        <sz val="12"/>
        <rFont val="Times New Roman"/>
        <family val="1"/>
      </rPr>
      <t xml:space="preserve"> Enter the anticipated grade (A, C, or F) for this indicator for each project.</t>
    </r>
  </si>
  <si>
    <r>
      <t>3.3. Preventive Maintenance:</t>
    </r>
    <r>
      <rPr>
        <sz val="12"/>
        <rFont val="Times New Roman"/>
        <family val="1"/>
      </rPr>
      <t xml:space="preserve"> Enter the anticipated grade (A, C, or F) for this indicator for each project.</t>
    </r>
  </si>
  <si>
    <r>
      <t>3.4. Energy Conservation:</t>
    </r>
    <r>
      <rPr>
        <sz val="12"/>
        <rFont val="Times New Roman"/>
        <family val="1"/>
      </rPr>
      <t xml:space="preserve"> Enter the anticipated grade (A, C, or F) for this indicator for each project.</t>
    </r>
  </si>
  <si>
    <r>
      <t>Each of the above indicators contain subindicators and scores for the subindicators are used to determine a single score for each of these PHAS indicators. The Physical, Financial, and Management Indicators will be calculated at a project-level and then</t>
    </r>
    <r>
      <rPr>
        <sz val="12"/>
        <color indexed="8"/>
        <rFont val="Times New Roman"/>
        <family val="1"/>
      </rPr>
      <t xml:space="preserve"> aggregated at the PHA level </t>
    </r>
    <r>
      <rPr>
        <sz val="12"/>
        <rFont val="Times New Roman"/>
        <family val="1"/>
      </rPr>
      <t xml:space="preserve">using unit-weighted averaging. The Capital Fund Indicator is a PHA-wide program indicator. </t>
    </r>
  </si>
  <si>
    <t>Under the Physical Inspection Indicator the tool calculates a score for the overall condition of a PHA’s public housing portfolio, as well as for individual projects. The overall physical inspection indicator score is a unit-weighted average of project scores and is based on a maximum of 30 points.</t>
  </si>
  <si>
    <t>Max 100 points</t>
  </si>
  <si>
    <t>The tool will convert a project's 100-point physical condition score into a 30-point score (by multiplying the score on the 100-point basis by 0.3) in order to derive a 30-point equivalent score to compute the overall physical condition score and overall PHAS score.</t>
  </si>
  <si>
    <t>In order to receive a passing score under the physical condition indicator, the PHA must achieve a score of at least18 points on a 30 point basis, or 60 percent.</t>
  </si>
  <si>
    <t>Under the Financial Indicator, the tool calculates a score for each project based on the values of Financial subindicators and an overall Financial Indicator score. The overall score is a unit-weighted average of project scores and is based on a maximum of 20 points. This indicator has the following three subindicators, for which information must be entered by the user:</t>
  </si>
  <si>
    <r>
      <t>- Property Age at least 28 years?</t>
    </r>
    <r>
      <rPr>
        <sz val="12"/>
        <rFont val="Times New Roman"/>
        <family val="1"/>
      </rPr>
      <t xml:space="preserve"> Enter Yes if the project is at least 28 years old, based on Date of Funding Availability. Enter NO if the age is less than 28 years. </t>
    </r>
  </si>
  <si>
    <r>
      <t>- Poverty Rate Greater than 40%?</t>
    </r>
    <r>
      <rPr>
        <sz val="12"/>
        <rFont val="Times New Roman"/>
        <family val="1"/>
      </rPr>
      <t xml:space="preserve"> Enter Yes if the project is located in a census tract  where 40% or more of the families have incomes below the poverty rate. Enter No if the project is located in a census tract where 40% or less of the families have incomes below the poverty rate. </t>
    </r>
  </si>
  <si>
    <t>Instructions for Scoring Template under Proposed PHAS Rule</t>
  </si>
  <si>
    <t>Estimated PHAS Score</t>
  </si>
  <si>
    <t>Estimated PHAS Designation</t>
  </si>
  <si>
    <t>Note: The Capital Fund indicator is applicable on a PHA-wide basis and not to individual projects.</t>
  </si>
  <si>
    <t>Max Number of Points Available</t>
  </si>
  <si>
    <t>Points Received as % of Max Available</t>
  </si>
  <si>
    <t xml:space="preserve">Please note that this tool is intended for informational purposes only. PHAS scores and indicator scores generated by this tool </t>
  </si>
  <si>
    <t>Project located in a census tract where 40% or more of the families have incomes below the poverty rate?</t>
  </si>
  <si>
    <t>As per the proposed PHAS rule, each PHA will receive an overall PHAS score, rounded to the nearest whole number, based on the four indicators shown in the table below with their respective points:</t>
  </si>
  <si>
    <r>
      <t>With this</t>
    </r>
    <r>
      <rPr>
        <sz val="12"/>
        <color indexed="8"/>
        <rFont val="Times New Roman"/>
        <family val="1"/>
      </rPr>
      <t xml:space="preserve"> scoring template tool</t>
    </r>
    <r>
      <rPr>
        <sz val="12"/>
        <rFont val="Times New Roman"/>
        <family val="1"/>
      </rPr>
      <t>, PHAs can generate estimated Physical, Financial, and Management scores for each project under the proposed PHAS rule. The tool will also generate a PHA-wide score for the Capital Fund Indicator and an overall PHAS score for the agency. It does not, however, reflect any possible audit adjustments or penalties for late submissions, which may also affect scoring.</t>
    </r>
  </si>
  <si>
    <r>
      <t xml:space="preserve">A copy of the proposed rule, along with a narrated overview (PowerPoint), can be obtained from the asset management website at </t>
    </r>
    <r>
      <rPr>
        <u val="single"/>
        <sz val="12"/>
        <color indexed="12"/>
        <rFont val="Times New Roman"/>
        <family val="1"/>
      </rPr>
      <t>http://www.hud.gov/offices/pih/programs/ph/am/</t>
    </r>
  </si>
  <si>
    <t>Enter the following information:</t>
  </si>
  <si>
    <t>Enter a letter grade for each requested. Refer to the chart below for the appropriate grade to use.</t>
  </si>
  <si>
    <r>
      <t>4.1. Accounts Payable:</t>
    </r>
    <r>
      <rPr>
        <sz val="12"/>
        <rFont val="Times New Roman"/>
        <family val="1"/>
      </rPr>
      <t xml:space="preserve"> Enter the anticipated grade (A, C, or F) for this indicator for each project.</t>
    </r>
  </si>
  <si>
    <r>
      <t xml:space="preserve">4.2. Rent Collections: </t>
    </r>
    <r>
      <rPr>
        <sz val="12"/>
        <rFont val="Times New Roman"/>
        <family val="1"/>
      </rPr>
      <t>Enter the anticipated grade (A, C, or F) for this indicator for each project.</t>
    </r>
  </si>
  <si>
    <r>
      <t>5.1. Vacancy Rate:</t>
    </r>
    <r>
      <rPr>
        <sz val="12"/>
        <rFont val="Times New Roman"/>
        <family val="1"/>
      </rPr>
      <t xml:space="preserve"> Enter the anticipated grade (A, B, C, D or F) for this indicator for each project.</t>
    </r>
  </si>
  <si>
    <r>
      <t>5.2. Turnaround Time:</t>
    </r>
    <r>
      <rPr>
        <sz val="12"/>
        <rFont val="Times New Roman"/>
        <family val="1"/>
      </rPr>
      <t xml:space="preserve"> Enter the anticipated grade (A, B, C, D or F) for this indicator for each project.</t>
    </r>
  </si>
  <si>
    <r>
      <t>6.1. Economic Self-Sufficiency:</t>
    </r>
    <r>
      <rPr>
        <sz val="12"/>
        <rFont val="Times New Roman"/>
        <family val="1"/>
      </rPr>
      <t xml:space="preserve"> Enter the anticipated grade (A, C, or F) for this indicator for each project.</t>
    </r>
  </si>
  <si>
    <r>
      <t>6.2. Resident Involvement in Project Administration:</t>
    </r>
    <r>
      <rPr>
        <sz val="12"/>
        <rFont val="Times New Roman"/>
        <family val="1"/>
      </rPr>
      <t xml:space="preserve"> Enter the anticipated grade (A or F) for this indicator for each project.</t>
    </r>
  </si>
  <si>
    <t>Quick Ratio</t>
  </si>
  <si>
    <t>Debt Service Coverage Ratio (DSCR)</t>
  </si>
  <si>
    <t>Housing Authority Name:</t>
  </si>
  <si>
    <t>Fiscal Year End:</t>
  </si>
  <si>
    <t xml:space="preserve">Please note that the financial scores generated by this tool do not include any applicable audit adjustments based on audited financial information. </t>
  </si>
  <si>
    <t>Management Operations  Indicator Screen</t>
  </si>
  <si>
    <t>Under the Management Indicator the tool calculates a score for each project, as well as for the overall management operations of a PHA, that reflects weights based on the relative importance of the individual management subindicators. The Management Indicator consists of 5 management subindicators and 12 components that are scored. (Under the proposed PHAS rule, there are additional 2 subindicators and 9 components that are not scored and are not included in this tool). The components that are scored are given below with their respective grades:</t>
  </si>
  <si>
    <t>In each instance where the actual management operations score for a project is rated below the maximum score of 40 points, one unit-weighted point each will be added for physical condition and/or neighborhood environment, if applicable, but not to exceed the maximum number of 40 points available for the Management Operations Indicator for a project.</t>
  </si>
  <si>
    <t>Capital Fund Indicator Screen</t>
  </si>
  <si>
    <t>Project Information:</t>
  </si>
  <si>
    <t>Project Number</t>
  </si>
  <si>
    <t>ACC Units</t>
  </si>
  <si>
    <t>#</t>
  </si>
  <si>
    <t>Capital Fund</t>
  </si>
  <si>
    <t>Obligation Rate:</t>
  </si>
  <si>
    <t>Expenditure Rate:</t>
  </si>
  <si>
    <t>Financial Indicator</t>
  </si>
  <si>
    <t>QR</t>
  </si>
  <si>
    <t>MENAR</t>
  </si>
  <si>
    <t>DSCR</t>
  </si>
  <si>
    <t>1.1 Appearanace/Market Appeal</t>
  </si>
  <si>
    <t>Grade</t>
  </si>
  <si>
    <t>1.2 Security</t>
  </si>
  <si>
    <t>3.1 Unit Inspections</t>
  </si>
  <si>
    <t>3.2 Work Orders</t>
  </si>
  <si>
    <t>3.4 Energy Conservation/Utility Consumption</t>
  </si>
  <si>
    <t>Points</t>
  </si>
  <si>
    <t>Overall PHAS Scoring</t>
  </si>
  <si>
    <t>Physical</t>
  </si>
  <si>
    <t>Financial</t>
  </si>
  <si>
    <t>Management</t>
  </si>
  <si>
    <t>Ratio</t>
  </si>
  <si>
    <t>Capital Fund Score</t>
  </si>
  <si>
    <t>Financial Score</t>
  </si>
  <si>
    <t>Capital Fund Indicator</t>
  </si>
  <si>
    <t>Management Operations Indicator</t>
  </si>
  <si>
    <t>Physical Inspection Indicator</t>
  </si>
  <si>
    <t>4.1 Percentage of Accounts Payable</t>
  </si>
  <si>
    <t>4.2 Rent Collection</t>
  </si>
  <si>
    <t>5.1 Vacancy Rate</t>
  </si>
  <si>
    <t>5.2 Turnaround Time</t>
  </si>
  <si>
    <t>6.1 Economic Self-Sufficiency</t>
  </si>
  <si>
    <t>6.2 Resident Involvement in Project Admin</t>
  </si>
  <si>
    <t>#1 General Appearance and Security</t>
  </si>
  <si>
    <t>#3 Maintenance and Modernization</t>
  </si>
  <si>
    <t>#4 Financial Management</t>
  </si>
  <si>
    <t>#5 Leasing and Occupancy</t>
  </si>
  <si>
    <t>#6 Tenant/Management Relations</t>
  </si>
  <si>
    <t>Management Operations Score</t>
  </si>
  <si>
    <t>Sub-Indicators &amp; Components (Only Scored)</t>
  </si>
  <si>
    <t>PASS Score (30 Point)</t>
  </si>
  <si>
    <t>PASS Score (100 Point)</t>
  </si>
  <si>
    <t>QR Value</t>
  </si>
  <si>
    <t>&lt;1</t>
  </si>
  <si>
    <t>&gt;2</t>
  </si>
  <si>
    <t>MENAR Value</t>
  </si>
  <si>
    <t>&gt;4</t>
  </si>
  <si>
    <t>DSCR Value</t>
  </si>
  <si>
    <t>&gt;=2</t>
  </si>
  <si>
    <t>&gt;=1 and &lt;2</t>
  </si>
  <si>
    <t>No Debt Service</t>
  </si>
  <si>
    <t>Grade:</t>
  </si>
  <si>
    <t>points</t>
  </si>
  <si>
    <t>Button Names</t>
  </si>
  <si>
    <t>Sheet Name</t>
  </si>
  <si>
    <t>Button Name</t>
  </si>
  <si>
    <t>Introduction</t>
  </si>
  <si>
    <t>GoTo Definitions/Instructions</t>
  </si>
  <si>
    <t>Instructions</t>
  </si>
  <si>
    <t>Home</t>
  </si>
  <si>
    <t>Previous</t>
  </si>
  <si>
    <t>Next</t>
  </si>
  <si>
    <t xml:space="preserve">PUBLIC HOUSING ASSESSMENT SYSTEM (PHAS) </t>
  </si>
  <si>
    <t xml:space="preserve">PROPOSED RULE </t>
  </si>
  <si>
    <t>View Instructions and Definitions</t>
  </si>
  <si>
    <t>Adjustment for Physical Condition</t>
  </si>
  <si>
    <t>Is project at least 28 years old?</t>
  </si>
  <si>
    <t>Adjustment for Neighborhood Enviroment</t>
  </si>
  <si>
    <r>
      <t>PCNE Adjustment</t>
    </r>
    <r>
      <rPr>
        <b/>
        <vertAlign val="superscript"/>
        <sz val="10"/>
        <rFont val="Arial"/>
        <family val="2"/>
      </rPr>
      <t>1</t>
    </r>
  </si>
  <si>
    <t>Adjusted Management Operations Score</t>
  </si>
  <si>
    <t>Undergoing Sanctions?</t>
  </si>
  <si>
    <t xml:space="preserve">On the Physical page, cell E21   </t>
  </si>
  <si>
    <t>&gt;&gt;=IF(SUM(C10:C19)&gt;0,ROUND(SUMPRODUCT(C10:C19,E10:E19)/SUM(C10:C19),0),0)</t>
  </si>
  <si>
    <t>On the Financial page, cell I20</t>
  </si>
  <si>
    <t>&gt;&gt;=IF(SUM(Physical!C10:C19)=0,0,ROUND(SUMPRODUCT(I9:I18,Physical!C10:C19)/SUM(Physical!C10:C19),0))</t>
  </si>
  <si>
    <t xml:space="preserve">On the Management page, cell L59  </t>
  </si>
  <si>
    <t>&gt;&gt;=IF(SUM(Physical!$C$10:$C$19)=0,0,ROUND(SUMPRODUCT('Mgmt Scores (Hide)'!C2:C11,Physical!$C$10:$C$19)/SUM(Physical!$C$10:$C$19),0))</t>
  </si>
  <si>
    <t>3.3 Preventive Maintenance</t>
  </si>
  <si>
    <t>*Score is unit weighted</t>
  </si>
  <si>
    <t>Notes:</t>
  </si>
  <si>
    <t xml:space="preserve">Financial scores do not include any applicable audit adjustments based on audited financial information. </t>
  </si>
  <si>
    <t>Physical Inspection</t>
  </si>
  <si>
    <t>Management Operations</t>
  </si>
  <si>
    <t>PHAS Score</t>
  </si>
  <si>
    <t>GoTo Physical</t>
  </si>
  <si>
    <t>GoTo Financial</t>
  </si>
  <si>
    <t>GoTo Management</t>
  </si>
  <si>
    <t>GoTo Capital</t>
  </si>
  <si>
    <t>GoTo PHAS</t>
  </si>
  <si>
    <r>
      <t>1</t>
    </r>
    <r>
      <rPr>
        <sz val="10"/>
        <rFont val="Arial"/>
        <family val="0"/>
      </rPr>
      <t xml:space="preserve"> Adjustment applied only to the extent that the management operations score does not exceed the maximum score of 40 points.</t>
    </r>
  </si>
  <si>
    <t>Adjusted Mgmt Score</t>
  </si>
  <si>
    <t>Overall Physical Score</t>
  </si>
  <si>
    <t>Overall Financial Score</t>
  </si>
  <si>
    <t>Overall Management Score</t>
  </si>
  <si>
    <t>Mgmt</t>
  </si>
  <si>
    <t>Failed units:</t>
  </si>
  <si>
    <t>Purpose</t>
  </si>
  <si>
    <t>Disclaimer</t>
  </si>
  <si>
    <t xml:space="preserve">Please note that this tool is for informational purposes only. It relies solely on data entered by the PHA and does not draw data from the Public and Indian Housing Information Center (PIC). </t>
  </si>
  <si>
    <t xml:space="preserve"> </t>
  </si>
  <si>
    <t>There are four screens where PHAs enter data on their public housing program:</t>
  </si>
  <si>
    <t>1. Physical Inspection Indicator screen,</t>
  </si>
  <si>
    <t>2. Financial Indicator screen,</t>
  </si>
  <si>
    <t>3. Management Operations Indicator screen, and</t>
  </si>
  <si>
    <t>4. Capital Fund Indicator screen.</t>
  </si>
  <si>
    <t>Physical Inspection Indicator Screen</t>
  </si>
  <si>
    <r>
      <t xml:space="preserve">• </t>
    </r>
    <r>
      <rPr>
        <b/>
        <sz val="12"/>
        <rFont val="Times New Roman"/>
        <family val="1"/>
      </rPr>
      <t xml:space="preserve">Agency Name: </t>
    </r>
    <r>
      <rPr>
        <sz val="12"/>
        <rFont val="Times New Roman"/>
        <family val="1"/>
      </rPr>
      <t>Enter name of agency.</t>
    </r>
  </si>
  <si>
    <r>
      <t>• Fiscal Year:</t>
    </r>
    <r>
      <rPr>
        <sz val="12"/>
        <rFont val="Times New Roman"/>
        <family val="1"/>
      </rPr>
      <t xml:space="preserve"> Enter subject fiscal year-end, e.g., 6/30/08, 9/30/08, 12/31/08, or 3/31/09.</t>
    </r>
  </si>
  <si>
    <r>
      <t xml:space="preserve">• Project Number: </t>
    </r>
    <r>
      <rPr>
        <sz val="12"/>
        <rFont val="Times New Roman"/>
        <family val="1"/>
      </rPr>
      <t>Enter a project number for each and every project to be scored. Note: the project number can be the AMP number for the project or any other number the PHA wants to assign.</t>
    </r>
  </si>
  <si>
    <r>
      <t>• ACC Units:</t>
    </r>
    <r>
      <rPr>
        <sz val="12"/>
        <rFont val="Times New Roman"/>
        <family val="1"/>
      </rPr>
      <t xml:space="preserve"> Enter the number of units under Annual Contributions Contract (ACC) for the project.</t>
    </r>
  </si>
  <si>
    <t>Financial Indicator Screen</t>
  </si>
  <si>
    <t>Management Component</t>
  </si>
  <si>
    <t>1.1 Appearance and Market Appeal</t>
  </si>
  <si>
    <r>
      <t xml:space="preserve">Grade A: </t>
    </r>
    <r>
      <rPr>
        <sz val="12"/>
        <rFont val="Times New Roman"/>
        <family val="1"/>
      </rPr>
      <t>The project: (1) Achieves 80 percent or greater of the points possible for all of the criteria for which the project is assessed; and (2) Has zero unsatisfactory ratings.</t>
    </r>
  </si>
  <si>
    <r>
      <t xml:space="preserve">Grade C: </t>
    </r>
    <r>
      <rPr>
        <sz val="12"/>
        <rFont val="Times New Roman"/>
        <family val="1"/>
      </rPr>
      <t>The project achieves less than 80 percent but greater than or equal to 50 percent of the points possible for all of the criteria for which the project is assessed.</t>
    </r>
  </si>
  <si>
    <r>
      <t xml:space="preserve">Grade F: </t>
    </r>
    <r>
      <rPr>
        <sz val="12"/>
        <rFont val="Times New Roman"/>
        <family val="1"/>
      </rPr>
      <t>The project achieves less than 50 percent of the points possible for all of the criteria for which the project is assessed.</t>
    </r>
  </si>
  <si>
    <r>
      <t xml:space="preserve">Grade A: </t>
    </r>
    <r>
      <rPr>
        <sz val="12"/>
        <rFont val="Times New Roman"/>
        <family val="1"/>
      </rPr>
      <t>The project can meet the criteria for the three following items: (1) There is no evidence of a crime problem at the project or the crime rate at the project is equal to or less than the crime rate for the surrounding neighborhood; (2) The project has formally adopted effective applicant screening policies and procedures that deny admissions to applicants on the basis of  24 CFR 960.204; (3) The project has formally adopted effective policies and procedures to evict residents who the project has reasonable cause to believe, as follows: engage in criminal activity that threaten the health, safety, or right to peaceful enjoyment of the premises by other residents or project personnel; engage in any drug-related criminal activity on or off the project premises; or abuse alcohol in a way that interferes with the health, safety, and peaceful enjoyment of the premises by other residents or project personnel.</t>
    </r>
  </si>
  <si>
    <r>
      <t xml:space="preserve">Grade C: </t>
    </r>
    <r>
      <rPr>
        <sz val="12"/>
        <rFont val="Times New Roman"/>
        <family val="1"/>
      </rPr>
      <t>The project: (1) Can meet the criteria for items (2) and (3) in grade A of this component; and (2) Cannot meet the criteria in item (1) in grade A of this component; and (3) Has formally adopted an effective security plan developed in coordination with local police officials and residents to implement anti-crime strategies.</t>
    </r>
  </si>
  <si>
    <r>
      <t xml:space="preserve">Grade F: </t>
    </r>
    <r>
      <rPr>
        <sz val="12"/>
        <rFont val="Times New Roman"/>
        <family val="1"/>
      </rPr>
      <t>The project: (1) Cannot meet the criteria for items (2) and (3) in grade A, above; or (2) Cannot meet the criteria in item (1) in grade A of this component; and (3) Has not formally adopted an effective security plan developed in coordination with local police officials and residents to implement anti-crime strategies.</t>
    </r>
  </si>
  <si>
    <r>
      <t xml:space="preserve">Grade A: </t>
    </r>
    <r>
      <rPr>
        <sz val="12"/>
        <rFont val="Times New Roman"/>
        <family val="1"/>
      </rPr>
      <t>The project: (1) Scores 90 percent or more on a 100-point scale on HUD’s physical condition inspection; or (2) Inspects 99 percent or more of the units; and (3) Has an adequate system for tracking unit inspections.</t>
    </r>
  </si>
  <si>
    <r>
      <t xml:space="preserve">Grade C: </t>
    </r>
    <r>
      <rPr>
        <sz val="12"/>
        <rFont val="Times New Roman"/>
        <family val="1"/>
      </rPr>
      <t xml:space="preserve">The project: (1) Inspects at least 95 percent but less than 99 percent of the units; and (2) Has an adequate system for tracking dwelling unit inspections. </t>
    </r>
  </si>
  <si>
    <r>
      <t xml:space="preserve">Grade F: </t>
    </r>
    <r>
      <rPr>
        <sz val="12"/>
        <rFont val="Times New Roman"/>
        <family val="1"/>
      </rPr>
      <t>The project: (1) Inspects less than 95 percent of the units; or (2) Does not have an adequate system for tracking dwelling unit inspections.</t>
    </r>
  </si>
  <si>
    <r>
      <t xml:space="preserve">Grade A: </t>
    </r>
    <r>
      <rPr>
        <sz val="12"/>
        <rFont val="Times New Roman"/>
        <family val="1"/>
      </rPr>
      <t>The project has: (1) Scored 90 percent or more on a 100-point scale on HUD’s physical condition inspection; or (2) Completed tenant-generated work orders in less than an average of 3 days; and (3) An adequate system for tracking work orders.</t>
    </r>
  </si>
  <si>
    <r>
      <t xml:space="preserve">Grade C: </t>
    </r>
    <r>
      <rPr>
        <sz val="12"/>
        <rFont val="Times New Roman"/>
        <family val="1"/>
      </rPr>
      <t>The project has: (1) Completed tenant-generated work orders in an average of at least 3 days but less than 10 days; and (2) An adequate system for tracking work orders; or (3) Completed tenant-generated work orders within an average of between 10 and 20 days; and (a) Reduced the average time it takes to complete tenant-generated work orders by at least 10 days during the past 3 years; and (b) An adequate system for tracking work orders.</t>
    </r>
  </si>
  <si>
    <r>
      <t xml:space="preserve">Grade F: </t>
    </r>
    <r>
      <rPr>
        <sz val="12"/>
        <rFont val="Times New Roman"/>
        <family val="1"/>
      </rPr>
      <t xml:space="preserve">The project: (1) Completed all tenant-generated work orders in an average of 10 or more days; or (2) Does not have an adequate system for tracking work orders. </t>
    </r>
  </si>
  <si>
    <r>
      <t xml:space="preserve">Grade A: </t>
    </r>
    <r>
      <rPr>
        <sz val="12"/>
        <rFont val="Times New Roman"/>
        <family val="1"/>
      </rPr>
      <t>The project: (1) Conducts annual inspections of buildings, grounds, common areas, non-dwelling space, and major systems; and (2) Has a sufficient preventive maintenance plan; and (3) All of the elements in the project’s preventive maintenance plan have been implemented.</t>
    </r>
  </si>
  <si>
    <r>
      <t xml:space="preserve">Grade C: </t>
    </r>
    <r>
      <rPr>
        <sz val="12"/>
        <rFont val="Times New Roman"/>
        <family val="1"/>
      </rPr>
      <t>The project: (1) Conducts annual inspections of buildings, grounds, common areas, non-dwelling space, and major systems; and (2) Has a sufficient preventive maintenance plan; and (3) At least 70 percent of the elements in the project’s preventive maintenance plan have been implemented.</t>
    </r>
  </si>
  <si>
    <r>
      <t xml:space="preserve">Grade F: </t>
    </r>
    <r>
      <rPr>
        <sz val="12"/>
        <rFont val="Times New Roman"/>
        <family val="1"/>
      </rPr>
      <t>The project: (1) Does not conduct annual inspections of buildings, grounds, common areas, non-dwelling space, and major systems; or (2) Does not have a sufficient preventive maintenance plan; or (3) Less than 70 percent of the elements in the project’s preventive maintenance plan have not been implemented.</t>
    </r>
  </si>
  <si>
    <t>3.4 Energy Conservation</t>
  </si>
  <si>
    <r>
      <t xml:space="preserve">Grade A: </t>
    </r>
    <r>
      <rPr>
        <sz val="12"/>
        <rFont val="Times New Roman"/>
        <family val="1"/>
      </rPr>
      <t>The project: (1) Has completed or updated its energy audit within the past 5 years and the project has implemented all of the recommendations that were cost-effective; or (2) Is doing the maximum feasible to reduce energy consumption such that no energy audit conducted within the past 5 years has made cost-effective recommendations.</t>
    </r>
  </si>
  <si>
    <r>
      <t xml:space="preserve">Grade C: </t>
    </r>
    <r>
      <rPr>
        <sz val="12"/>
        <rFont val="Times New Roman"/>
        <family val="1"/>
      </rPr>
      <t>The project: (1) Has completed or updated its energy audit within the past 5 years and the energy audit is less than one-year old; or (2) Has completed or updated its energy audit within the past 5 years, the energy audit is as least one-year old, and the project has developed an implementation plan for all costeffective recommendations and is on schedule with the implementation plan, based on available funds. The implementation plan identifies, at a minimum, the cost-effective items from the audit, the estimated cost, the planned funding source, and the anticipated date of completion for each item.</t>
    </r>
  </si>
  <si>
    <r>
      <t xml:space="preserve">Grade F: </t>
    </r>
    <r>
      <rPr>
        <sz val="12"/>
        <rFont val="Times New Roman"/>
        <family val="1"/>
      </rPr>
      <t>The project did not complete or update its energy audit within the past 5 years, or the project has not developed an implementation plan for all cost-effective recommendations, or is not on schedule with its implementation plan based on available funds, or has not implemented all of the recommendations that were cost-effective.</t>
    </r>
  </si>
  <si>
    <t>4.1 Accounts Payable</t>
  </si>
  <si>
    <r>
      <t xml:space="preserve">Grade A: </t>
    </r>
    <r>
      <rPr>
        <sz val="12"/>
        <rFont val="Times New Roman"/>
        <family val="1"/>
      </rPr>
      <t>(1) All of the invoices that are not in dispute are 30 days or less outstanding; and (2) The project has an adequate system for tracking accounts payable.</t>
    </r>
  </si>
  <si>
    <r>
      <t xml:space="preserve">Grade C: </t>
    </r>
    <r>
      <rPr>
        <sz val="12"/>
        <rFont val="Times New Roman"/>
        <family val="1"/>
      </rPr>
      <t>(1) One or more of the invoices that are not in dispute are greater than 30 days but no more than 60 days outstanding; and (2) The project has an adequate system for tracking accounts payable.</t>
    </r>
  </si>
  <si>
    <r>
      <t xml:space="preserve">Grade F: </t>
    </r>
    <r>
      <rPr>
        <sz val="12"/>
        <rFont val="Times New Roman"/>
        <family val="1"/>
      </rPr>
      <t xml:space="preserve">(1) One or more of the invoices that are not in dispute are greater than 60 days outstanding; or (2) The project does not have an adequate system for tracking accounts payable. </t>
    </r>
  </si>
  <si>
    <t>4.2 Rents Collected</t>
  </si>
  <si>
    <r>
      <t xml:space="preserve">Grade A: </t>
    </r>
    <r>
      <rPr>
        <sz val="12"/>
        <rFont val="Times New Roman"/>
        <family val="1"/>
      </rPr>
      <t>(1) The percentage of rents collected is at least 97 percent of the total rent to be collected; and  (2) The project has an adequate system to track and  document total rents charged and total rents collected.</t>
    </r>
  </si>
  <si>
    <r>
      <t xml:space="preserve">Grade C: </t>
    </r>
    <r>
      <rPr>
        <sz val="12"/>
        <rFont val="Times New Roman"/>
        <family val="1"/>
      </rPr>
      <t>(1) The percentage of rents collected is at least 93 percent but less than 97 percent of the total rent to be collected; and (2) The project has an adequate system to track and document total rents charged and total rents collected.</t>
    </r>
  </si>
  <si>
    <r>
      <t xml:space="preserve">Grade F: </t>
    </r>
    <r>
      <rPr>
        <sz val="12"/>
        <rFont val="Times New Roman"/>
        <family val="1"/>
      </rPr>
      <t>(1) The percentage of rents collected is less than 93 percent of the total rent to be collected; or (2) The project does not have an adequate system to track and document total rents charged and total rents collected.</t>
    </r>
  </si>
  <si>
    <r>
      <t xml:space="preserve">Grade A: </t>
    </r>
    <r>
      <rPr>
        <sz val="12"/>
        <rFont val="Times New Roman"/>
        <family val="1"/>
      </rPr>
      <t xml:space="preserve">The project has: (1) An adjusted vacancy rate of 2 percent or less; or (2) For a project with fewer than 100 units, not more than the number of unit days for 2 units vacant for the entire year; and (3) An adequate system for tracking vacancy days. </t>
    </r>
  </si>
  <si>
    <r>
      <t xml:space="preserve">Grade B: </t>
    </r>
    <r>
      <rPr>
        <sz val="12"/>
        <rFont val="Times New Roman"/>
        <family val="1"/>
      </rPr>
      <t>The project has: (1) An adjusted vacancy rate of greater than 2 percent and less than or equal to 4 percent; and (2) An adequate system for tracking vacancy days.</t>
    </r>
  </si>
  <si>
    <r>
      <t xml:space="preserve">Grade C: </t>
    </r>
    <r>
      <rPr>
        <sz val="12"/>
        <rFont val="Times New Roman"/>
        <family val="1"/>
      </rPr>
      <t>The project: (1) Has an adjusted vacancy rate of greater than 4 percent and less than or equal to 6 percent; and (2) Has an adequate system for tracking vacancy days; or(3) Has: (A) An adjusted vacancy rate of greater than 6 percent and less than or equal to 10 percent; and (B) For the same calendar month 3 years prior, the adjusted vacancy rate was 16 percent or greater; and (C) An adequate system for tracking vacancy days.</t>
    </r>
  </si>
  <si>
    <r>
      <t xml:space="preserve">Grade D: </t>
    </r>
    <r>
      <rPr>
        <sz val="12"/>
        <rFont val="Times New Roman"/>
        <family val="1"/>
      </rPr>
      <t xml:space="preserve">The project: (1) Has an adjusted vacancy rate of greater than 6 percent and less than or equal to 10 percent; and (2) Has an adequate system for tracking vacancy days; or (3) Has: (A) An adjusted vacancy rate of greater than 10 percent and less than or equal to 14 percent; (B) An adjusted vacancy rate of 20 percent or greater for the same calendar month 3 years prior; and (C) An adequate system for tracking vacancy days.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</si>
</sst>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
  </numFmts>
  <fonts count="19">
    <font>
      <sz val="10"/>
      <name val="Arial"/>
      <family val="0"/>
    </font>
    <font>
      <sz val="8"/>
      <name val="Arial"/>
      <family val="0"/>
    </font>
    <font>
      <b/>
      <sz val="10"/>
      <name val="Arial"/>
      <family val="2"/>
    </font>
    <font>
      <b/>
      <sz val="14"/>
      <color indexed="10"/>
      <name val="Arial"/>
      <family val="2"/>
    </font>
    <font>
      <u val="single"/>
      <sz val="10"/>
      <color indexed="12"/>
      <name val="Arial"/>
      <family val="0"/>
    </font>
    <font>
      <u val="single"/>
      <sz val="10"/>
      <color indexed="36"/>
      <name val="Arial"/>
      <family val="0"/>
    </font>
    <font>
      <sz val="9"/>
      <name val="Arial"/>
      <family val="0"/>
    </font>
    <font>
      <b/>
      <sz val="14.9"/>
      <name val="Arial"/>
      <family val="0"/>
    </font>
    <font>
      <sz val="12"/>
      <name val="Times New Roman"/>
      <family val="1"/>
    </font>
    <font>
      <b/>
      <vertAlign val="superscript"/>
      <sz val="10"/>
      <name val="Arial"/>
      <family val="2"/>
    </font>
    <font>
      <vertAlign val="superscript"/>
      <sz val="10"/>
      <name val="Arial"/>
      <family val="2"/>
    </font>
    <font>
      <b/>
      <u val="single"/>
      <sz val="12"/>
      <name val="Times New Roman"/>
      <family val="1"/>
    </font>
    <font>
      <b/>
      <sz val="12"/>
      <name val="Times New Roman"/>
      <family val="1"/>
    </font>
    <font>
      <b/>
      <sz val="10"/>
      <color indexed="10"/>
      <name val="Arial"/>
      <family val="2"/>
    </font>
    <font>
      <sz val="12"/>
      <color indexed="8"/>
      <name val="Times New Roman"/>
      <family val="1"/>
    </font>
    <font>
      <u val="single"/>
      <sz val="12"/>
      <color indexed="12"/>
      <name val="Times New Roman"/>
      <family val="1"/>
    </font>
    <font>
      <u val="single"/>
      <sz val="12"/>
      <name val="Times New Roman"/>
      <family val="1"/>
    </font>
    <font>
      <b/>
      <u val="single"/>
      <sz val="14"/>
      <name val="Times New Roman"/>
      <family val="1"/>
    </font>
    <font>
      <sz val="8"/>
      <name val="Tahoma"/>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5"/>
        <bgColor indexed="64"/>
      </patternFill>
    </fill>
    <fill>
      <patternFill patternType="solid">
        <fgColor indexed="4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s>
  <borders count="18">
    <border>
      <left/>
      <right/>
      <top/>
      <bottom/>
      <diagonal/>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thin"/>
      <top style="thin"/>
      <bottom style="thin"/>
    </border>
    <border>
      <left style="thin"/>
      <right style="thin"/>
      <top>
        <color indexed="63"/>
      </top>
      <bottom style="thin"/>
    </border>
    <border>
      <left style="thin"/>
      <right style="medium"/>
      <top style="medium"/>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0" fillId="2" borderId="1" xfId="0" applyFill="1" applyBorder="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xf>
    <xf numFmtId="0" fontId="0" fillId="4" borderId="1" xfId="0" applyFill="1" applyBorder="1" applyAlignment="1">
      <alignment/>
    </xf>
    <xf numFmtId="0" fontId="2" fillId="0" borderId="0" xfId="0" applyFont="1" applyAlignment="1">
      <alignment/>
    </xf>
    <xf numFmtId="0" fontId="0" fillId="0" borderId="1" xfId="0" applyBorder="1" applyAlignment="1">
      <alignment/>
    </xf>
    <xf numFmtId="0" fontId="0" fillId="0" borderId="1" xfId="0" applyBorder="1" applyAlignment="1">
      <alignment horizontal="right"/>
    </xf>
    <xf numFmtId="0" fontId="3" fillId="2" borderId="0" xfId="0" applyFont="1" applyFill="1" applyAlignment="1" applyProtection="1">
      <alignment/>
      <protection/>
    </xf>
    <xf numFmtId="0" fontId="0" fillId="2" borderId="0" xfId="0" applyFill="1" applyAlignment="1" applyProtection="1">
      <alignment/>
      <protection/>
    </xf>
    <xf numFmtId="0" fontId="2" fillId="3" borderId="1" xfId="0" applyFont="1" applyFill="1" applyBorder="1" applyAlignment="1" applyProtection="1">
      <alignment horizontal="center"/>
      <protection/>
    </xf>
    <xf numFmtId="0" fontId="0" fillId="2" borderId="1" xfId="0" applyFill="1" applyBorder="1" applyAlignment="1" applyProtection="1">
      <alignment horizontal="center"/>
      <protection/>
    </xf>
    <xf numFmtId="0" fontId="2" fillId="3" borderId="1" xfId="0" applyFont="1" applyFill="1" applyBorder="1" applyAlignment="1" applyProtection="1">
      <alignment/>
      <protection/>
    </xf>
    <xf numFmtId="0" fontId="2" fillId="3" borderId="1" xfId="0" applyFont="1" applyFill="1" applyBorder="1" applyAlignment="1" applyProtection="1">
      <alignment horizontal="center" wrapText="1"/>
      <protection/>
    </xf>
    <xf numFmtId="0" fontId="2" fillId="2" borderId="0" xfId="0" applyFont="1" applyFill="1" applyAlignment="1" applyProtection="1">
      <alignment/>
      <protection/>
    </xf>
    <xf numFmtId="0" fontId="2" fillId="0" borderId="1" xfId="0" applyFont="1" applyFill="1" applyBorder="1" applyAlignment="1" applyProtection="1">
      <alignment horizontal="left"/>
      <protection/>
    </xf>
    <xf numFmtId="0" fontId="2" fillId="2" borderId="1" xfId="0" applyFont="1" applyFill="1" applyBorder="1" applyAlignment="1" applyProtection="1">
      <alignment horizontal="right"/>
      <protection/>
    </xf>
    <xf numFmtId="0" fontId="2" fillId="0" borderId="1" xfId="0" applyFont="1" applyFill="1" applyBorder="1" applyAlignment="1" applyProtection="1">
      <alignment horizontal="right"/>
      <protection/>
    </xf>
    <xf numFmtId="0" fontId="2" fillId="2" borderId="1" xfId="0" applyFont="1" applyFill="1" applyBorder="1" applyAlignment="1" applyProtection="1">
      <alignment horizontal="left"/>
      <protection/>
    </xf>
    <xf numFmtId="0" fontId="0" fillId="2" borderId="1" xfId="0" applyFill="1" applyBorder="1" applyAlignment="1" applyProtection="1">
      <alignment horizontal="left"/>
      <protection/>
    </xf>
    <xf numFmtId="0" fontId="0" fillId="2" borderId="1" xfId="0" applyFill="1" applyBorder="1" applyAlignment="1" applyProtection="1">
      <alignment horizontal="right"/>
      <protection/>
    </xf>
    <xf numFmtId="0" fontId="0" fillId="2" borderId="0" xfId="0" applyFill="1" applyAlignment="1" applyProtection="1">
      <alignment horizontal="right"/>
      <protection/>
    </xf>
    <xf numFmtId="0" fontId="6" fillId="2" borderId="0" xfId="0" applyFont="1" applyFill="1" applyAlignment="1" applyProtection="1">
      <alignment/>
      <protection/>
    </xf>
    <xf numFmtId="14" fontId="0" fillId="2" borderId="0" xfId="0" applyNumberFormat="1" applyFill="1" applyAlignment="1" applyProtection="1">
      <alignment horizontal="left"/>
      <protection/>
    </xf>
    <xf numFmtId="0" fontId="1" fillId="2" borderId="0" xfId="0" applyFont="1" applyFill="1" applyAlignment="1" applyProtection="1">
      <alignment/>
      <protection/>
    </xf>
    <xf numFmtId="0" fontId="0" fillId="5" borderId="0" xfId="0" applyFill="1" applyAlignment="1">
      <alignment/>
    </xf>
    <xf numFmtId="0" fontId="7" fillId="5" borderId="0" xfId="0" applyFont="1" applyFill="1" applyAlignment="1">
      <alignment horizontal="center"/>
    </xf>
    <xf numFmtId="0" fontId="0" fillId="0" borderId="1" xfId="0" applyFill="1" applyBorder="1" applyAlignment="1" applyProtection="1">
      <alignment horizontal="center"/>
      <protection/>
    </xf>
    <xf numFmtId="0" fontId="0" fillId="2" borderId="1" xfId="0" applyFill="1" applyBorder="1" applyAlignment="1" applyProtection="1">
      <alignment horizontal="left" wrapText="1"/>
      <protection/>
    </xf>
    <xf numFmtId="0" fontId="0" fillId="0" borderId="1" xfId="0" applyFont="1" applyFill="1" applyBorder="1" applyAlignment="1" applyProtection="1">
      <alignment horizontal="left"/>
      <protection/>
    </xf>
    <xf numFmtId="0" fontId="0" fillId="2" borderId="1" xfId="0" applyFont="1" applyFill="1" applyBorder="1" applyAlignment="1" applyProtection="1">
      <alignment horizontal="right"/>
      <protection/>
    </xf>
    <xf numFmtId="0" fontId="0" fillId="2" borderId="0" xfId="0" applyFont="1" applyFill="1" applyAlignment="1" applyProtection="1">
      <alignment/>
      <protection/>
    </xf>
    <xf numFmtId="0" fontId="0" fillId="0" borderId="2" xfId="0" applyFont="1" applyFill="1" applyBorder="1" applyAlignment="1" applyProtection="1">
      <alignment horizontal="left"/>
      <protection/>
    </xf>
    <xf numFmtId="0" fontId="0" fillId="2" borderId="2" xfId="0" applyFont="1" applyFill="1" applyBorder="1" applyAlignment="1" applyProtection="1">
      <alignment horizontal="right"/>
      <protection/>
    </xf>
    <xf numFmtId="0" fontId="2" fillId="0" borderId="3" xfId="0" applyFont="1" applyFill="1" applyBorder="1" applyAlignment="1" applyProtection="1">
      <alignment horizontal="left"/>
      <protection/>
    </xf>
    <xf numFmtId="0" fontId="2" fillId="2" borderId="4" xfId="0" applyFont="1" applyFill="1" applyBorder="1" applyAlignment="1" applyProtection="1">
      <alignment horizontal="right"/>
      <protection/>
    </xf>
    <xf numFmtId="0" fontId="0" fillId="2" borderId="1" xfId="0" applyFont="1" applyFill="1" applyBorder="1" applyAlignment="1" applyProtection="1">
      <alignment horizontal="left"/>
      <protection/>
    </xf>
    <xf numFmtId="0" fontId="10" fillId="2" borderId="0" xfId="0" applyFont="1" applyFill="1" applyAlignment="1" applyProtection="1">
      <alignment/>
      <protection/>
    </xf>
    <xf numFmtId="0" fontId="0" fillId="2" borderId="2" xfId="0" applyFill="1" applyBorder="1" applyAlignment="1" applyProtection="1">
      <alignment horizontal="center"/>
      <protection/>
    </xf>
    <xf numFmtId="0" fontId="0" fillId="2" borderId="0" xfId="0" applyFill="1" applyAlignment="1" applyProtection="1">
      <alignment horizontal="center"/>
      <protection/>
    </xf>
    <xf numFmtId="0" fontId="0" fillId="0" borderId="2" xfId="0" applyFill="1" applyBorder="1" applyAlignment="1" applyProtection="1">
      <alignment horizontal="center"/>
      <protection/>
    </xf>
    <xf numFmtId="0" fontId="0" fillId="0" borderId="0" xfId="0" applyFont="1" applyAlignment="1">
      <alignment/>
    </xf>
    <xf numFmtId="0" fontId="0" fillId="2" borderId="0" xfId="0" applyFill="1" applyBorder="1" applyAlignment="1" applyProtection="1">
      <alignment horizontal="center"/>
      <protection/>
    </xf>
    <xf numFmtId="0" fontId="0" fillId="2" borderId="0" xfId="0" applyFill="1" applyBorder="1" applyAlignment="1" applyProtection="1">
      <alignment/>
      <protection/>
    </xf>
    <xf numFmtId="0" fontId="0" fillId="2" borderId="1" xfId="0" applyFill="1" applyBorder="1" applyAlignment="1" applyProtection="1">
      <alignment/>
      <protection/>
    </xf>
    <xf numFmtId="0" fontId="0" fillId="2" borderId="5" xfId="0" applyFill="1" applyBorder="1" applyAlignment="1" applyProtection="1">
      <alignment/>
      <protection/>
    </xf>
    <xf numFmtId="0" fontId="11" fillId="0" borderId="0" xfId="0" applyFont="1" applyAlignment="1">
      <alignment vertical="top"/>
    </xf>
    <xf numFmtId="0" fontId="8" fillId="0" borderId="0" xfId="0" applyFont="1" applyAlignment="1">
      <alignment vertical="top" wrapText="1"/>
    </xf>
    <xf numFmtId="0" fontId="12" fillId="0" borderId="0" xfId="0" applyFont="1" applyBorder="1" applyAlignment="1">
      <alignment vertical="top" wrapText="1"/>
    </xf>
    <xf numFmtId="0" fontId="8" fillId="0" borderId="0" xfId="0" applyFont="1" applyBorder="1" applyAlignment="1">
      <alignment vertical="top" wrapText="1"/>
    </xf>
    <xf numFmtId="0" fontId="12" fillId="0" borderId="0" xfId="0" applyFont="1" applyAlignment="1">
      <alignment vertical="top" wrapText="1"/>
    </xf>
    <xf numFmtId="0" fontId="12" fillId="0" borderId="0" xfId="0" applyNumberFormat="1" applyFont="1" applyAlignment="1">
      <alignment vertical="top" wrapText="1"/>
    </xf>
    <xf numFmtId="0" fontId="0" fillId="0" borderId="0" xfId="0" applyAlignment="1">
      <alignment vertical="top"/>
    </xf>
    <xf numFmtId="0" fontId="8" fillId="0" borderId="0" xfId="0" applyNumberFormat="1" applyFont="1" applyAlignment="1">
      <alignment vertical="top" wrapText="1"/>
    </xf>
    <xf numFmtId="0" fontId="8" fillId="0" borderId="0" xfId="0" applyFont="1" applyAlignment="1">
      <alignment vertical="top"/>
    </xf>
    <xf numFmtId="0" fontId="12" fillId="0" borderId="0" xfId="0" applyFont="1" applyAlignment="1" quotePrefix="1">
      <alignment vertical="top" wrapText="1"/>
    </xf>
    <xf numFmtId="0" fontId="11" fillId="0" borderId="0" xfId="0" applyFont="1" applyAlignment="1">
      <alignment horizontal="left" vertical="top"/>
    </xf>
    <xf numFmtId="0" fontId="0" fillId="0" borderId="0" xfId="0" applyFill="1" applyAlignment="1">
      <alignment/>
    </xf>
    <xf numFmtId="0" fontId="13" fillId="5" borderId="0" xfId="0" applyFont="1" applyFill="1" applyAlignment="1">
      <alignment horizontal="center"/>
    </xf>
    <xf numFmtId="0" fontId="0" fillId="0" borderId="0" xfId="0" applyBorder="1" applyAlignment="1">
      <alignment vertical="top"/>
    </xf>
    <xf numFmtId="0" fontId="8" fillId="0" borderId="0" xfId="0" applyFont="1" applyBorder="1" applyAlignment="1">
      <alignment horizontal="center" vertical="top" wrapText="1"/>
    </xf>
    <xf numFmtId="0" fontId="0" fillId="0" borderId="1" xfId="0" applyFill="1" applyBorder="1" applyAlignment="1" applyProtection="1">
      <alignment horizontal="right"/>
      <protection/>
    </xf>
    <xf numFmtId="0" fontId="8" fillId="0" borderId="0" xfId="0" applyFont="1" applyFill="1" applyAlignment="1">
      <alignment vertical="top" wrapText="1"/>
    </xf>
    <xf numFmtId="0" fontId="14" fillId="0" borderId="0" xfId="0" applyFont="1" applyAlignment="1">
      <alignment vertical="top" wrapText="1"/>
    </xf>
    <xf numFmtId="0" fontId="6" fillId="2" borderId="0" xfId="0" applyFont="1" applyFill="1" applyAlignment="1" applyProtection="1">
      <alignment/>
      <protection/>
    </xf>
    <xf numFmtId="0" fontId="0" fillId="2" borderId="6" xfId="0" applyFill="1" applyBorder="1" applyAlignment="1" applyProtection="1">
      <alignment/>
      <protection/>
    </xf>
    <xf numFmtId="0" fontId="0" fillId="6" borderId="1" xfId="0" applyFill="1" applyBorder="1" applyAlignment="1" applyProtection="1">
      <alignment/>
      <protection locked="0"/>
    </xf>
    <xf numFmtId="169" fontId="0" fillId="7" borderId="1" xfId="0" applyNumberFormat="1" applyFill="1" applyBorder="1" applyAlignment="1" applyProtection="1">
      <alignment/>
      <protection/>
    </xf>
    <xf numFmtId="169" fontId="2" fillId="7" borderId="1" xfId="0" applyNumberFormat="1" applyFont="1" applyFill="1" applyBorder="1" applyAlignment="1" applyProtection="1">
      <alignment/>
      <protection/>
    </xf>
    <xf numFmtId="14" fontId="0" fillId="7" borderId="0" xfId="0" applyNumberFormat="1" applyFill="1" applyAlignment="1" applyProtection="1">
      <alignment horizontal="left"/>
      <protection/>
    </xf>
    <xf numFmtId="0" fontId="0" fillId="7" borderId="0" xfId="0" applyFill="1" applyAlignment="1" applyProtection="1">
      <alignment/>
      <protection/>
    </xf>
    <xf numFmtId="0" fontId="0" fillId="7" borderId="1" xfId="0" applyFill="1" applyBorder="1" applyAlignment="1" applyProtection="1">
      <alignment/>
      <protection/>
    </xf>
    <xf numFmtId="0" fontId="0" fillId="7" borderId="1" xfId="0" applyFill="1" applyBorder="1" applyAlignment="1" applyProtection="1">
      <alignment horizontal="right"/>
      <protection/>
    </xf>
    <xf numFmtId="169" fontId="0" fillId="6" borderId="1" xfId="0" applyNumberFormat="1" applyFill="1" applyBorder="1" applyAlignment="1" applyProtection="1">
      <alignment/>
      <protection locked="0"/>
    </xf>
    <xf numFmtId="0" fontId="0" fillId="6" borderId="1" xfId="0" applyFill="1" applyBorder="1" applyAlignment="1" applyProtection="1">
      <alignment horizontal="right"/>
      <protection locked="0"/>
    </xf>
    <xf numFmtId="0" fontId="2" fillId="7" borderId="1" xfId="0" applyFont="1" applyFill="1" applyBorder="1" applyAlignment="1" applyProtection="1">
      <alignment horizontal="center" textRotation="45"/>
      <protection/>
    </xf>
    <xf numFmtId="0" fontId="2" fillId="7" borderId="1" xfId="0" applyFont="1" applyFill="1" applyBorder="1" applyAlignment="1" applyProtection="1">
      <alignment/>
      <protection/>
    </xf>
    <xf numFmtId="0" fontId="0" fillId="7" borderId="1" xfId="0" applyFont="1" applyFill="1" applyBorder="1" applyAlignment="1" applyProtection="1">
      <alignment horizontal="right"/>
      <protection/>
    </xf>
    <xf numFmtId="0" fontId="0" fillId="7" borderId="2" xfId="0" applyFont="1" applyFill="1" applyBorder="1" applyAlignment="1" applyProtection="1">
      <alignment horizontal="right"/>
      <protection/>
    </xf>
    <xf numFmtId="169" fontId="2" fillId="7" borderId="4" xfId="0" applyNumberFormat="1" applyFont="1" applyFill="1" applyBorder="1" applyAlignment="1" applyProtection="1">
      <alignment horizontal="right"/>
      <protection/>
    </xf>
    <xf numFmtId="0" fontId="2" fillId="7" borderId="4" xfId="0" applyFont="1" applyFill="1" applyBorder="1" applyAlignment="1" applyProtection="1">
      <alignment horizontal="right"/>
      <protection/>
    </xf>
    <xf numFmtId="169" fontId="2" fillId="7" borderId="1" xfId="0" applyNumberFormat="1" applyFont="1" applyFill="1" applyBorder="1" applyAlignment="1" applyProtection="1">
      <alignment horizontal="right"/>
      <protection/>
    </xf>
    <xf numFmtId="0" fontId="0" fillId="7" borderId="0" xfId="0" applyFill="1" applyAlignment="1" applyProtection="1">
      <alignment horizontal="right"/>
      <protection/>
    </xf>
    <xf numFmtId="0" fontId="0" fillId="6" borderId="0" xfId="0" applyFill="1" applyAlignment="1" applyProtection="1">
      <alignment/>
      <protection locked="0"/>
    </xf>
    <xf numFmtId="169" fontId="0" fillId="7" borderId="1" xfId="0" applyNumberFormat="1" applyFill="1" applyBorder="1" applyAlignment="1" applyProtection="1">
      <alignment horizontal="right"/>
      <protection/>
    </xf>
    <xf numFmtId="0" fontId="0" fillId="7" borderId="2" xfId="0" applyFill="1" applyBorder="1" applyAlignment="1" applyProtection="1">
      <alignment/>
      <protection/>
    </xf>
    <xf numFmtId="169" fontId="2" fillId="7" borderId="4" xfId="0" applyNumberFormat="1" applyFont="1" applyFill="1" applyBorder="1" applyAlignment="1" applyProtection="1">
      <alignment/>
      <protection/>
    </xf>
    <xf numFmtId="0" fontId="2" fillId="7" borderId="7" xfId="0" applyFont="1" applyFill="1" applyBorder="1" applyAlignment="1" applyProtection="1">
      <alignment/>
      <protection/>
    </xf>
    <xf numFmtId="170" fontId="0" fillId="7" borderId="1" xfId="0" applyNumberFormat="1" applyFill="1" applyBorder="1" applyAlignment="1" applyProtection="1">
      <alignment/>
      <protection/>
    </xf>
    <xf numFmtId="0" fontId="1" fillId="2" borderId="0" xfId="0" applyFont="1" applyFill="1" applyAlignment="1" applyProtection="1">
      <alignment/>
      <protection/>
    </xf>
    <xf numFmtId="0" fontId="8" fillId="0" borderId="0" xfId="0" applyFont="1" applyAlignment="1" quotePrefix="1">
      <alignment vertical="top" wrapText="1"/>
    </xf>
    <xf numFmtId="0" fontId="16" fillId="0" borderId="0" xfId="0" applyFont="1" applyAlignment="1">
      <alignment vertical="top" wrapText="1"/>
    </xf>
    <xf numFmtId="0" fontId="17" fillId="0" borderId="0" xfId="0" applyFont="1" applyAlignment="1">
      <alignment horizontal="center" vertical="top"/>
    </xf>
    <xf numFmtId="0" fontId="12" fillId="0" borderId="0" xfId="0" applyNumberFormat="1" applyFont="1" applyFill="1" applyAlignment="1">
      <alignment vertical="top" wrapText="1"/>
    </xf>
    <xf numFmtId="0" fontId="0" fillId="0" borderId="0" xfId="0" applyFill="1" applyAlignment="1">
      <alignment vertical="top"/>
    </xf>
    <xf numFmtId="0" fontId="0" fillId="7" borderId="0" xfId="0" applyFill="1" applyAlignment="1" applyProtection="1">
      <alignment horizontal="left"/>
      <protection/>
    </xf>
    <xf numFmtId="0" fontId="2" fillId="8" borderId="5" xfId="0" applyFont="1" applyFill="1" applyBorder="1" applyAlignment="1" applyProtection="1" quotePrefix="1">
      <alignment horizontal="center"/>
      <protection/>
    </xf>
    <xf numFmtId="0" fontId="0" fillId="2" borderId="8" xfId="0" applyFont="1" applyFill="1" applyBorder="1" applyAlignment="1" applyProtection="1">
      <alignment horizontal="left"/>
      <protection/>
    </xf>
    <xf numFmtId="0" fontId="0" fillId="0" borderId="0" xfId="0" applyAlignment="1">
      <alignment horizontal="left" wrapText="1"/>
    </xf>
    <xf numFmtId="0" fontId="11" fillId="0" borderId="0" xfId="0" applyFont="1" applyBorder="1" applyAlignment="1">
      <alignment horizontal="left" vertical="top" wrapText="1"/>
    </xf>
    <xf numFmtId="0" fontId="0" fillId="6" borderId="0" xfId="0" applyFill="1" applyAlignment="1" applyProtection="1">
      <alignment horizontal="left"/>
      <protection locked="0"/>
    </xf>
    <xf numFmtId="14" fontId="0" fillId="6" borderId="0" xfId="0" applyNumberFormat="1" applyFill="1" applyAlignment="1" applyProtection="1">
      <alignment horizontal="left"/>
      <protection locked="0"/>
    </xf>
    <xf numFmtId="0" fontId="2" fillId="3" borderId="1" xfId="0" applyFont="1" applyFill="1" applyBorder="1" applyAlignment="1" applyProtection="1">
      <alignment horizontal="center"/>
      <protection/>
    </xf>
    <xf numFmtId="0" fontId="2" fillId="3" borderId="2" xfId="0" applyFont="1" applyFill="1" applyBorder="1" applyAlignment="1" applyProtection="1">
      <alignment horizontal="center" wrapText="1"/>
      <protection/>
    </xf>
    <xf numFmtId="0" fontId="2" fillId="3" borderId="6" xfId="0" applyFont="1" applyFill="1" applyBorder="1" applyAlignment="1" applyProtection="1">
      <alignment horizontal="center" wrapText="1"/>
      <protection/>
    </xf>
    <xf numFmtId="0" fontId="0" fillId="7" borderId="0" xfId="0" applyFill="1" applyAlignment="1" applyProtection="1">
      <alignment horizontal="left"/>
      <protection/>
    </xf>
    <xf numFmtId="14" fontId="0" fillId="7" borderId="0" xfId="0" applyNumberFormat="1" applyFill="1" applyAlignment="1" applyProtection="1">
      <alignment horizontal="left"/>
      <protection/>
    </xf>
    <xf numFmtId="0" fontId="0" fillId="0" borderId="0" xfId="0" applyAlignment="1">
      <alignment horizontal="center" vertical="center"/>
    </xf>
    <xf numFmtId="0" fontId="0" fillId="3" borderId="9" xfId="0" applyFill="1" applyBorder="1" applyAlignment="1" applyProtection="1">
      <alignment horizontal="center"/>
      <protection/>
    </xf>
    <xf numFmtId="0" fontId="0" fillId="3" borderId="10" xfId="0" applyFill="1" applyBorder="1" applyAlignment="1" applyProtection="1">
      <alignment horizontal="center"/>
      <protection/>
    </xf>
    <xf numFmtId="0" fontId="0" fillId="3" borderId="5" xfId="0" applyFill="1" applyBorder="1" applyAlignment="1" applyProtection="1">
      <alignment horizontal="center"/>
      <protection/>
    </xf>
    <xf numFmtId="0" fontId="2" fillId="8" borderId="9" xfId="0" applyFont="1" applyFill="1" applyBorder="1" applyAlignment="1" applyProtection="1" quotePrefix="1">
      <alignment horizontal="center"/>
      <protection/>
    </xf>
    <xf numFmtId="0" fontId="0" fillId="2" borderId="11" xfId="0" applyFont="1" applyFill="1" applyBorder="1" applyAlignment="1" applyProtection="1">
      <alignment horizontal="left"/>
      <protection/>
    </xf>
    <xf numFmtId="0" fontId="0" fillId="2" borderId="12" xfId="0" applyFont="1" applyFill="1" applyBorder="1" applyAlignment="1" applyProtection="1">
      <alignment horizontal="left"/>
      <protection/>
    </xf>
    <xf numFmtId="0" fontId="0" fillId="2" borderId="9" xfId="0" applyFont="1" applyFill="1" applyBorder="1" applyAlignment="1" applyProtection="1">
      <alignment horizontal="left"/>
      <protection/>
    </xf>
    <xf numFmtId="0" fontId="0" fillId="2" borderId="10" xfId="0" applyFont="1" applyFill="1" applyBorder="1" applyAlignment="1" applyProtection="1">
      <alignment horizontal="left"/>
      <protection/>
    </xf>
    <xf numFmtId="0" fontId="0" fillId="2" borderId="5" xfId="0" applyFont="1" applyFill="1" applyBorder="1" applyAlignment="1" applyProtection="1">
      <alignment horizontal="left"/>
      <protection/>
    </xf>
    <xf numFmtId="0" fontId="2" fillId="2" borderId="13" xfId="0" applyFont="1" applyFill="1" applyBorder="1" applyAlignment="1" applyProtection="1">
      <alignment horizontal="left"/>
      <protection/>
    </xf>
    <xf numFmtId="0" fontId="2" fillId="2" borderId="14" xfId="0" applyFont="1" applyFill="1" applyBorder="1" applyAlignment="1" applyProtection="1">
      <alignment horizontal="left"/>
      <protection/>
    </xf>
    <xf numFmtId="0" fontId="2" fillId="2" borderId="15" xfId="0" applyFont="1" applyFill="1" applyBorder="1" applyAlignment="1" applyProtection="1">
      <alignment horizontal="left"/>
      <protection/>
    </xf>
    <xf numFmtId="0" fontId="0" fillId="2" borderId="1" xfId="0" applyFill="1" applyBorder="1" applyAlignment="1" applyProtection="1">
      <alignment horizontal="center"/>
      <protection/>
    </xf>
    <xf numFmtId="0" fontId="0" fillId="2" borderId="16" xfId="0" applyFill="1" applyBorder="1" applyAlignment="1" applyProtection="1">
      <alignment horizontal="center"/>
      <protection/>
    </xf>
    <xf numFmtId="0" fontId="0" fillId="2" borderId="17" xfId="0" applyFill="1" applyBorder="1" applyAlignment="1" applyProtection="1">
      <alignment horizontal="center"/>
      <protection/>
    </xf>
    <xf numFmtId="0" fontId="0" fillId="2" borderId="8" xfId="0" applyFill="1" applyBorder="1" applyAlignment="1" applyProtection="1">
      <alignment horizontal="center"/>
      <protection/>
    </xf>
    <xf numFmtId="0" fontId="0" fillId="2" borderId="12" xfId="0" applyFill="1" applyBorder="1" applyAlignment="1" applyProtection="1">
      <alignment horizontal="center"/>
      <protection/>
    </xf>
    <xf numFmtId="0" fontId="0" fillId="2" borderId="6" xfId="0"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rgb="FFFF0000"/>
      </font>
      <fill>
        <patternFill patternType="solid">
          <bgColor rgb="FFFFCC99"/>
        </patternFill>
      </fill>
      <border/>
    </dxf>
    <dxf>
      <font>
        <color rgb="FFFF0000"/>
      </font>
      <fill>
        <patternFill>
          <bgColor rgb="FFFFCC99"/>
        </patternFill>
      </fill>
      <border/>
    </dxf>
    <dxf>
      <font>
        <b/>
        <i val="0"/>
        <color auto="1"/>
      </font>
      <fill>
        <patternFill>
          <fgColor rgb="FFFF0000"/>
          <bgColor rgb="FFFF6600"/>
        </patternFill>
      </fill>
      <border/>
    </dxf>
    <dxf>
      <font>
        <b/>
        <i val="0"/>
        <color auto="1"/>
      </font>
      <fill>
        <patternFill patternType="solid">
          <bgColor rgb="FF00FF00"/>
        </patternFill>
      </fill>
      <border/>
    </dxf>
    <dxf>
      <font>
        <b/>
        <i val="0"/>
      </font>
      <fill>
        <patternFill>
          <bgColor rgb="FFFFFF00"/>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20.emf" /><Relationship Id="rId3" Type="http://schemas.openxmlformats.org/officeDocument/2006/relationships/image" Target="../media/image3.emf" /><Relationship Id="rId4" Type="http://schemas.openxmlformats.org/officeDocument/2006/relationships/image" Target="../media/image6.emf" /><Relationship Id="rId5" Type="http://schemas.openxmlformats.org/officeDocument/2006/relationships/image" Target="../media/image17.emf" /><Relationship Id="rId6" Type="http://schemas.openxmlformats.org/officeDocument/2006/relationships/image" Target="../media/image32.emf" /><Relationship Id="rId7" Type="http://schemas.openxmlformats.org/officeDocument/2006/relationships/image" Target="../media/image1.wmf" /><Relationship Id="rId8" Type="http://schemas.openxmlformats.org/officeDocument/2006/relationships/image" Target="../media/image37.emf" /><Relationship Id="rId9" Type="http://schemas.openxmlformats.org/officeDocument/2006/relationships/image" Target="../media/image43.emf" /><Relationship Id="rId10" Type="http://schemas.openxmlformats.org/officeDocument/2006/relationships/image" Target="../media/image29.emf" /><Relationship Id="rId11" Type="http://schemas.openxmlformats.org/officeDocument/2006/relationships/image" Target="../media/image47.emf" /><Relationship Id="rId12" Type="http://schemas.openxmlformats.org/officeDocument/2006/relationships/image" Target="../media/image25.emf" /><Relationship Id="rId13" Type="http://schemas.openxmlformats.org/officeDocument/2006/relationships/image" Target="../media/image2.emf" /><Relationship Id="rId14" Type="http://schemas.openxmlformats.org/officeDocument/2006/relationships/image" Target="../media/image3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30.png" /><Relationship Id="rId3" Type="http://schemas.openxmlformats.org/officeDocument/2006/relationships/image" Target="../media/image40.png" /><Relationship Id="rId4" Type="http://schemas.openxmlformats.org/officeDocument/2006/relationships/image" Target="../media/image16.emf" /><Relationship Id="rId5" Type="http://schemas.openxmlformats.org/officeDocument/2006/relationships/image" Target="../media/image27.emf" /><Relationship Id="rId6" Type="http://schemas.openxmlformats.org/officeDocument/2006/relationships/image" Target="../media/image9.emf" /><Relationship Id="rId7" Type="http://schemas.openxmlformats.org/officeDocument/2006/relationships/image" Target="../media/image18.emf" /><Relationship Id="rId8" Type="http://schemas.openxmlformats.org/officeDocument/2006/relationships/image" Target="../media/image28.emf" /><Relationship Id="rId9" Type="http://schemas.openxmlformats.org/officeDocument/2006/relationships/image" Target="../media/image15.emf" /><Relationship Id="rId10" Type="http://schemas.openxmlformats.org/officeDocument/2006/relationships/image" Target="../media/image34.png" /><Relationship Id="rId11" Type="http://schemas.openxmlformats.org/officeDocument/2006/relationships/image" Target="../media/image46.png" /><Relationship Id="rId12" Type="http://schemas.openxmlformats.org/officeDocument/2006/relationships/image" Target="../media/image48.png" /><Relationship Id="rId13" Type="http://schemas.openxmlformats.org/officeDocument/2006/relationships/image" Target="../media/image23.png" /><Relationship Id="rId14" Type="http://schemas.openxmlformats.org/officeDocument/2006/relationships/image" Target="../media/image4.png" /><Relationship Id="rId15" Type="http://schemas.openxmlformats.org/officeDocument/2006/relationships/image" Target="../media/image42.png" /><Relationship Id="rId16" Type="http://schemas.openxmlformats.org/officeDocument/2006/relationships/image" Target="../media/image52.png" /><Relationship Id="rId17" Type="http://schemas.openxmlformats.org/officeDocument/2006/relationships/image" Target="../media/image4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41.emf" /><Relationship Id="rId3" Type="http://schemas.openxmlformats.org/officeDocument/2006/relationships/image" Target="../media/image13.emf" /><Relationship Id="rId4" Type="http://schemas.openxmlformats.org/officeDocument/2006/relationships/image" Target="../media/image26.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45.emf" /><Relationship Id="rId3" Type="http://schemas.openxmlformats.org/officeDocument/2006/relationships/image" Target="../media/image5.emf" /><Relationship Id="rId4"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36.emf" /><Relationship Id="rId3" Type="http://schemas.openxmlformats.org/officeDocument/2006/relationships/image" Target="../media/image38.emf" /><Relationship Id="rId4" Type="http://schemas.openxmlformats.org/officeDocument/2006/relationships/image" Target="../media/image19.emf" /></Relationships>
</file>

<file path=xl/drawings/_rels/drawing6.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50.emf" /><Relationship Id="rId3" Type="http://schemas.openxmlformats.org/officeDocument/2006/relationships/image" Target="../media/image49.emf" /><Relationship Id="rId4" Type="http://schemas.openxmlformats.org/officeDocument/2006/relationships/image" Target="../media/image22.emf" /></Relationships>
</file>

<file path=xl/drawings/_rels/drawing7.xml.rels><?xml version="1.0" encoding="utf-8" standalone="yes"?><Relationships xmlns="http://schemas.openxmlformats.org/package/2006/relationships"><Relationship Id="rId1" Type="http://schemas.openxmlformats.org/officeDocument/2006/relationships/image" Target="../media/image51.emf" /><Relationship Id="rId2" Type="http://schemas.openxmlformats.org/officeDocument/2006/relationships/image" Target="../media/image8.emf" /><Relationship Id="rId3" Type="http://schemas.openxmlformats.org/officeDocument/2006/relationships/image" Target="../media/image21.emf" /><Relationship Id="rId4" Type="http://schemas.openxmlformats.org/officeDocument/2006/relationships/image" Target="../media/image7.emf" /><Relationship Id="rId5" Type="http://schemas.openxmlformats.org/officeDocument/2006/relationships/image" Target="../media/image3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466725</xdr:colOff>
      <xdr:row>20</xdr:row>
      <xdr:rowOff>19050</xdr:rowOff>
    </xdr:from>
    <xdr:to>
      <xdr:col>4</xdr:col>
      <xdr:colOff>257175</xdr:colOff>
      <xdr:row>24</xdr:row>
      <xdr:rowOff>47625</xdr:rowOff>
    </xdr:to>
    <xdr:pic>
      <xdr:nvPicPr>
        <xdr:cNvPr id="1" name="CmdIntro1"/>
        <xdr:cNvPicPr preferRelativeResize="1">
          <a:picLocks noChangeAspect="1"/>
        </xdr:cNvPicPr>
      </xdr:nvPicPr>
      <xdr:blipFill>
        <a:blip r:embed="rId1"/>
        <a:stretch>
          <a:fillRect/>
        </a:stretch>
      </xdr:blipFill>
      <xdr:spPr>
        <a:xfrm>
          <a:off x="1685925" y="3514725"/>
          <a:ext cx="1009650" cy="676275"/>
        </a:xfrm>
        <a:prstGeom prst="rect">
          <a:avLst/>
        </a:prstGeom>
        <a:noFill/>
        <a:ln w="9525" cmpd="sng">
          <a:noFill/>
        </a:ln>
      </xdr:spPr>
    </xdr:pic>
    <xdr:clientData/>
  </xdr:twoCellAnchor>
  <xdr:twoCellAnchor editAs="oneCell">
    <xdr:from>
      <xdr:col>4</xdr:col>
      <xdr:colOff>419100</xdr:colOff>
      <xdr:row>20</xdr:row>
      <xdr:rowOff>19050</xdr:rowOff>
    </xdr:from>
    <xdr:to>
      <xdr:col>6</xdr:col>
      <xdr:colOff>209550</xdr:colOff>
      <xdr:row>24</xdr:row>
      <xdr:rowOff>47625</xdr:rowOff>
    </xdr:to>
    <xdr:pic>
      <xdr:nvPicPr>
        <xdr:cNvPr id="2" name="CmdIntro2"/>
        <xdr:cNvPicPr preferRelativeResize="1">
          <a:picLocks noChangeAspect="1"/>
        </xdr:cNvPicPr>
      </xdr:nvPicPr>
      <xdr:blipFill>
        <a:blip r:embed="rId2"/>
        <a:stretch>
          <a:fillRect/>
        </a:stretch>
      </xdr:blipFill>
      <xdr:spPr>
        <a:xfrm>
          <a:off x="2857500" y="3514725"/>
          <a:ext cx="1009650" cy="676275"/>
        </a:xfrm>
        <a:prstGeom prst="rect">
          <a:avLst/>
        </a:prstGeom>
        <a:noFill/>
        <a:ln w="9525" cmpd="sng">
          <a:noFill/>
        </a:ln>
      </xdr:spPr>
    </xdr:pic>
    <xdr:clientData/>
  </xdr:twoCellAnchor>
  <xdr:twoCellAnchor editAs="oneCell">
    <xdr:from>
      <xdr:col>6</xdr:col>
      <xdr:colOff>371475</xdr:colOff>
      <xdr:row>20</xdr:row>
      <xdr:rowOff>19050</xdr:rowOff>
    </xdr:from>
    <xdr:to>
      <xdr:col>8</xdr:col>
      <xdr:colOff>161925</xdr:colOff>
      <xdr:row>24</xdr:row>
      <xdr:rowOff>47625</xdr:rowOff>
    </xdr:to>
    <xdr:pic>
      <xdr:nvPicPr>
        <xdr:cNvPr id="3" name="CmdIntro3"/>
        <xdr:cNvPicPr preferRelativeResize="1">
          <a:picLocks noChangeAspect="1"/>
        </xdr:cNvPicPr>
      </xdr:nvPicPr>
      <xdr:blipFill>
        <a:blip r:embed="rId3"/>
        <a:stretch>
          <a:fillRect/>
        </a:stretch>
      </xdr:blipFill>
      <xdr:spPr>
        <a:xfrm>
          <a:off x="4029075" y="3514725"/>
          <a:ext cx="1009650" cy="676275"/>
        </a:xfrm>
        <a:prstGeom prst="rect">
          <a:avLst/>
        </a:prstGeom>
        <a:noFill/>
        <a:ln w="9525" cmpd="sng">
          <a:noFill/>
        </a:ln>
      </xdr:spPr>
    </xdr:pic>
    <xdr:clientData/>
  </xdr:twoCellAnchor>
  <xdr:twoCellAnchor editAs="oneCell">
    <xdr:from>
      <xdr:col>8</xdr:col>
      <xdr:colOff>342900</xdr:colOff>
      <xdr:row>20</xdr:row>
      <xdr:rowOff>19050</xdr:rowOff>
    </xdr:from>
    <xdr:to>
      <xdr:col>10</xdr:col>
      <xdr:colOff>133350</xdr:colOff>
      <xdr:row>24</xdr:row>
      <xdr:rowOff>47625</xdr:rowOff>
    </xdr:to>
    <xdr:pic>
      <xdr:nvPicPr>
        <xdr:cNvPr id="4" name="CmdIntro4"/>
        <xdr:cNvPicPr preferRelativeResize="1">
          <a:picLocks noChangeAspect="1"/>
        </xdr:cNvPicPr>
      </xdr:nvPicPr>
      <xdr:blipFill>
        <a:blip r:embed="rId4"/>
        <a:stretch>
          <a:fillRect/>
        </a:stretch>
      </xdr:blipFill>
      <xdr:spPr>
        <a:xfrm>
          <a:off x="5219700" y="3514725"/>
          <a:ext cx="1009650" cy="676275"/>
        </a:xfrm>
        <a:prstGeom prst="rect">
          <a:avLst/>
        </a:prstGeom>
        <a:noFill/>
        <a:ln w="9525" cmpd="sng">
          <a:noFill/>
        </a:ln>
      </xdr:spPr>
    </xdr:pic>
    <xdr:clientData/>
  </xdr:twoCellAnchor>
  <xdr:twoCellAnchor editAs="oneCell">
    <xdr:from>
      <xdr:col>10</xdr:col>
      <xdr:colOff>314325</xdr:colOff>
      <xdr:row>20</xdr:row>
      <xdr:rowOff>19050</xdr:rowOff>
    </xdr:from>
    <xdr:to>
      <xdr:col>12</xdr:col>
      <xdr:colOff>104775</xdr:colOff>
      <xdr:row>24</xdr:row>
      <xdr:rowOff>47625</xdr:rowOff>
    </xdr:to>
    <xdr:pic>
      <xdr:nvPicPr>
        <xdr:cNvPr id="5" name="CmdIntro5"/>
        <xdr:cNvPicPr preferRelativeResize="1">
          <a:picLocks noChangeAspect="1"/>
        </xdr:cNvPicPr>
      </xdr:nvPicPr>
      <xdr:blipFill>
        <a:blip r:embed="rId5"/>
        <a:stretch>
          <a:fillRect/>
        </a:stretch>
      </xdr:blipFill>
      <xdr:spPr>
        <a:xfrm>
          <a:off x="6410325" y="3514725"/>
          <a:ext cx="1009650" cy="676275"/>
        </a:xfrm>
        <a:prstGeom prst="rect">
          <a:avLst/>
        </a:prstGeom>
        <a:noFill/>
        <a:ln w="9525" cmpd="sng">
          <a:noFill/>
        </a:ln>
      </xdr:spPr>
    </xdr:pic>
    <xdr:clientData/>
  </xdr:twoCellAnchor>
  <xdr:twoCellAnchor editAs="oneCell">
    <xdr:from>
      <xdr:col>6</xdr:col>
      <xdr:colOff>190500</xdr:colOff>
      <xdr:row>25</xdr:row>
      <xdr:rowOff>38100</xdr:rowOff>
    </xdr:from>
    <xdr:to>
      <xdr:col>8</xdr:col>
      <xdr:colOff>371475</xdr:colOff>
      <xdr:row>28</xdr:row>
      <xdr:rowOff>47625</xdr:rowOff>
    </xdr:to>
    <xdr:pic>
      <xdr:nvPicPr>
        <xdr:cNvPr id="6" name="CmdIntro6"/>
        <xdr:cNvPicPr preferRelativeResize="1">
          <a:picLocks noChangeAspect="1"/>
        </xdr:cNvPicPr>
      </xdr:nvPicPr>
      <xdr:blipFill>
        <a:blip r:embed="rId6"/>
        <a:stretch>
          <a:fillRect/>
        </a:stretch>
      </xdr:blipFill>
      <xdr:spPr>
        <a:xfrm>
          <a:off x="3848100" y="4343400"/>
          <a:ext cx="1400175" cy="495300"/>
        </a:xfrm>
        <a:prstGeom prst="rect">
          <a:avLst/>
        </a:prstGeom>
        <a:noFill/>
        <a:ln w="9525" cmpd="sng">
          <a:noFill/>
        </a:ln>
      </xdr:spPr>
    </xdr:pic>
    <xdr:clientData/>
  </xdr:twoCellAnchor>
  <xdr:twoCellAnchor>
    <xdr:from>
      <xdr:col>6</xdr:col>
      <xdr:colOff>123825</xdr:colOff>
      <xdr:row>6</xdr:row>
      <xdr:rowOff>9525</xdr:rowOff>
    </xdr:from>
    <xdr:to>
      <xdr:col>8</xdr:col>
      <xdr:colOff>371475</xdr:colOff>
      <xdr:row>15</xdr:row>
      <xdr:rowOff>66675</xdr:rowOff>
    </xdr:to>
    <xdr:pic>
      <xdr:nvPicPr>
        <xdr:cNvPr id="7" name="Picture 7"/>
        <xdr:cNvPicPr preferRelativeResize="1">
          <a:picLocks noChangeAspect="1"/>
        </xdr:cNvPicPr>
      </xdr:nvPicPr>
      <xdr:blipFill>
        <a:blip r:embed="rId7"/>
        <a:stretch>
          <a:fillRect/>
        </a:stretch>
      </xdr:blipFill>
      <xdr:spPr>
        <a:xfrm>
          <a:off x="3781425" y="1238250"/>
          <a:ext cx="1466850" cy="1514475"/>
        </a:xfrm>
        <a:prstGeom prst="rect">
          <a:avLst/>
        </a:prstGeom>
        <a:solidFill>
          <a:srgbClr val="33CCCC"/>
        </a:solidFill>
        <a:ln w="9525" cmpd="sng">
          <a:noFill/>
        </a:ln>
      </xdr:spPr>
    </xdr:pic>
    <xdr:clientData fLocksWithSheet="0"/>
  </xdr:twoCellAnchor>
  <xdr:twoCellAnchor editAs="oneCell">
    <xdr:from>
      <xdr:col>3</xdr:col>
      <xdr:colOff>0</xdr:colOff>
      <xdr:row>18</xdr:row>
      <xdr:rowOff>28575</xdr:rowOff>
    </xdr:from>
    <xdr:to>
      <xdr:col>4</xdr:col>
      <xdr:colOff>133350</xdr:colOff>
      <xdr:row>19</xdr:row>
      <xdr:rowOff>57150</xdr:rowOff>
    </xdr:to>
    <xdr:pic>
      <xdr:nvPicPr>
        <xdr:cNvPr id="8" name="lbl1"/>
        <xdr:cNvPicPr preferRelativeResize="1">
          <a:picLocks noChangeAspect="1"/>
        </xdr:cNvPicPr>
      </xdr:nvPicPr>
      <xdr:blipFill>
        <a:blip r:embed="rId8"/>
        <a:stretch>
          <a:fillRect/>
        </a:stretch>
      </xdr:blipFill>
      <xdr:spPr>
        <a:xfrm>
          <a:off x="1828800" y="3200400"/>
          <a:ext cx="742950" cy="190500"/>
        </a:xfrm>
        <a:prstGeom prst="rect">
          <a:avLst/>
        </a:prstGeom>
        <a:noFill/>
        <a:ln w="9525" cmpd="sng">
          <a:noFill/>
        </a:ln>
      </xdr:spPr>
    </xdr:pic>
    <xdr:clientData/>
  </xdr:twoCellAnchor>
  <xdr:twoCellAnchor editAs="oneCell">
    <xdr:from>
      <xdr:col>4</xdr:col>
      <xdr:colOff>552450</xdr:colOff>
      <xdr:row>18</xdr:row>
      <xdr:rowOff>28575</xdr:rowOff>
    </xdr:from>
    <xdr:to>
      <xdr:col>6</xdr:col>
      <xdr:colOff>76200</xdr:colOff>
      <xdr:row>19</xdr:row>
      <xdr:rowOff>57150</xdr:rowOff>
    </xdr:to>
    <xdr:pic>
      <xdr:nvPicPr>
        <xdr:cNvPr id="9" name="lbl2"/>
        <xdr:cNvPicPr preferRelativeResize="1">
          <a:picLocks noChangeAspect="1"/>
        </xdr:cNvPicPr>
      </xdr:nvPicPr>
      <xdr:blipFill>
        <a:blip r:embed="rId9"/>
        <a:stretch>
          <a:fillRect/>
        </a:stretch>
      </xdr:blipFill>
      <xdr:spPr>
        <a:xfrm>
          <a:off x="2990850" y="3200400"/>
          <a:ext cx="742950" cy="190500"/>
        </a:xfrm>
        <a:prstGeom prst="rect">
          <a:avLst/>
        </a:prstGeom>
        <a:noFill/>
        <a:ln w="9525" cmpd="sng">
          <a:noFill/>
        </a:ln>
      </xdr:spPr>
    </xdr:pic>
    <xdr:clientData/>
  </xdr:twoCellAnchor>
  <xdr:twoCellAnchor editAs="oneCell">
    <xdr:from>
      <xdr:col>6</xdr:col>
      <xdr:colOff>504825</xdr:colOff>
      <xdr:row>18</xdr:row>
      <xdr:rowOff>28575</xdr:rowOff>
    </xdr:from>
    <xdr:to>
      <xdr:col>8</xdr:col>
      <xdr:colOff>28575</xdr:colOff>
      <xdr:row>19</xdr:row>
      <xdr:rowOff>57150</xdr:rowOff>
    </xdr:to>
    <xdr:pic>
      <xdr:nvPicPr>
        <xdr:cNvPr id="10" name="lbl3"/>
        <xdr:cNvPicPr preferRelativeResize="1">
          <a:picLocks noChangeAspect="1"/>
        </xdr:cNvPicPr>
      </xdr:nvPicPr>
      <xdr:blipFill>
        <a:blip r:embed="rId10"/>
        <a:stretch>
          <a:fillRect/>
        </a:stretch>
      </xdr:blipFill>
      <xdr:spPr>
        <a:xfrm>
          <a:off x="4162425" y="3200400"/>
          <a:ext cx="742950" cy="190500"/>
        </a:xfrm>
        <a:prstGeom prst="rect">
          <a:avLst/>
        </a:prstGeom>
        <a:noFill/>
        <a:ln w="9525" cmpd="sng">
          <a:noFill/>
        </a:ln>
      </xdr:spPr>
    </xdr:pic>
    <xdr:clientData/>
  </xdr:twoCellAnchor>
  <xdr:twoCellAnchor editAs="oneCell">
    <xdr:from>
      <xdr:col>8</xdr:col>
      <xdr:colOff>476250</xdr:colOff>
      <xdr:row>18</xdr:row>
      <xdr:rowOff>28575</xdr:rowOff>
    </xdr:from>
    <xdr:to>
      <xdr:col>10</xdr:col>
      <xdr:colOff>0</xdr:colOff>
      <xdr:row>19</xdr:row>
      <xdr:rowOff>57150</xdr:rowOff>
    </xdr:to>
    <xdr:pic>
      <xdr:nvPicPr>
        <xdr:cNvPr id="11" name="lbl4"/>
        <xdr:cNvPicPr preferRelativeResize="1">
          <a:picLocks noChangeAspect="1"/>
        </xdr:cNvPicPr>
      </xdr:nvPicPr>
      <xdr:blipFill>
        <a:blip r:embed="rId11"/>
        <a:stretch>
          <a:fillRect/>
        </a:stretch>
      </xdr:blipFill>
      <xdr:spPr>
        <a:xfrm>
          <a:off x="5353050" y="3200400"/>
          <a:ext cx="742950" cy="190500"/>
        </a:xfrm>
        <a:prstGeom prst="rect">
          <a:avLst/>
        </a:prstGeom>
        <a:noFill/>
        <a:ln w="9525" cmpd="sng">
          <a:noFill/>
        </a:ln>
      </xdr:spPr>
    </xdr:pic>
    <xdr:clientData/>
  </xdr:twoCellAnchor>
  <xdr:twoCellAnchor editAs="oneCell">
    <xdr:from>
      <xdr:col>10</xdr:col>
      <xdr:colOff>438150</xdr:colOff>
      <xdr:row>18</xdr:row>
      <xdr:rowOff>28575</xdr:rowOff>
    </xdr:from>
    <xdr:to>
      <xdr:col>11</xdr:col>
      <xdr:colOff>571500</xdr:colOff>
      <xdr:row>19</xdr:row>
      <xdr:rowOff>57150</xdr:rowOff>
    </xdr:to>
    <xdr:pic>
      <xdr:nvPicPr>
        <xdr:cNvPr id="12" name="lbl5"/>
        <xdr:cNvPicPr preferRelativeResize="1">
          <a:picLocks noChangeAspect="1"/>
        </xdr:cNvPicPr>
      </xdr:nvPicPr>
      <xdr:blipFill>
        <a:blip r:embed="rId12"/>
        <a:stretch>
          <a:fillRect/>
        </a:stretch>
      </xdr:blipFill>
      <xdr:spPr>
        <a:xfrm>
          <a:off x="6534150" y="3200400"/>
          <a:ext cx="742950" cy="190500"/>
        </a:xfrm>
        <a:prstGeom prst="rect">
          <a:avLst/>
        </a:prstGeom>
        <a:noFill/>
        <a:ln w="9525" cmpd="sng">
          <a:noFill/>
        </a:ln>
      </xdr:spPr>
    </xdr:pic>
    <xdr:clientData/>
  </xdr:twoCellAnchor>
  <xdr:twoCellAnchor editAs="oneCell">
    <xdr:from>
      <xdr:col>9</xdr:col>
      <xdr:colOff>95250</xdr:colOff>
      <xdr:row>25</xdr:row>
      <xdr:rowOff>38100</xdr:rowOff>
    </xdr:from>
    <xdr:to>
      <xdr:col>11</xdr:col>
      <xdr:colOff>276225</xdr:colOff>
      <xdr:row>28</xdr:row>
      <xdr:rowOff>47625</xdr:rowOff>
    </xdr:to>
    <xdr:pic>
      <xdr:nvPicPr>
        <xdr:cNvPr id="13" name="CmdIntro7"/>
        <xdr:cNvPicPr preferRelativeResize="1">
          <a:picLocks noChangeAspect="1"/>
        </xdr:cNvPicPr>
      </xdr:nvPicPr>
      <xdr:blipFill>
        <a:blip r:embed="rId13"/>
        <a:stretch>
          <a:fillRect/>
        </a:stretch>
      </xdr:blipFill>
      <xdr:spPr>
        <a:xfrm>
          <a:off x="5581650" y="4343400"/>
          <a:ext cx="1400175" cy="495300"/>
        </a:xfrm>
        <a:prstGeom prst="rect">
          <a:avLst/>
        </a:prstGeom>
        <a:noFill/>
        <a:ln w="9525" cmpd="sng">
          <a:noFill/>
        </a:ln>
      </xdr:spPr>
    </xdr:pic>
    <xdr:clientData/>
  </xdr:twoCellAnchor>
  <xdr:twoCellAnchor editAs="oneCell">
    <xdr:from>
      <xdr:col>3</xdr:col>
      <xdr:colOff>228600</xdr:colOff>
      <xdr:row>25</xdr:row>
      <xdr:rowOff>38100</xdr:rowOff>
    </xdr:from>
    <xdr:to>
      <xdr:col>5</xdr:col>
      <xdr:colOff>409575</xdr:colOff>
      <xdr:row>28</xdr:row>
      <xdr:rowOff>47625</xdr:rowOff>
    </xdr:to>
    <xdr:pic>
      <xdr:nvPicPr>
        <xdr:cNvPr id="14" name="CmdIntro8"/>
        <xdr:cNvPicPr preferRelativeResize="1">
          <a:picLocks noChangeAspect="1"/>
        </xdr:cNvPicPr>
      </xdr:nvPicPr>
      <xdr:blipFill>
        <a:blip r:embed="rId14"/>
        <a:stretch>
          <a:fillRect/>
        </a:stretch>
      </xdr:blipFill>
      <xdr:spPr>
        <a:xfrm>
          <a:off x="2057400" y="4343400"/>
          <a:ext cx="140017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7</xdr:row>
      <xdr:rowOff>28575</xdr:rowOff>
    </xdr:from>
    <xdr:to>
      <xdr:col>0</xdr:col>
      <xdr:colOff>3419475</xdr:colOff>
      <xdr:row>12</xdr:row>
      <xdr:rowOff>0</xdr:rowOff>
    </xdr:to>
    <xdr:pic>
      <xdr:nvPicPr>
        <xdr:cNvPr id="1" name="Picture 1"/>
        <xdr:cNvPicPr preferRelativeResize="1">
          <a:picLocks noChangeAspect="1"/>
        </xdr:cNvPicPr>
      </xdr:nvPicPr>
      <xdr:blipFill>
        <a:blip r:embed="rId1"/>
        <a:stretch>
          <a:fillRect/>
        </a:stretch>
      </xdr:blipFill>
      <xdr:spPr>
        <a:xfrm>
          <a:off x="38100" y="1952625"/>
          <a:ext cx="3381375" cy="1009650"/>
        </a:xfrm>
        <a:prstGeom prst="rect">
          <a:avLst/>
        </a:prstGeom>
        <a:noFill/>
        <a:ln w="6350" cmpd="sng">
          <a:solidFill>
            <a:srgbClr val="000000"/>
          </a:solidFill>
          <a:headEnd type="none"/>
          <a:tailEnd type="none"/>
        </a:ln>
      </xdr:spPr>
    </xdr:pic>
    <xdr:clientData/>
  </xdr:twoCellAnchor>
  <xdr:twoCellAnchor editAs="oneCell">
    <xdr:from>
      <xdr:col>0</xdr:col>
      <xdr:colOff>38100</xdr:colOff>
      <xdr:row>84</xdr:row>
      <xdr:rowOff>28575</xdr:rowOff>
    </xdr:from>
    <xdr:to>
      <xdr:col>0</xdr:col>
      <xdr:colOff>3419475</xdr:colOff>
      <xdr:row>88</xdr:row>
      <xdr:rowOff>38100</xdr:rowOff>
    </xdr:to>
    <xdr:pic>
      <xdr:nvPicPr>
        <xdr:cNvPr id="2" name="Picture 2"/>
        <xdr:cNvPicPr preferRelativeResize="1">
          <a:picLocks noChangeAspect="1"/>
        </xdr:cNvPicPr>
      </xdr:nvPicPr>
      <xdr:blipFill>
        <a:blip r:embed="rId2"/>
        <a:stretch>
          <a:fillRect/>
        </a:stretch>
      </xdr:blipFill>
      <xdr:spPr>
        <a:xfrm>
          <a:off x="38100" y="21888450"/>
          <a:ext cx="3381375" cy="809625"/>
        </a:xfrm>
        <a:prstGeom prst="rect">
          <a:avLst/>
        </a:prstGeom>
        <a:noFill/>
        <a:ln w="6350" cmpd="sng">
          <a:solidFill>
            <a:srgbClr val="000000"/>
          </a:solidFill>
          <a:headEnd type="none"/>
          <a:tailEnd type="none"/>
        </a:ln>
      </xdr:spPr>
    </xdr:pic>
    <xdr:clientData/>
  </xdr:twoCellAnchor>
  <xdr:twoCellAnchor editAs="oneCell">
    <xdr:from>
      <xdr:col>0</xdr:col>
      <xdr:colOff>38100</xdr:colOff>
      <xdr:row>96</xdr:row>
      <xdr:rowOff>28575</xdr:rowOff>
    </xdr:from>
    <xdr:to>
      <xdr:col>0</xdr:col>
      <xdr:colOff>3419475</xdr:colOff>
      <xdr:row>100</xdr:row>
      <xdr:rowOff>38100</xdr:rowOff>
    </xdr:to>
    <xdr:pic>
      <xdr:nvPicPr>
        <xdr:cNvPr id="3" name="Picture 4"/>
        <xdr:cNvPicPr preferRelativeResize="1">
          <a:picLocks noChangeAspect="1"/>
        </xdr:cNvPicPr>
      </xdr:nvPicPr>
      <xdr:blipFill>
        <a:blip r:embed="rId3"/>
        <a:stretch>
          <a:fillRect/>
        </a:stretch>
      </xdr:blipFill>
      <xdr:spPr>
        <a:xfrm>
          <a:off x="38100" y="24288750"/>
          <a:ext cx="3381375" cy="809625"/>
        </a:xfrm>
        <a:prstGeom prst="rect">
          <a:avLst/>
        </a:prstGeom>
        <a:noFill/>
        <a:ln w="6350" cmpd="sng">
          <a:solidFill>
            <a:srgbClr val="000000"/>
          </a:solidFill>
          <a:headEnd type="none"/>
          <a:tailEnd type="none"/>
        </a:ln>
      </xdr:spPr>
    </xdr:pic>
    <xdr:clientData/>
  </xdr:twoCellAnchor>
  <xdr:twoCellAnchor>
    <xdr:from>
      <xdr:col>0</xdr:col>
      <xdr:colOff>638175</xdr:colOff>
      <xdr:row>1</xdr:row>
      <xdr:rowOff>9525</xdr:rowOff>
    </xdr:from>
    <xdr:to>
      <xdr:col>0</xdr:col>
      <xdr:colOff>1952625</xdr:colOff>
      <xdr:row>2</xdr:row>
      <xdr:rowOff>47625</xdr:rowOff>
    </xdr:to>
    <xdr:pic>
      <xdr:nvPicPr>
        <xdr:cNvPr id="4" name="CommandButton1"/>
        <xdr:cNvPicPr preferRelativeResize="1">
          <a:picLocks noChangeAspect="1"/>
        </xdr:cNvPicPr>
      </xdr:nvPicPr>
      <xdr:blipFill>
        <a:blip r:embed="rId4"/>
        <a:stretch>
          <a:fillRect/>
        </a:stretch>
      </xdr:blipFill>
      <xdr:spPr>
        <a:xfrm>
          <a:off x="638175" y="409575"/>
          <a:ext cx="1314450" cy="238125"/>
        </a:xfrm>
        <a:prstGeom prst="rect">
          <a:avLst/>
        </a:prstGeom>
        <a:noFill/>
        <a:ln w="9525" cmpd="sng">
          <a:noFill/>
        </a:ln>
      </xdr:spPr>
    </xdr:pic>
    <xdr:clientData/>
  </xdr:twoCellAnchor>
  <xdr:twoCellAnchor>
    <xdr:from>
      <xdr:col>0</xdr:col>
      <xdr:colOff>2400300</xdr:colOff>
      <xdr:row>43</xdr:row>
      <xdr:rowOff>9525</xdr:rowOff>
    </xdr:from>
    <xdr:to>
      <xdr:col>0</xdr:col>
      <xdr:colOff>3714750</xdr:colOff>
      <xdr:row>44</xdr:row>
      <xdr:rowOff>47625</xdr:rowOff>
    </xdr:to>
    <xdr:pic>
      <xdr:nvPicPr>
        <xdr:cNvPr id="5" name="CommandButton2"/>
        <xdr:cNvPicPr preferRelativeResize="1">
          <a:picLocks noChangeAspect="1"/>
        </xdr:cNvPicPr>
      </xdr:nvPicPr>
      <xdr:blipFill>
        <a:blip r:embed="rId5"/>
        <a:stretch>
          <a:fillRect/>
        </a:stretch>
      </xdr:blipFill>
      <xdr:spPr>
        <a:xfrm>
          <a:off x="2400300" y="11068050"/>
          <a:ext cx="1314450" cy="238125"/>
        </a:xfrm>
        <a:prstGeom prst="rect">
          <a:avLst/>
        </a:prstGeom>
        <a:noFill/>
        <a:ln w="9525" cmpd="sng">
          <a:noFill/>
        </a:ln>
      </xdr:spPr>
    </xdr:pic>
    <xdr:clientData/>
  </xdr:twoCellAnchor>
  <xdr:twoCellAnchor>
    <xdr:from>
      <xdr:col>0</xdr:col>
      <xdr:colOff>2181225</xdr:colOff>
      <xdr:row>243</xdr:row>
      <xdr:rowOff>142875</xdr:rowOff>
    </xdr:from>
    <xdr:to>
      <xdr:col>0</xdr:col>
      <xdr:colOff>3495675</xdr:colOff>
      <xdr:row>245</xdr:row>
      <xdr:rowOff>19050</xdr:rowOff>
    </xdr:to>
    <xdr:pic>
      <xdr:nvPicPr>
        <xdr:cNvPr id="6" name="CommandButton3"/>
        <xdr:cNvPicPr preferRelativeResize="1">
          <a:picLocks noChangeAspect="1"/>
        </xdr:cNvPicPr>
      </xdr:nvPicPr>
      <xdr:blipFill>
        <a:blip r:embed="rId6"/>
        <a:stretch>
          <a:fillRect/>
        </a:stretch>
      </xdr:blipFill>
      <xdr:spPr>
        <a:xfrm>
          <a:off x="2181225" y="62179200"/>
          <a:ext cx="1304925" cy="238125"/>
        </a:xfrm>
        <a:prstGeom prst="rect">
          <a:avLst/>
        </a:prstGeom>
        <a:noFill/>
        <a:ln w="9525" cmpd="sng">
          <a:noFill/>
        </a:ln>
      </xdr:spPr>
    </xdr:pic>
    <xdr:clientData/>
  </xdr:twoCellAnchor>
  <xdr:twoCellAnchor>
    <xdr:from>
      <xdr:col>0</xdr:col>
      <xdr:colOff>1743075</xdr:colOff>
      <xdr:row>60</xdr:row>
      <xdr:rowOff>0</xdr:rowOff>
    </xdr:from>
    <xdr:to>
      <xdr:col>0</xdr:col>
      <xdr:colOff>3057525</xdr:colOff>
      <xdr:row>61</xdr:row>
      <xdr:rowOff>38100</xdr:rowOff>
    </xdr:to>
    <xdr:pic>
      <xdr:nvPicPr>
        <xdr:cNvPr id="7" name="CommandButton4"/>
        <xdr:cNvPicPr preferRelativeResize="1">
          <a:picLocks noChangeAspect="1"/>
        </xdr:cNvPicPr>
      </xdr:nvPicPr>
      <xdr:blipFill>
        <a:blip r:embed="rId7"/>
        <a:stretch>
          <a:fillRect/>
        </a:stretch>
      </xdr:blipFill>
      <xdr:spPr>
        <a:xfrm>
          <a:off x="1743075" y="15401925"/>
          <a:ext cx="1314450" cy="238125"/>
        </a:xfrm>
        <a:prstGeom prst="rect">
          <a:avLst/>
        </a:prstGeom>
        <a:noFill/>
        <a:ln w="9525" cmpd="sng">
          <a:noFill/>
        </a:ln>
      </xdr:spPr>
    </xdr:pic>
    <xdr:clientData/>
  </xdr:twoCellAnchor>
  <xdr:twoCellAnchor>
    <xdr:from>
      <xdr:col>0</xdr:col>
      <xdr:colOff>2886075</xdr:colOff>
      <xdr:row>103</xdr:row>
      <xdr:rowOff>142875</xdr:rowOff>
    </xdr:from>
    <xdr:to>
      <xdr:col>0</xdr:col>
      <xdr:colOff>4200525</xdr:colOff>
      <xdr:row>105</xdr:row>
      <xdr:rowOff>19050</xdr:rowOff>
    </xdr:to>
    <xdr:pic>
      <xdr:nvPicPr>
        <xdr:cNvPr id="8" name="CommandButton5"/>
        <xdr:cNvPicPr preferRelativeResize="1">
          <a:picLocks noChangeAspect="1"/>
        </xdr:cNvPicPr>
      </xdr:nvPicPr>
      <xdr:blipFill>
        <a:blip r:embed="rId8"/>
        <a:stretch>
          <a:fillRect/>
        </a:stretch>
      </xdr:blipFill>
      <xdr:spPr>
        <a:xfrm>
          <a:off x="2886075" y="26222325"/>
          <a:ext cx="1314450" cy="238125"/>
        </a:xfrm>
        <a:prstGeom prst="rect">
          <a:avLst/>
        </a:prstGeom>
        <a:noFill/>
        <a:ln w="9525" cmpd="sng">
          <a:noFill/>
        </a:ln>
      </xdr:spPr>
    </xdr:pic>
    <xdr:clientData/>
  </xdr:twoCellAnchor>
  <xdr:twoCellAnchor>
    <xdr:from>
      <xdr:col>0</xdr:col>
      <xdr:colOff>1047750</xdr:colOff>
      <xdr:row>274</xdr:row>
      <xdr:rowOff>0</xdr:rowOff>
    </xdr:from>
    <xdr:to>
      <xdr:col>0</xdr:col>
      <xdr:colOff>2362200</xdr:colOff>
      <xdr:row>275</xdr:row>
      <xdr:rowOff>38100</xdr:rowOff>
    </xdr:to>
    <xdr:pic>
      <xdr:nvPicPr>
        <xdr:cNvPr id="9" name="CommandButton6"/>
        <xdr:cNvPicPr preferRelativeResize="1">
          <a:picLocks noChangeAspect="1"/>
        </xdr:cNvPicPr>
      </xdr:nvPicPr>
      <xdr:blipFill>
        <a:blip r:embed="rId9"/>
        <a:stretch>
          <a:fillRect/>
        </a:stretch>
      </xdr:blipFill>
      <xdr:spPr>
        <a:xfrm>
          <a:off x="1047750" y="72066150"/>
          <a:ext cx="1304925" cy="238125"/>
        </a:xfrm>
        <a:prstGeom prst="rect">
          <a:avLst/>
        </a:prstGeom>
        <a:noFill/>
        <a:ln w="9525" cmpd="sng">
          <a:noFill/>
        </a:ln>
      </xdr:spPr>
    </xdr:pic>
    <xdr:clientData/>
  </xdr:twoCellAnchor>
  <xdr:twoCellAnchor>
    <xdr:from>
      <xdr:col>0</xdr:col>
      <xdr:colOff>28575</xdr:colOff>
      <xdr:row>90</xdr:row>
      <xdr:rowOff>28575</xdr:rowOff>
    </xdr:from>
    <xdr:to>
      <xdr:col>0</xdr:col>
      <xdr:colOff>3457575</xdr:colOff>
      <xdr:row>94</xdr:row>
      <xdr:rowOff>38100</xdr:rowOff>
    </xdr:to>
    <xdr:pic>
      <xdr:nvPicPr>
        <xdr:cNvPr id="10" name="Picture 21"/>
        <xdr:cNvPicPr preferRelativeResize="1">
          <a:picLocks noChangeAspect="1"/>
        </xdr:cNvPicPr>
      </xdr:nvPicPr>
      <xdr:blipFill>
        <a:blip r:embed="rId10"/>
        <a:stretch>
          <a:fillRect/>
        </a:stretch>
      </xdr:blipFill>
      <xdr:spPr>
        <a:xfrm>
          <a:off x="28575" y="23088600"/>
          <a:ext cx="3419475" cy="809625"/>
        </a:xfrm>
        <a:prstGeom prst="rect">
          <a:avLst/>
        </a:prstGeom>
        <a:noFill/>
        <a:ln w="3175" cmpd="sng">
          <a:solidFill>
            <a:srgbClr val="000000"/>
          </a:solidFill>
          <a:headEnd type="none"/>
          <a:tailEnd type="none"/>
        </a:ln>
      </xdr:spPr>
    </xdr:pic>
    <xdr:clientData/>
  </xdr:twoCellAnchor>
  <xdr:twoCellAnchor>
    <xdr:from>
      <xdr:col>0</xdr:col>
      <xdr:colOff>47625</xdr:colOff>
      <xdr:row>251</xdr:row>
      <xdr:rowOff>0</xdr:rowOff>
    </xdr:from>
    <xdr:to>
      <xdr:col>0</xdr:col>
      <xdr:colOff>4352925</xdr:colOff>
      <xdr:row>255</xdr:row>
      <xdr:rowOff>9525</xdr:rowOff>
    </xdr:to>
    <xdr:pic>
      <xdr:nvPicPr>
        <xdr:cNvPr id="11" name="Picture 31"/>
        <xdr:cNvPicPr preferRelativeResize="1">
          <a:picLocks noChangeAspect="1"/>
        </xdr:cNvPicPr>
      </xdr:nvPicPr>
      <xdr:blipFill>
        <a:blip r:embed="rId11"/>
        <a:stretch>
          <a:fillRect/>
        </a:stretch>
      </xdr:blipFill>
      <xdr:spPr>
        <a:xfrm>
          <a:off x="47625" y="64970025"/>
          <a:ext cx="4305300" cy="809625"/>
        </a:xfrm>
        <a:prstGeom prst="rect">
          <a:avLst/>
        </a:prstGeom>
        <a:noFill/>
        <a:ln w="3175" cmpd="sng">
          <a:solidFill>
            <a:srgbClr val="000000"/>
          </a:solidFill>
          <a:headEnd type="none"/>
          <a:tailEnd type="none"/>
        </a:ln>
      </xdr:spPr>
    </xdr:pic>
    <xdr:clientData/>
  </xdr:twoCellAnchor>
  <xdr:twoCellAnchor>
    <xdr:from>
      <xdr:col>0</xdr:col>
      <xdr:colOff>47625</xdr:colOff>
      <xdr:row>258</xdr:row>
      <xdr:rowOff>9525</xdr:rowOff>
    </xdr:from>
    <xdr:to>
      <xdr:col>0</xdr:col>
      <xdr:colOff>4352925</xdr:colOff>
      <xdr:row>262</xdr:row>
      <xdr:rowOff>19050</xdr:rowOff>
    </xdr:to>
    <xdr:pic>
      <xdr:nvPicPr>
        <xdr:cNvPr id="12" name="Picture 32"/>
        <xdr:cNvPicPr preferRelativeResize="1">
          <a:picLocks noChangeAspect="1"/>
        </xdr:cNvPicPr>
      </xdr:nvPicPr>
      <xdr:blipFill>
        <a:blip r:embed="rId12"/>
        <a:stretch>
          <a:fillRect/>
        </a:stretch>
      </xdr:blipFill>
      <xdr:spPr>
        <a:xfrm>
          <a:off x="47625" y="68094225"/>
          <a:ext cx="4305300" cy="809625"/>
        </a:xfrm>
        <a:prstGeom prst="rect">
          <a:avLst/>
        </a:prstGeom>
        <a:noFill/>
        <a:ln w="3175" cmpd="sng">
          <a:solidFill>
            <a:srgbClr val="000000"/>
          </a:solidFill>
          <a:headEnd type="none"/>
          <a:tailEnd type="none"/>
        </a:ln>
      </xdr:spPr>
    </xdr:pic>
    <xdr:clientData/>
  </xdr:twoCellAnchor>
  <xdr:twoCellAnchor editAs="oneCell">
    <xdr:from>
      <xdr:col>0</xdr:col>
      <xdr:colOff>47625</xdr:colOff>
      <xdr:row>265</xdr:row>
      <xdr:rowOff>9525</xdr:rowOff>
    </xdr:from>
    <xdr:to>
      <xdr:col>0</xdr:col>
      <xdr:colOff>4352925</xdr:colOff>
      <xdr:row>271</xdr:row>
      <xdr:rowOff>9525</xdr:rowOff>
    </xdr:to>
    <xdr:pic>
      <xdr:nvPicPr>
        <xdr:cNvPr id="13" name="Picture 33"/>
        <xdr:cNvPicPr preferRelativeResize="1">
          <a:picLocks noChangeAspect="1"/>
        </xdr:cNvPicPr>
      </xdr:nvPicPr>
      <xdr:blipFill>
        <a:blip r:embed="rId13"/>
        <a:stretch>
          <a:fillRect/>
        </a:stretch>
      </xdr:blipFill>
      <xdr:spPr>
        <a:xfrm>
          <a:off x="47625" y="70208775"/>
          <a:ext cx="4305300" cy="117157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289</xdr:row>
      <xdr:rowOff>95250</xdr:rowOff>
    </xdr:from>
    <xdr:to>
      <xdr:col>0</xdr:col>
      <xdr:colOff>3209925</xdr:colOff>
      <xdr:row>293</xdr:row>
      <xdr:rowOff>114300</xdr:rowOff>
    </xdr:to>
    <xdr:pic>
      <xdr:nvPicPr>
        <xdr:cNvPr id="14" name="Picture 44"/>
        <xdr:cNvPicPr preferRelativeResize="1">
          <a:picLocks noChangeAspect="1"/>
        </xdr:cNvPicPr>
      </xdr:nvPicPr>
      <xdr:blipFill>
        <a:blip r:embed="rId14"/>
        <a:stretch>
          <a:fillRect/>
        </a:stretch>
      </xdr:blipFill>
      <xdr:spPr>
        <a:xfrm>
          <a:off x="38100" y="77314425"/>
          <a:ext cx="3171825" cy="819150"/>
        </a:xfrm>
        <a:prstGeom prst="rect">
          <a:avLst/>
        </a:prstGeom>
        <a:noFill/>
        <a:ln w="1" cmpd="sng">
          <a:noFill/>
        </a:ln>
      </xdr:spPr>
    </xdr:pic>
    <xdr:clientData/>
  </xdr:twoCellAnchor>
  <xdr:twoCellAnchor editAs="oneCell">
    <xdr:from>
      <xdr:col>0</xdr:col>
      <xdr:colOff>0</xdr:colOff>
      <xdr:row>64</xdr:row>
      <xdr:rowOff>723900</xdr:rowOff>
    </xdr:from>
    <xdr:to>
      <xdr:col>0</xdr:col>
      <xdr:colOff>3371850</xdr:colOff>
      <xdr:row>67</xdr:row>
      <xdr:rowOff>0</xdr:rowOff>
    </xdr:to>
    <xdr:pic>
      <xdr:nvPicPr>
        <xdr:cNvPr id="15" name="Picture 46"/>
        <xdr:cNvPicPr preferRelativeResize="1">
          <a:picLocks noChangeAspect="1"/>
        </xdr:cNvPicPr>
      </xdr:nvPicPr>
      <xdr:blipFill>
        <a:blip r:embed="rId15"/>
        <a:stretch>
          <a:fillRect/>
        </a:stretch>
      </xdr:blipFill>
      <xdr:spPr>
        <a:xfrm>
          <a:off x="0" y="17535525"/>
          <a:ext cx="3371850" cy="409575"/>
        </a:xfrm>
        <a:prstGeom prst="rect">
          <a:avLst/>
        </a:prstGeom>
        <a:noFill/>
        <a:ln w="1" cmpd="sng">
          <a:noFill/>
        </a:ln>
      </xdr:spPr>
    </xdr:pic>
    <xdr:clientData/>
  </xdr:twoCellAnchor>
  <xdr:twoCellAnchor editAs="oneCell">
    <xdr:from>
      <xdr:col>0</xdr:col>
      <xdr:colOff>219075</xdr:colOff>
      <xdr:row>71</xdr:row>
      <xdr:rowOff>38100</xdr:rowOff>
    </xdr:from>
    <xdr:to>
      <xdr:col>0</xdr:col>
      <xdr:colOff>3590925</xdr:colOff>
      <xdr:row>73</xdr:row>
      <xdr:rowOff>47625</xdr:rowOff>
    </xdr:to>
    <xdr:pic>
      <xdr:nvPicPr>
        <xdr:cNvPr id="16" name="Picture 47"/>
        <xdr:cNvPicPr preferRelativeResize="1">
          <a:picLocks noChangeAspect="1"/>
        </xdr:cNvPicPr>
      </xdr:nvPicPr>
      <xdr:blipFill>
        <a:blip r:embed="rId16"/>
        <a:stretch>
          <a:fillRect/>
        </a:stretch>
      </xdr:blipFill>
      <xdr:spPr>
        <a:xfrm>
          <a:off x="219075" y="18992850"/>
          <a:ext cx="3371850" cy="409575"/>
        </a:xfrm>
        <a:prstGeom prst="rect">
          <a:avLst/>
        </a:prstGeom>
        <a:noFill/>
        <a:ln w="1" cmpd="sng">
          <a:noFill/>
        </a:ln>
      </xdr:spPr>
    </xdr:pic>
    <xdr:clientData/>
  </xdr:twoCellAnchor>
  <xdr:twoCellAnchor editAs="oneCell">
    <xdr:from>
      <xdr:col>0</xdr:col>
      <xdr:colOff>266700</xdr:colOff>
      <xdr:row>76</xdr:row>
      <xdr:rowOff>476250</xdr:rowOff>
    </xdr:from>
    <xdr:to>
      <xdr:col>0</xdr:col>
      <xdr:colOff>2190750</xdr:colOff>
      <xdr:row>79</xdr:row>
      <xdr:rowOff>66675</xdr:rowOff>
    </xdr:to>
    <xdr:pic>
      <xdr:nvPicPr>
        <xdr:cNvPr id="17" name="Picture 49"/>
        <xdr:cNvPicPr preferRelativeResize="1">
          <a:picLocks noChangeAspect="1"/>
        </xdr:cNvPicPr>
      </xdr:nvPicPr>
      <xdr:blipFill>
        <a:blip r:embed="rId17"/>
        <a:stretch>
          <a:fillRect/>
        </a:stretch>
      </xdr:blipFill>
      <xdr:spPr>
        <a:xfrm>
          <a:off x="266700" y="20345400"/>
          <a:ext cx="1924050" cy="4762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23</xdr:row>
      <xdr:rowOff>38100</xdr:rowOff>
    </xdr:from>
    <xdr:to>
      <xdr:col>2</xdr:col>
      <xdr:colOff>666750</xdr:colOff>
      <xdr:row>25</xdr:row>
      <xdr:rowOff>0</xdr:rowOff>
    </xdr:to>
    <xdr:pic>
      <xdr:nvPicPr>
        <xdr:cNvPr id="1" name="CommandButton1"/>
        <xdr:cNvPicPr preferRelativeResize="1">
          <a:picLocks noChangeAspect="1"/>
        </xdr:cNvPicPr>
      </xdr:nvPicPr>
      <xdr:blipFill>
        <a:blip r:embed="rId1"/>
        <a:stretch>
          <a:fillRect/>
        </a:stretch>
      </xdr:blipFill>
      <xdr:spPr>
        <a:xfrm>
          <a:off x="1266825" y="3990975"/>
          <a:ext cx="1285875" cy="285750"/>
        </a:xfrm>
        <a:prstGeom prst="rect">
          <a:avLst/>
        </a:prstGeom>
        <a:noFill/>
        <a:ln w="9525" cmpd="sng">
          <a:noFill/>
        </a:ln>
      </xdr:spPr>
    </xdr:pic>
    <xdr:clientData/>
  </xdr:twoCellAnchor>
  <xdr:twoCellAnchor>
    <xdr:from>
      <xdr:col>2</xdr:col>
      <xdr:colOff>657225</xdr:colOff>
      <xdr:row>23</xdr:row>
      <xdr:rowOff>38100</xdr:rowOff>
    </xdr:from>
    <xdr:to>
      <xdr:col>4</xdr:col>
      <xdr:colOff>400050</xdr:colOff>
      <xdr:row>25</xdr:row>
      <xdr:rowOff>0</xdr:rowOff>
    </xdr:to>
    <xdr:pic>
      <xdr:nvPicPr>
        <xdr:cNvPr id="2" name="CommandButton2"/>
        <xdr:cNvPicPr preferRelativeResize="1">
          <a:picLocks noChangeAspect="1"/>
        </xdr:cNvPicPr>
      </xdr:nvPicPr>
      <xdr:blipFill>
        <a:blip r:embed="rId2"/>
        <a:stretch>
          <a:fillRect/>
        </a:stretch>
      </xdr:blipFill>
      <xdr:spPr>
        <a:xfrm>
          <a:off x="2543175" y="3990975"/>
          <a:ext cx="1285875" cy="285750"/>
        </a:xfrm>
        <a:prstGeom prst="rect">
          <a:avLst/>
        </a:prstGeom>
        <a:noFill/>
        <a:ln w="9525" cmpd="sng">
          <a:noFill/>
        </a:ln>
      </xdr:spPr>
    </xdr:pic>
    <xdr:clientData/>
  </xdr:twoCellAnchor>
  <xdr:twoCellAnchor>
    <xdr:from>
      <xdr:col>4</xdr:col>
      <xdr:colOff>390525</xdr:colOff>
      <xdr:row>23</xdr:row>
      <xdr:rowOff>38100</xdr:rowOff>
    </xdr:from>
    <xdr:to>
      <xdr:col>6</xdr:col>
      <xdr:colOff>95250</xdr:colOff>
      <xdr:row>25</xdr:row>
      <xdr:rowOff>0</xdr:rowOff>
    </xdr:to>
    <xdr:pic>
      <xdr:nvPicPr>
        <xdr:cNvPr id="3" name="CommandButton3"/>
        <xdr:cNvPicPr preferRelativeResize="1">
          <a:picLocks noChangeAspect="1"/>
        </xdr:cNvPicPr>
      </xdr:nvPicPr>
      <xdr:blipFill>
        <a:blip r:embed="rId3"/>
        <a:stretch>
          <a:fillRect/>
        </a:stretch>
      </xdr:blipFill>
      <xdr:spPr>
        <a:xfrm>
          <a:off x="3819525" y="3990975"/>
          <a:ext cx="1285875" cy="285750"/>
        </a:xfrm>
        <a:prstGeom prst="rect">
          <a:avLst/>
        </a:prstGeom>
        <a:noFill/>
        <a:ln w="9525" cmpd="sng">
          <a:noFill/>
        </a:ln>
      </xdr:spPr>
    </xdr:pic>
    <xdr:clientData/>
  </xdr:twoCellAnchor>
  <xdr:twoCellAnchor>
    <xdr:from>
      <xdr:col>0</xdr:col>
      <xdr:colOff>0</xdr:colOff>
      <xdr:row>23</xdr:row>
      <xdr:rowOff>38100</xdr:rowOff>
    </xdr:from>
    <xdr:to>
      <xdr:col>1</xdr:col>
      <xdr:colOff>752475</xdr:colOff>
      <xdr:row>25</xdr:row>
      <xdr:rowOff>0</xdr:rowOff>
    </xdr:to>
    <xdr:pic>
      <xdr:nvPicPr>
        <xdr:cNvPr id="4" name="CommandButton4"/>
        <xdr:cNvPicPr preferRelativeResize="1">
          <a:picLocks noChangeAspect="1"/>
        </xdr:cNvPicPr>
      </xdr:nvPicPr>
      <xdr:blipFill>
        <a:blip r:embed="rId4"/>
        <a:stretch>
          <a:fillRect/>
        </a:stretch>
      </xdr:blipFill>
      <xdr:spPr>
        <a:xfrm>
          <a:off x="0" y="3990975"/>
          <a:ext cx="128587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24</xdr:row>
      <xdr:rowOff>152400</xdr:rowOff>
    </xdr:from>
    <xdr:to>
      <xdr:col>3</xdr:col>
      <xdr:colOff>295275</xdr:colOff>
      <xdr:row>26</xdr:row>
      <xdr:rowOff>114300</xdr:rowOff>
    </xdr:to>
    <xdr:pic>
      <xdr:nvPicPr>
        <xdr:cNvPr id="1" name="CommandButton1"/>
        <xdr:cNvPicPr preferRelativeResize="1">
          <a:picLocks noChangeAspect="1"/>
        </xdr:cNvPicPr>
      </xdr:nvPicPr>
      <xdr:blipFill>
        <a:blip r:embed="rId1"/>
        <a:stretch>
          <a:fillRect/>
        </a:stretch>
      </xdr:blipFill>
      <xdr:spPr>
        <a:xfrm>
          <a:off x="1257300" y="4105275"/>
          <a:ext cx="1285875" cy="285750"/>
        </a:xfrm>
        <a:prstGeom prst="rect">
          <a:avLst/>
        </a:prstGeom>
        <a:noFill/>
        <a:ln w="9525" cmpd="sng">
          <a:noFill/>
        </a:ln>
      </xdr:spPr>
    </xdr:pic>
    <xdr:clientData/>
  </xdr:twoCellAnchor>
  <xdr:twoCellAnchor>
    <xdr:from>
      <xdr:col>3</xdr:col>
      <xdr:colOff>285750</xdr:colOff>
      <xdr:row>24</xdr:row>
      <xdr:rowOff>152400</xdr:rowOff>
    </xdr:from>
    <xdr:to>
      <xdr:col>5</xdr:col>
      <xdr:colOff>352425</xdr:colOff>
      <xdr:row>26</xdr:row>
      <xdr:rowOff>114300</xdr:rowOff>
    </xdr:to>
    <xdr:pic>
      <xdr:nvPicPr>
        <xdr:cNvPr id="2" name="CommandButton2"/>
        <xdr:cNvPicPr preferRelativeResize="1">
          <a:picLocks noChangeAspect="1"/>
        </xdr:cNvPicPr>
      </xdr:nvPicPr>
      <xdr:blipFill>
        <a:blip r:embed="rId2"/>
        <a:stretch>
          <a:fillRect/>
        </a:stretch>
      </xdr:blipFill>
      <xdr:spPr>
        <a:xfrm>
          <a:off x="2533650" y="4105275"/>
          <a:ext cx="1285875" cy="285750"/>
        </a:xfrm>
        <a:prstGeom prst="rect">
          <a:avLst/>
        </a:prstGeom>
        <a:noFill/>
        <a:ln w="9525" cmpd="sng">
          <a:noFill/>
        </a:ln>
      </xdr:spPr>
    </xdr:pic>
    <xdr:clientData/>
  </xdr:twoCellAnchor>
  <xdr:twoCellAnchor>
    <xdr:from>
      <xdr:col>5</xdr:col>
      <xdr:colOff>342900</xdr:colOff>
      <xdr:row>24</xdr:row>
      <xdr:rowOff>152400</xdr:rowOff>
    </xdr:from>
    <xdr:to>
      <xdr:col>7</xdr:col>
      <xdr:colOff>57150</xdr:colOff>
      <xdr:row>26</xdr:row>
      <xdr:rowOff>114300</xdr:rowOff>
    </xdr:to>
    <xdr:pic>
      <xdr:nvPicPr>
        <xdr:cNvPr id="3" name="CommandButton3"/>
        <xdr:cNvPicPr preferRelativeResize="1">
          <a:picLocks noChangeAspect="1"/>
        </xdr:cNvPicPr>
      </xdr:nvPicPr>
      <xdr:blipFill>
        <a:blip r:embed="rId3"/>
        <a:stretch>
          <a:fillRect/>
        </a:stretch>
      </xdr:blipFill>
      <xdr:spPr>
        <a:xfrm>
          <a:off x="3810000" y="4105275"/>
          <a:ext cx="1285875" cy="285750"/>
        </a:xfrm>
        <a:prstGeom prst="rect">
          <a:avLst/>
        </a:prstGeom>
        <a:noFill/>
        <a:ln w="9525" cmpd="sng">
          <a:noFill/>
        </a:ln>
      </xdr:spPr>
    </xdr:pic>
    <xdr:clientData/>
  </xdr:twoCellAnchor>
  <xdr:twoCellAnchor>
    <xdr:from>
      <xdr:col>0</xdr:col>
      <xdr:colOff>0</xdr:colOff>
      <xdr:row>24</xdr:row>
      <xdr:rowOff>152400</xdr:rowOff>
    </xdr:from>
    <xdr:to>
      <xdr:col>1</xdr:col>
      <xdr:colOff>781050</xdr:colOff>
      <xdr:row>26</xdr:row>
      <xdr:rowOff>114300</xdr:rowOff>
    </xdr:to>
    <xdr:pic>
      <xdr:nvPicPr>
        <xdr:cNvPr id="4" name="CommandButton4"/>
        <xdr:cNvPicPr preferRelativeResize="1">
          <a:picLocks noChangeAspect="1"/>
        </xdr:cNvPicPr>
      </xdr:nvPicPr>
      <xdr:blipFill>
        <a:blip r:embed="rId4"/>
        <a:stretch>
          <a:fillRect/>
        </a:stretch>
      </xdr:blipFill>
      <xdr:spPr>
        <a:xfrm>
          <a:off x="0" y="4105275"/>
          <a:ext cx="128587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62</xdr:row>
      <xdr:rowOff>0</xdr:rowOff>
    </xdr:from>
    <xdr:to>
      <xdr:col>0</xdr:col>
      <xdr:colOff>2552700</xdr:colOff>
      <xdr:row>63</xdr:row>
      <xdr:rowOff>123825</xdr:rowOff>
    </xdr:to>
    <xdr:pic>
      <xdr:nvPicPr>
        <xdr:cNvPr id="1" name="CommandButton1"/>
        <xdr:cNvPicPr preferRelativeResize="1">
          <a:picLocks noChangeAspect="1"/>
        </xdr:cNvPicPr>
      </xdr:nvPicPr>
      <xdr:blipFill>
        <a:blip r:embed="rId1"/>
        <a:stretch>
          <a:fillRect/>
        </a:stretch>
      </xdr:blipFill>
      <xdr:spPr>
        <a:xfrm>
          <a:off x="1266825" y="11811000"/>
          <a:ext cx="1285875" cy="285750"/>
        </a:xfrm>
        <a:prstGeom prst="rect">
          <a:avLst/>
        </a:prstGeom>
        <a:noFill/>
        <a:ln w="9525" cmpd="sng">
          <a:noFill/>
        </a:ln>
      </xdr:spPr>
    </xdr:pic>
    <xdr:clientData/>
  </xdr:twoCellAnchor>
  <xdr:twoCellAnchor>
    <xdr:from>
      <xdr:col>0</xdr:col>
      <xdr:colOff>2543175</xdr:colOff>
      <xdr:row>62</xdr:row>
      <xdr:rowOff>0</xdr:rowOff>
    </xdr:from>
    <xdr:to>
      <xdr:col>2</xdr:col>
      <xdr:colOff>533400</xdr:colOff>
      <xdr:row>63</xdr:row>
      <xdr:rowOff>123825</xdr:rowOff>
    </xdr:to>
    <xdr:pic>
      <xdr:nvPicPr>
        <xdr:cNvPr id="2" name="CommandButton2"/>
        <xdr:cNvPicPr preferRelativeResize="1">
          <a:picLocks noChangeAspect="1"/>
        </xdr:cNvPicPr>
      </xdr:nvPicPr>
      <xdr:blipFill>
        <a:blip r:embed="rId2"/>
        <a:stretch>
          <a:fillRect/>
        </a:stretch>
      </xdr:blipFill>
      <xdr:spPr>
        <a:xfrm>
          <a:off x="2543175" y="11811000"/>
          <a:ext cx="1285875" cy="285750"/>
        </a:xfrm>
        <a:prstGeom prst="rect">
          <a:avLst/>
        </a:prstGeom>
        <a:noFill/>
        <a:ln w="9525" cmpd="sng">
          <a:noFill/>
        </a:ln>
      </xdr:spPr>
    </xdr:pic>
    <xdr:clientData/>
  </xdr:twoCellAnchor>
  <xdr:twoCellAnchor>
    <xdr:from>
      <xdr:col>2</xdr:col>
      <xdr:colOff>514350</xdr:colOff>
      <xdr:row>62</xdr:row>
      <xdr:rowOff>0</xdr:rowOff>
    </xdr:from>
    <xdr:to>
      <xdr:col>4</xdr:col>
      <xdr:colOff>485775</xdr:colOff>
      <xdr:row>63</xdr:row>
      <xdr:rowOff>123825</xdr:rowOff>
    </xdr:to>
    <xdr:pic>
      <xdr:nvPicPr>
        <xdr:cNvPr id="3" name="CommandButton3"/>
        <xdr:cNvPicPr preferRelativeResize="1">
          <a:picLocks noChangeAspect="1"/>
        </xdr:cNvPicPr>
      </xdr:nvPicPr>
      <xdr:blipFill>
        <a:blip r:embed="rId3"/>
        <a:stretch>
          <a:fillRect/>
        </a:stretch>
      </xdr:blipFill>
      <xdr:spPr>
        <a:xfrm>
          <a:off x="3810000" y="11811000"/>
          <a:ext cx="1285875" cy="285750"/>
        </a:xfrm>
        <a:prstGeom prst="rect">
          <a:avLst/>
        </a:prstGeom>
        <a:noFill/>
        <a:ln w="9525" cmpd="sng">
          <a:noFill/>
        </a:ln>
      </xdr:spPr>
    </xdr:pic>
    <xdr:clientData/>
  </xdr:twoCellAnchor>
  <xdr:twoCellAnchor>
    <xdr:from>
      <xdr:col>0</xdr:col>
      <xdr:colOff>0</xdr:colOff>
      <xdr:row>62</xdr:row>
      <xdr:rowOff>0</xdr:rowOff>
    </xdr:from>
    <xdr:to>
      <xdr:col>0</xdr:col>
      <xdr:colOff>1285875</xdr:colOff>
      <xdr:row>63</xdr:row>
      <xdr:rowOff>123825</xdr:rowOff>
    </xdr:to>
    <xdr:pic>
      <xdr:nvPicPr>
        <xdr:cNvPr id="4" name="CommandButton4"/>
        <xdr:cNvPicPr preferRelativeResize="1">
          <a:picLocks noChangeAspect="1"/>
        </xdr:cNvPicPr>
      </xdr:nvPicPr>
      <xdr:blipFill>
        <a:blip r:embed="rId4"/>
        <a:stretch>
          <a:fillRect/>
        </a:stretch>
      </xdr:blipFill>
      <xdr:spPr>
        <a:xfrm>
          <a:off x="0" y="11811000"/>
          <a:ext cx="128587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17</xdr:row>
      <xdr:rowOff>0</xdr:rowOff>
    </xdr:from>
    <xdr:to>
      <xdr:col>1</xdr:col>
      <xdr:colOff>1009650</xdr:colOff>
      <xdr:row>18</xdr:row>
      <xdr:rowOff>123825</xdr:rowOff>
    </xdr:to>
    <xdr:pic>
      <xdr:nvPicPr>
        <xdr:cNvPr id="1" name="CommandButton1"/>
        <xdr:cNvPicPr preferRelativeResize="1">
          <a:picLocks noChangeAspect="1"/>
        </xdr:cNvPicPr>
      </xdr:nvPicPr>
      <xdr:blipFill>
        <a:blip r:embed="rId1"/>
        <a:stretch>
          <a:fillRect/>
        </a:stretch>
      </xdr:blipFill>
      <xdr:spPr>
        <a:xfrm>
          <a:off x="1266825" y="2819400"/>
          <a:ext cx="1285875" cy="285750"/>
        </a:xfrm>
        <a:prstGeom prst="rect">
          <a:avLst/>
        </a:prstGeom>
        <a:noFill/>
        <a:ln w="9525" cmpd="sng">
          <a:noFill/>
        </a:ln>
      </xdr:spPr>
    </xdr:pic>
    <xdr:clientData/>
  </xdr:twoCellAnchor>
  <xdr:twoCellAnchor>
    <xdr:from>
      <xdr:col>1</xdr:col>
      <xdr:colOff>1000125</xdr:colOff>
      <xdr:row>17</xdr:row>
      <xdr:rowOff>0</xdr:rowOff>
    </xdr:from>
    <xdr:to>
      <xdr:col>1</xdr:col>
      <xdr:colOff>2286000</xdr:colOff>
      <xdr:row>18</xdr:row>
      <xdr:rowOff>123825</xdr:rowOff>
    </xdr:to>
    <xdr:pic>
      <xdr:nvPicPr>
        <xdr:cNvPr id="2" name="CommandButton2"/>
        <xdr:cNvPicPr preferRelativeResize="1">
          <a:picLocks noChangeAspect="1"/>
        </xdr:cNvPicPr>
      </xdr:nvPicPr>
      <xdr:blipFill>
        <a:blip r:embed="rId2"/>
        <a:stretch>
          <a:fillRect/>
        </a:stretch>
      </xdr:blipFill>
      <xdr:spPr>
        <a:xfrm>
          <a:off x="2543175" y="2819400"/>
          <a:ext cx="1285875" cy="285750"/>
        </a:xfrm>
        <a:prstGeom prst="rect">
          <a:avLst/>
        </a:prstGeom>
        <a:noFill/>
        <a:ln w="9525" cmpd="sng">
          <a:noFill/>
        </a:ln>
      </xdr:spPr>
    </xdr:pic>
    <xdr:clientData/>
  </xdr:twoCellAnchor>
  <xdr:twoCellAnchor>
    <xdr:from>
      <xdr:col>1</xdr:col>
      <xdr:colOff>2276475</xdr:colOff>
      <xdr:row>17</xdr:row>
      <xdr:rowOff>0</xdr:rowOff>
    </xdr:from>
    <xdr:to>
      <xdr:col>3</xdr:col>
      <xdr:colOff>257175</xdr:colOff>
      <xdr:row>18</xdr:row>
      <xdr:rowOff>123825</xdr:rowOff>
    </xdr:to>
    <xdr:pic>
      <xdr:nvPicPr>
        <xdr:cNvPr id="3" name="CommandButton3"/>
        <xdr:cNvPicPr preferRelativeResize="1">
          <a:picLocks noChangeAspect="1"/>
        </xdr:cNvPicPr>
      </xdr:nvPicPr>
      <xdr:blipFill>
        <a:blip r:embed="rId3"/>
        <a:stretch>
          <a:fillRect/>
        </a:stretch>
      </xdr:blipFill>
      <xdr:spPr>
        <a:xfrm>
          <a:off x="3819525" y="2819400"/>
          <a:ext cx="1285875" cy="285750"/>
        </a:xfrm>
        <a:prstGeom prst="rect">
          <a:avLst/>
        </a:prstGeom>
        <a:noFill/>
        <a:ln w="9525" cmpd="sng">
          <a:noFill/>
        </a:ln>
      </xdr:spPr>
    </xdr:pic>
    <xdr:clientData/>
  </xdr:twoCellAnchor>
  <xdr:twoCellAnchor>
    <xdr:from>
      <xdr:col>0</xdr:col>
      <xdr:colOff>0</xdr:colOff>
      <xdr:row>17</xdr:row>
      <xdr:rowOff>0</xdr:rowOff>
    </xdr:from>
    <xdr:to>
      <xdr:col>0</xdr:col>
      <xdr:colOff>1285875</xdr:colOff>
      <xdr:row>18</xdr:row>
      <xdr:rowOff>123825</xdr:rowOff>
    </xdr:to>
    <xdr:pic>
      <xdr:nvPicPr>
        <xdr:cNvPr id="4" name="CommandButton4"/>
        <xdr:cNvPicPr preferRelativeResize="1">
          <a:picLocks noChangeAspect="1"/>
        </xdr:cNvPicPr>
      </xdr:nvPicPr>
      <xdr:blipFill>
        <a:blip r:embed="rId4"/>
        <a:stretch>
          <a:fillRect/>
        </a:stretch>
      </xdr:blipFill>
      <xdr:spPr>
        <a:xfrm>
          <a:off x="0" y="2819400"/>
          <a:ext cx="1285875"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27</xdr:row>
      <xdr:rowOff>57150</xdr:rowOff>
    </xdr:from>
    <xdr:to>
      <xdr:col>3</xdr:col>
      <xdr:colOff>152400</xdr:colOff>
      <xdr:row>29</xdr:row>
      <xdr:rowOff>19050</xdr:rowOff>
    </xdr:to>
    <xdr:pic>
      <xdr:nvPicPr>
        <xdr:cNvPr id="1" name="CommandButton1"/>
        <xdr:cNvPicPr preferRelativeResize="1">
          <a:picLocks noChangeAspect="1"/>
        </xdr:cNvPicPr>
      </xdr:nvPicPr>
      <xdr:blipFill>
        <a:blip r:embed="rId1"/>
        <a:stretch>
          <a:fillRect/>
        </a:stretch>
      </xdr:blipFill>
      <xdr:spPr>
        <a:xfrm>
          <a:off x="1257300" y="4572000"/>
          <a:ext cx="1285875" cy="285750"/>
        </a:xfrm>
        <a:prstGeom prst="rect">
          <a:avLst/>
        </a:prstGeom>
        <a:noFill/>
        <a:ln w="9525" cmpd="sng">
          <a:noFill/>
        </a:ln>
      </xdr:spPr>
    </xdr:pic>
    <xdr:clientData/>
  </xdr:twoCellAnchor>
  <xdr:twoCellAnchor>
    <xdr:from>
      <xdr:col>3</xdr:col>
      <xdr:colOff>142875</xdr:colOff>
      <xdr:row>27</xdr:row>
      <xdr:rowOff>57150</xdr:rowOff>
    </xdr:from>
    <xdr:to>
      <xdr:col>4</xdr:col>
      <xdr:colOff>695325</xdr:colOff>
      <xdr:row>29</xdr:row>
      <xdr:rowOff>19050</xdr:rowOff>
    </xdr:to>
    <xdr:pic>
      <xdr:nvPicPr>
        <xdr:cNvPr id="2" name="CommandButton2"/>
        <xdr:cNvPicPr preferRelativeResize="1">
          <a:picLocks noChangeAspect="1"/>
        </xdr:cNvPicPr>
      </xdr:nvPicPr>
      <xdr:blipFill>
        <a:blip r:embed="rId2"/>
        <a:stretch>
          <a:fillRect/>
        </a:stretch>
      </xdr:blipFill>
      <xdr:spPr>
        <a:xfrm>
          <a:off x="2533650" y="4572000"/>
          <a:ext cx="1285875" cy="285750"/>
        </a:xfrm>
        <a:prstGeom prst="rect">
          <a:avLst/>
        </a:prstGeom>
        <a:noFill/>
        <a:ln w="9525" cmpd="sng">
          <a:noFill/>
        </a:ln>
      </xdr:spPr>
    </xdr:pic>
    <xdr:clientData/>
  </xdr:twoCellAnchor>
  <xdr:twoCellAnchor>
    <xdr:from>
      <xdr:col>4</xdr:col>
      <xdr:colOff>685800</xdr:colOff>
      <xdr:row>27</xdr:row>
      <xdr:rowOff>57150</xdr:rowOff>
    </xdr:from>
    <xdr:to>
      <xdr:col>6</xdr:col>
      <xdr:colOff>247650</xdr:colOff>
      <xdr:row>29</xdr:row>
      <xdr:rowOff>19050</xdr:rowOff>
    </xdr:to>
    <xdr:pic>
      <xdr:nvPicPr>
        <xdr:cNvPr id="3" name="CommandButton3"/>
        <xdr:cNvPicPr preferRelativeResize="1">
          <a:picLocks noChangeAspect="1"/>
        </xdr:cNvPicPr>
      </xdr:nvPicPr>
      <xdr:blipFill>
        <a:blip r:embed="rId3"/>
        <a:stretch>
          <a:fillRect/>
        </a:stretch>
      </xdr:blipFill>
      <xdr:spPr>
        <a:xfrm>
          <a:off x="3810000" y="4572000"/>
          <a:ext cx="1285875" cy="285750"/>
        </a:xfrm>
        <a:prstGeom prst="rect">
          <a:avLst/>
        </a:prstGeom>
        <a:noFill/>
        <a:ln w="9525" cmpd="sng">
          <a:noFill/>
        </a:ln>
      </xdr:spPr>
    </xdr:pic>
    <xdr:clientData/>
  </xdr:twoCellAnchor>
  <xdr:twoCellAnchor>
    <xdr:from>
      <xdr:col>0</xdr:col>
      <xdr:colOff>0</xdr:colOff>
      <xdr:row>27</xdr:row>
      <xdr:rowOff>57150</xdr:rowOff>
    </xdr:from>
    <xdr:to>
      <xdr:col>1</xdr:col>
      <xdr:colOff>771525</xdr:colOff>
      <xdr:row>29</xdr:row>
      <xdr:rowOff>19050</xdr:rowOff>
    </xdr:to>
    <xdr:pic>
      <xdr:nvPicPr>
        <xdr:cNvPr id="4" name="CommandButton4"/>
        <xdr:cNvPicPr preferRelativeResize="1">
          <a:picLocks noChangeAspect="1"/>
        </xdr:cNvPicPr>
      </xdr:nvPicPr>
      <xdr:blipFill>
        <a:blip r:embed="rId4"/>
        <a:stretch>
          <a:fillRect/>
        </a:stretch>
      </xdr:blipFill>
      <xdr:spPr>
        <a:xfrm>
          <a:off x="0" y="4572000"/>
          <a:ext cx="1285875" cy="285750"/>
        </a:xfrm>
        <a:prstGeom prst="rect">
          <a:avLst/>
        </a:prstGeom>
        <a:noFill/>
        <a:ln w="9525" cmpd="sng">
          <a:noFill/>
        </a:ln>
      </xdr:spPr>
    </xdr:pic>
    <xdr:clientData/>
  </xdr:twoCellAnchor>
  <xdr:twoCellAnchor>
    <xdr:from>
      <xdr:col>2</xdr:col>
      <xdr:colOff>152400</xdr:colOff>
      <xdr:row>29</xdr:row>
      <xdr:rowOff>152400</xdr:rowOff>
    </xdr:from>
    <xdr:to>
      <xdr:col>4</xdr:col>
      <xdr:colOff>38100</xdr:colOff>
      <xdr:row>31</xdr:row>
      <xdr:rowOff>114300</xdr:rowOff>
    </xdr:to>
    <xdr:pic>
      <xdr:nvPicPr>
        <xdr:cNvPr id="5" name="CommandButton5"/>
        <xdr:cNvPicPr preferRelativeResize="1">
          <a:picLocks noChangeAspect="1"/>
        </xdr:cNvPicPr>
      </xdr:nvPicPr>
      <xdr:blipFill>
        <a:blip r:embed="rId5"/>
        <a:stretch>
          <a:fillRect/>
        </a:stretch>
      </xdr:blipFill>
      <xdr:spPr>
        <a:xfrm>
          <a:off x="1876425" y="4991100"/>
          <a:ext cx="12858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6"/>
  <sheetViews>
    <sheetView workbookViewId="0" topLeftCell="A4">
      <selection activeCell="L11" sqref="L11"/>
    </sheetView>
  </sheetViews>
  <sheetFormatPr defaultColWidth="9.140625" defaultRowHeight="12.75"/>
  <sheetData>
    <row r="1" spans="1:21" ht="12.75">
      <c r="A1" s="25"/>
      <c r="B1" s="25"/>
      <c r="C1" s="25"/>
      <c r="D1" s="25"/>
      <c r="E1" s="25"/>
      <c r="F1" s="25"/>
      <c r="G1" s="25"/>
      <c r="H1" s="25"/>
      <c r="I1" s="25"/>
      <c r="J1" s="25"/>
      <c r="K1" s="25"/>
      <c r="L1" s="25"/>
      <c r="M1" s="25"/>
      <c r="N1" s="25"/>
      <c r="O1" s="25"/>
      <c r="P1" s="25"/>
      <c r="Q1" s="25"/>
      <c r="R1" s="25"/>
      <c r="S1" s="25"/>
      <c r="T1" s="25"/>
      <c r="U1" s="25"/>
    </row>
    <row r="2" spans="1:21" ht="12.75">
      <c r="A2" s="25"/>
      <c r="B2" s="25"/>
      <c r="C2" s="25"/>
      <c r="D2" s="25"/>
      <c r="E2" s="25"/>
      <c r="F2" s="25"/>
      <c r="G2" s="25"/>
      <c r="H2" s="25"/>
      <c r="I2" s="25"/>
      <c r="J2" s="25"/>
      <c r="K2" s="25"/>
      <c r="L2" s="25"/>
      <c r="M2" s="25"/>
      <c r="N2" s="25"/>
      <c r="O2" s="25"/>
      <c r="P2" s="25"/>
      <c r="Q2" s="25"/>
      <c r="R2" s="25"/>
      <c r="S2" s="25"/>
      <c r="T2" s="25"/>
      <c r="U2" s="25"/>
    </row>
    <row r="3" spans="1:21" ht="19.5">
      <c r="A3" s="25"/>
      <c r="B3" s="25"/>
      <c r="C3" s="25"/>
      <c r="D3" s="25"/>
      <c r="E3" s="25"/>
      <c r="F3" s="25"/>
      <c r="G3" s="26"/>
      <c r="H3" s="26" t="s">
        <v>160</v>
      </c>
      <c r="I3" s="25"/>
      <c r="J3" s="25"/>
      <c r="K3" s="25"/>
      <c r="L3" s="25"/>
      <c r="M3" s="25"/>
      <c r="N3" s="25"/>
      <c r="O3" s="25"/>
      <c r="P3" s="25"/>
      <c r="Q3" s="25"/>
      <c r="R3" s="25"/>
      <c r="S3" s="25"/>
      <c r="T3" s="25"/>
      <c r="U3" s="25"/>
    </row>
    <row r="4" spans="1:21" ht="19.5">
      <c r="A4" s="25"/>
      <c r="B4" s="25"/>
      <c r="C4" s="25"/>
      <c r="D4" s="25"/>
      <c r="E4" s="25"/>
      <c r="F4" s="25"/>
      <c r="G4" s="26"/>
      <c r="H4" s="26" t="s">
        <v>161</v>
      </c>
      <c r="I4" s="25"/>
      <c r="J4" s="25"/>
      <c r="K4" s="25"/>
      <c r="L4" s="25"/>
      <c r="M4" s="25"/>
      <c r="N4" s="25"/>
      <c r="O4" s="25"/>
      <c r="P4" s="25"/>
      <c r="Q4" s="25"/>
      <c r="R4" s="25"/>
      <c r="S4" s="25"/>
      <c r="T4" s="25"/>
      <c r="U4" s="25"/>
    </row>
    <row r="5" spans="1:21" ht="19.5">
      <c r="A5" s="25"/>
      <c r="B5" s="25"/>
      <c r="C5" s="25"/>
      <c r="D5" s="25"/>
      <c r="E5" s="25"/>
      <c r="F5" s="25"/>
      <c r="G5" s="26"/>
      <c r="H5" s="26" t="s">
        <v>10</v>
      </c>
      <c r="I5" s="25"/>
      <c r="J5" s="25"/>
      <c r="K5" s="25"/>
      <c r="L5" s="25"/>
      <c r="M5" s="25"/>
      <c r="N5" s="25"/>
      <c r="O5" s="25"/>
      <c r="P5" s="25"/>
      <c r="Q5" s="25"/>
      <c r="R5" s="25"/>
      <c r="S5" s="25"/>
      <c r="T5" s="25"/>
      <c r="U5" s="25"/>
    </row>
    <row r="6" spans="1:21" ht="12.75">
      <c r="A6" s="25"/>
      <c r="B6" s="25"/>
      <c r="C6" s="25"/>
      <c r="D6" s="25"/>
      <c r="E6" s="25"/>
      <c r="F6" s="25"/>
      <c r="G6" s="25"/>
      <c r="H6" s="58"/>
      <c r="I6" s="25"/>
      <c r="J6" s="25"/>
      <c r="K6" s="25"/>
      <c r="L6" s="25"/>
      <c r="M6" s="25"/>
      <c r="N6" s="25"/>
      <c r="O6" s="25"/>
      <c r="P6" s="25"/>
      <c r="Q6" s="25"/>
      <c r="R6" s="25"/>
      <c r="S6" s="25"/>
      <c r="T6" s="25"/>
      <c r="U6" s="25"/>
    </row>
    <row r="7" spans="1:21" ht="12.75">
      <c r="A7" s="25"/>
      <c r="B7" s="25"/>
      <c r="C7" s="25"/>
      <c r="D7" s="25"/>
      <c r="E7" s="25"/>
      <c r="F7" s="25"/>
      <c r="G7" s="25"/>
      <c r="H7" s="25"/>
      <c r="I7" s="25"/>
      <c r="J7" s="25"/>
      <c r="K7" s="25"/>
      <c r="L7" s="25"/>
      <c r="M7" s="25"/>
      <c r="N7" s="25"/>
      <c r="O7" s="25"/>
      <c r="P7" s="25"/>
      <c r="Q7" s="25"/>
      <c r="R7" s="25"/>
      <c r="S7" s="25"/>
      <c r="T7" s="25"/>
      <c r="U7" s="25"/>
    </row>
    <row r="8" spans="1:21" ht="12.75">
      <c r="A8" s="25"/>
      <c r="B8" s="25"/>
      <c r="C8" s="25"/>
      <c r="D8" s="25"/>
      <c r="E8" s="25"/>
      <c r="F8" s="25"/>
      <c r="G8" s="25"/>
      <c r="H8" s="25"/>
      <c r="I8" s="25"/>
      <c r="J8" s="25"/>
      <c r="K8" s="25"/>
      <c r="L8" s="25"/>
      <c r="M8" s="25"/>
      <c r="N8" s="25"/>
      <c r="O8" s="25"/>
      <c r="P8" s="25"/>
      <c r="Q8" s="25"/>
      <c r="R8" s="25"/>
      <c r="S8" s="25"/>
      <c r="T8" s="25"/>
      <c r="U8" s="25"/>
    </row>
    <row r="9" spans="1:21" ht="12.75">
      <c r="A9" s="25"/>
      <c r="B9" s="25"/>
      <c r="C9" s="25"/>
      <c r="D9" s="25"/>
      <c r="E9" s="25"/>
      <c r="F9" s="25"/>
      <c r="G9" s="25"/>
      <c r="H9" s="25"/>
      <c r="I9" s="25"/>
      <c r="J9" s="25"/>
      <c r="K9" s="25"/>
      <c r="L9" s="25"/>
      <c r="M9" s="25"/>
      <c r="N9" s="25"/>
      <c r="O9" s="25"/>
      <c r="P9" s="25"/>
      <c r="Q9" s="25"/>
      <c r="R9" s="25"/>
      <c r="S9" s="25"/>
      <c r="T9" s="25"/>
      <c r="U9" s="25"/>
    </row>
    <row r="10" spans="1:21" ht="12.75">
      <c r="A10" s="25"/>
      <c r="B10" s="25"/>
      <c r="C10" s="25"/>
      <c r="D10" s="25"/>
      <c r="E10" s="25"/>
      <c r="F10" s="25"/>
      <c r="G10" s="25"/>
      <c r="H10" s="25"/>
      <c r="I10" s="25"/>
      <c r="J10" s="25"/>
      <c r="K10" s="25"/>
      <c r="L10" s="25"/>
      <c r="M10" s="25"/>
      <c r="N10" s="25"/>
      <c r="O10" s="25"/>
      <c r="P10" s="25"/>
      <c r="Q10" s="25"/>
      <c r="R10" s="25"/>
      <c r="S10" s="25"/>
      <c r="T10" s="25"/>
      <c r="U10" s="25"/>
    </row>
    <row r="11" spans="1:21" ht="12.75">
      <c r="A11" s="25"/>
      <c r="B11" s="25"/>
      <c r="C11" s="25"/>
      <c r="D11" s="25"/>
      <c r="E11" s="25"/>
      <c r="F11" s="25"/>
      <c r="G11" s="25"/>
      <c r="H11" s="25"/>
      <c r="I11" s="25"/>
      <c r="J11" s="25"/>
      <c r="K11" s="25"/>
      <c r="L11" s="25"/>
      <c r="M11" s="25"/>
      <c r="N11" s="25"/>
      <c r="O11" s="25"/>
      <c r="P11" s="25"/>
      <c r="Q11" s="25"/>
      <c r="R11" s="25"/>
      <c r="S11" s="25"/>
      <c r="T11" s="25"/>
      <c r="U11" s="25"/>
    </row>
    <row r="12" spans="1:21" ht="12.75">
      <c r="A12" s="25"/>
      <c r="B12" s="25"/>
      <c r="C12" s="25"/>
      <c r="D12" s="25"/>
      <c r="E12" s="25"/>
      <c r="F12" s="25"/>
      <c r="G12" s="25"/>
      <c r="H12" s="25"/>
      <c r="I12" s="25"/>
      <c r="J12" s="25"/>
      <c r="K12" s="25"/>
      <c r="L12" s="25"/>
      <c r="M12" s="25"/>
      <c r="N12" s="25"/>
      <c r="O12" s="25"/>
      <c r="P12" s="25"/>
      <c r="Q12" s="25"/>
      <c r="R12" s="25"/>
      <c r="S12" s="25"/>
      <c r="T12" s="25"/>
      <c r="U12" s="25"/>
    </row>
    <row r="13" spans="1:21" ht="12.75">
      <c r="A13" s="25"/>
      <c r="B13" s="25"/>
      <c r="C13" s="25"/>
      <c r="D13" s="25"/>
      <c r="E13" s="25"/>
      <c r="F13" s="25"/>
      <c r="G13" s="25"/>
      <c r="H13" s="25"/>
      <c r="I13" s="25"/>
      <c r="J13" s="25"/>
      <c r="K13" s="25"/>
      <c r="L13" s="25"/>
      <c r="M13" s="25"/>
      <c r="N13" s="25"/>
      <c r="O13" s="25"/>
      <c r="P13" s="25"/>
      <c r="Q13" s="25"/>
      <c r="R13" s="25"/>
      <c r="S13" s="25"/>
      <c r="T13" s="25"/>
      <c r="U13" s="25"/>
    </row>
    <row r="14" spans="1:21" ht="12.75">
      <c r="A14" s="25"/>
      <c r="B14" s="25"/>
      <c r="C14" s="25"/>
      <c r="D14" s="25"/>
      <c r="E14" s="25"/>
      <c r="F14" s="25"/>
      <c r="G14" s="25"/>
      <c r="H14" s="25"/>
      <c r="I14" s="25"/>
      <c r="J14" s="25"/>
      <c r="K14" s="25"/>
      <c r="L14" s="25"/>
      <c r="M14" s="25"/>
      <c r="N14" s="25"/>
      <c r="O14" s="25"/>
      <c r="P14" s="25"/>
      <c r="Q14" s="25"/>
      <c r="R14" s="25"/>
      <c r="S14" s="25"/>
      <c r="T14" s="25"/>
      <c r="U14" s="25"/>
    </row>
    <row r="15" spans="1:21" ht="12.75">
      <c r="A15" s="25"/>
      <c r="B15" s="25"/>
      <c r="C15" s="25"/>
      <c r="D15" s="25"/>
      <c r="E15" s="25"/>
      <c r="F15" s="25"/>
      <c r="G15" s="25"/>
      <c r="H15" s="25"/>
      <c r="I15" s="25"/>
      <c r="J15" s="25"/>
      <c r="K15" s="25"/>
      <c r="L15" s="25"/>
      <c r="M15" s="25"/>
      <c r="N15" s="25"/>
      <c r="O15" s="25"/>
      <c r="P15" s="25"/>
      <c r="Q15" s="25"/>
      <c r="R15" s="25"/>
      <c r="S15" s="25"/>
      <c r="T15" s="25"/>
      <c r="U15" s="25"/>
    </row>
    <row r="16" spans="1:21" ht="12.75">
      <c r="A16" s="25"/>
      <c r="B16" s="25"/>
      <c r="C16" s="25"/>
      <c r="D16" s="25"/>
      <c r="E16" s="25"/>
      <c r="F16" s="25"/>
      <c r="G16" s="25"/>
      <c r="H16" s="25"/>
      <c r="I16" s="25"/>
      <c r="J16" s="25"/>
      <c r="K16" s="25"/>
      <c r="L16" s="25"/>
      <c r="M16" s="25"/>
      <c r="N16" s="25"/>
      <c r="O16" s="25"/>
      <c r="P16" s="25"/>
      <c r="Q16" s="25"/>
      <c r="R16" s="25"/>
      <c r="S16" s="25"/>
      <c r="T16" s="25"/>
      <c r="U16" s="25"/>
    </row>
    <row r="17" spans="1:21" ht="12.75">
      <c r="A17" s="25"/>
      <c r="B17" s="25"/>
      <c r="C17" s="25"/>
      <c r="D17" s="25"/>
      <c r="E17" s="25"/>
      <c r="F17" s="25"/>
      <c r="G17" s="25"/>
      <c r="H17" s="25"/>
      <c r="I17" s="25"/>
      <c r="J17" s="25"/>
      <c r="K17" s="25"/>
      <c r="L17" s="25"/>
      <c r="M17" s="25"/>
      <c r="N17" s="25"/>
      <c r="O17" s="25"/>
      <c r="P17" s="25"/>
      <c r="Q17" s="25"/>
      <c r="R17" s="25"/>
      <c r="S17" s="25"/>
      <c r="T17" s="25"/>
      <c r="U17" s="25"/>
    </row>
    <row r="18" spans="1:21" ht="12.75">
      <c r="A18" s="25"/>
      <c r="B18" s="25"/>
      <c r="C18" s="25"/>
      <c r="D18" s="25"/>
      <c r="E18" s="25"/>
      <c r="F18" s="25"/>
      <c r="G18" s="25"/>
      <c r="H18" s="25"/>
      <c r="I18" s="25"/>
      <c r="J18" s="25"/>
      <c r="K18" s="25"/>
      <c r="L18" s="25"/>
      <c r="M18" s="25"/>
      <c r="N18" s="25"/>
      <c r="O18" s="25"/>
      <c r="P18" s="25"/>
      <c r="Q18" s="25"/>
      <c r="R18" s="25"/>
      <c r="S18" s="25"/>
      <c r="T18" s="25"/>
      <c r="U18" s="25"/>
    </row>
    <row r="19" spans="1:21" ht="12.75">
      <c r="A19" s="25"/>
      <c r="B19" s="25"/>
      <c r="C19" s="25"/>
      <c r="D19" s="25"/>
      <c r="E19" s="25"/>
      <c r="F19" s="25"/>
      <c r="G19" s="25"/>
      <c r="H19" s="25"/>
      <c r="I19" s="25"/>
      <c r="J19" s="25"/>
      <c r="K19" s="25"/>
      <c r="L19" s="25"/>
      <c r="M19" s="25"/>
      <c r="N19" s="25"/>
      <c r="O19" s="25"/>
      <c r="P19" s="25"/>
      <c r="Q19" s="25"/>
      <c r="R19" s="25"/>
      <c r="S19" s="25"/>
      <c r="T19" s="25"/>
      <c r="U19" s="25"/>
    </row>
    <row r="20" spans="1:21" ht="12.75">
      <c r="A20" s="25"/>
      <c r="B20" s="25"/>
      <c r="C20" s="25"/>
      <c r="D20" s="25"/>
      <c r="E20" s="25"/>
      <c r="F20" s="25"/>
      <c r="G20" s="25"/>
      <c r="H20" s="25"/>
      <c r="I20" s="25"/>
      <c r="J20" s="25"/>
      <c r="K20" s="25"/>
      <c r="L20" s="25"/>
      <c r="M20" s="25"/>
      <c r="N20" s="25"/>
      <c r="O20" s="25"/>
      <c r="P20" s="25"/>
      <c r="Q20" s="25"/>
      <c r="R20" s="25"/>
      <c r="S20" s="25"/>
      <c r="T20" s="25"/>
      <c r="U20" s="25"/>
    </row>
    <row r="21" spans="1:21" ht="12.75">
      <c r="A21" s="25"/>
      <c r="B21" s="25"/>
      <c r="C21" s="25"/>
      <c r="D21" s="25"/>
      <c r="E21" s="25"/>
      <c r="F21" s="25"/>
      <c r="G21" s="25"/>
      <c r="H21" s="25"/>
      <c r="I21" s="25"/>
      <c r="J21" s="25"/>
      <c r="K21" s="25"/>
      <c r="L21" s="25"/>
      <c r="M21" s="25"/>
      <c r="N21" s="25"/>
      <c r="O21" s="25"/>
      <c r="P21" s="25"/>
      <c r="Q21" s="25"/>
      <c r="R21" s="25"/>
      <c r="S21" s="25"/>
      <c r="T21" s="25"/>
      <c r="U21" s="25"/>
    </row>
    <row r="22" spans="1:21" ht="12.75">
      <c r="A22" s="25"/>
      <c r="B22" s="25"/>
      <c r="C22" s="25"/>
      <c r="D22" s="25"/>
      <c r="E22" s="25"/>
      <c r="F22" s="25"/>
      <c r="G22" s="25"/>
      <c r="H22" s="25"/>
      <c r="I22" s="25"/>
      <c r="J22" s="25"/>
      <c r="K22" s="25"/>
      <c r="L22" s="25"/>
      <c r="M22" s="25"/>
      <c r="N22" s="25"/>
      <c r="O22" s="25"/>
      <c r="P22" s="25"/>
      <c r="Q22" s="25"/>
      <c r="R22" s="25"/>
      <c r="S22" s="25"/>
      <c r="T22" s="25"/>
      <c r="U22" s="25"/>
    </row>
    <row r="23" spans="1:21" ht="12.75">
      <c r="A23" s="25"/>
      <c r="B23" s="25"/>
      <c r="C23" s="25"/>
      <c r="D23" s="25"/>
      <c r="E23" s="25"/>
      <c r="F23" s="25"/>
      <c r="G23" s="25"/>
      <c r="H23" s="25"/>
      <c r="I23" s="25"/>
      <c r="J23" s="25"/>
      <c r="K23" s="25"/>
      <c r="L23" s="25"/>
      <c r="M23" s="25"/>
      <c r="N23" s="25"/>
      <c r="O23" s="25"/>
      <c r="P23" s="25"/>
      <c r="Q23" s="25"/>
      <c r="R23" s="25"/>
      <c r="S23" s="25"/>
      <c r="T23" s="25"/>
      <c r="U23" s="25"/>
    </row>
    <row r="24" spans="1:21" ht="12.75">
      <c r="A24" s="25"/>
      <c r="B24" s="25"/>
      <c r="C24" s="25"/>
      <c r="D24" s="25"/>
      <c r="E24" s="25"/>
      <c r="F24" s="25"/>
      <c r="G24" s="25"/>
      <c r="H24" s="25"/>
      <c r="I24" s="25"/>
      <c r="J24" s="25"/>
      <c r="K24" s="25"/>
      <c r="L24" s="25"/>
      <c r="M24" s="25"/>
      <c r="N24" s="25"/>
      <c r="O24" s="25"/>
      <c r="P24" s="25"/>
      <c r="Q24" s="25"/>
      <c r="R24" s="25"/>
      <c r="S24" s="25"/>
      <c r="T24" s="25"/>
      <c r="U24" s="25"/>
    </row>
    <row r="25" spans="1:21" ht="12.75">
      <c r="A25" s="25"/>
      <c r="B25" s="25"/>
      <c r="C25" s="25"/>
      <c r="D25" s="25"/>
      <c r="E25" s="25"/>
      <c r="F25" s="25"/>
      <c r="G25" s="25"/>
      <c r="H25" s="25"/>
      <c r="I25" s="25"/>
      <c r="J25" s="25"/>
      <c r="K25" s="25"/>
      <c r="L25" s="25"/>
      <c r="M25" s="25"/>
      <c r="N25" s="25"/>
      <c r="O25" s="25"/>
      <c r="P25" s="25"/>
      <c r="Q25" s="25"/>
      <c r="R25" s="25"/>
      <c r="S25" s="25"/>
      <c r="T25" s="25"/>
      <c r="U25" s="25"/>
    </row>
    <row r="26" spans="1:21" ht="12.75">
      <c r="A26" s="25"/>
      <c r="B26" s="25"/>
      <c r="C26" s="25"/>
      <c r="D26" s="25"/>
      <c r="E26" s="25"/>
      <c r="F26" s="25"/>
      <c r="G26" s="25"/>
      <c r="H26" s="25"/>
      <c r="I26" s="25"/>
      <c r="J26" s="25"/>
      <c r="K26" s="25"/>
      <c r="L26" s="25"/>
      <c r="M26" s="25"/>
      <c r="N26" s="25"/>
      <c r="O26" s="25"/>
      <c r="P26" s="25"/>
      <c r="Q26" s="25"/>
      <c r="R26" s="25"/>
      <c r="S26" s="25"/>
      <c r="T26" s="25"/>
      <c r="U26" s="25"/>
    </row>
    <row r="27" spans="1:21" ht="12.75">
      <c r="A27" s="25"/>
      <c r="B27" s="25"/>
      <c r="C27" s="25"/>
      <c r="D27" s="25"/>
      <c r="E27" s="25"/>
      <c r="F27" s="25"/>
      <c r="G27" s="25"/>
      <c r="H27" s="25"/>
      <c r="I27" s="25"/>
      <c r="J27" s="25"/>
      <c r="K27" s="25"/>
      <c r="L27" s="25"/>
      <c r="M27" s="25"/>
      <c r="N27" s="25"/>
      <c r="O27" s="25"/>
      <c r="P27" s="25"/>
      <c r="Q27" s="25"/>
      <c r="R27" s="25"/>
      <c r="S27" s="25"/>
      <c r="T27" s="25"/>
      <c r="U27" s="25"/>
    </row>
    <row r="28" spans="1:21" ht="12.75">
      <c r="A28" s="25"/>
      <c r="B28" s="25"/>
      <c r="C28" s="25"/>
      <c r="D28" s="25"/>
      <c r="E28" s="25"/>
      <c r="F28" s="25"/>
      <c r="G28" s="25"/>
      <c r="H28" s="25"/>
      <c r="I28" s="25"/>
      <c r="J28" s="25"/>
      <c r="K28" s="25"/>
      <c r="L28" s="25"/>
      <c r="M28" s="25"/>
      <c r="N28" s="25"/>
      <c r="O28" s="25"/>
      <c r="P28" s="25"/>
      <c r="Q28" s="25"/>
      <c r="R28" s="25"/>
      <c r="S28" s="25"/>
      <c r="T28" s="25"/>
      <c r="U28" s="25"/>
    </row>
    <row r="29" spans="1:21" ht="12.75">
      <c r="A29" s="25"/>
      <c r="B29" s="25"/>
      <c r="C29" s="25"/>
      <c r="D29" s="25"/>
      <c r="E29" s="25"/>
      <c r="F29" s="25"/>
      <c r="G29" s="25"/>
      <c r="H29" s="25"/>
      <c r="I29" s="25"/>
      <c r="J29" s="25"/>
      <c r="K29" s="25"/>
      <c r="L29" s="25"/>
      <c r="M29" s="25"/>
      <c r="N29" s="25"/>
      <c r="O29" s="25"/>
      <c r="P29" s="25"/>
      <c r="Q29" s="25"/>
      <c r="R29" s="25"/>
      <c r="S29" s="25"/>
      <c r="T29" s="25"/>
      <c r="U29" s="25"/>
    </row>
    <row r="30" spans="1:21" ht="12.75">
      <c r="A30" s="25"/>
      <c r="B30" s="25"/>
      <c r="C30" s="25"/>
      <c r="D30" s="25"/>
      <c r="E30" s="25"/>
      <c r="F30" s="25"/>
      <c r="G30" s="25"/>
      <c r="H30" s="25"/>
      <c r="I30" s="25"/>
      <c r="J30" s="25"/>
      <c r="K30" s="25"/>
      <c r="L30" s="25"/>
      <c r="M30" s="25"/>
      <c r="N30" s="25"/>
      <c r="O30" s="25"/>
      <c r="P30" s="25"/>
      <c r="Q30" s="25"/>
      <c r="R30" s="25"/>
      <c r="S30" s="25"/>
      <c r="T30" s="25"/>
      <c r="U30" s="25"/>
    </row>
    <row r="31" spans="1:21" ht="12.75">
      <c r="A31" s="25"/>
      <c r="B31" s="25"/>
      <c r="C31" s="25"/>
      <c r="D31" s="25"/>
      <c r="E31" s="25"/>
      <c r="F31" s="25"/>
      <c r="G31" s="25"/>
      <c r="H31" s="25"/>
      <c r="I31" s="25"/>
      <c r="J31" s="25"/>
      <c r="K31" s="25"/>
      <c r="L31" s="25"/>
      <c r="M31" s="25"/>
      <c r="N31" s="25"/>
      <c r="O31" s="25"/>
      <c r="P31" s="25"/>
      <c r="Q31" s="25"/>
      <c r="R31" s="25"/>
      <c r="S31" s="25"/>
      <c r="T31" s="25"/>
      <c r="U31" s="25"/>
    </row>
    <row r="32" spans="1:21" ht="12.75">
      <c r="A32" s="25"/>
      <c r="B32" s="25"/>
      <c r="C32" s="25"/>
      <c r="D32" s="25"/>
      <c r="E32" s="25"/>
      <c r="F32" s="25"/>
      <c r="G32" s="25"/>
      <c r="H32" s="25"/>
      <c r="I32" s="25"/>
      <c r="J32" s="25"/>
      <c r="K32" s="25"/>
      <c r="L32" s="25"/>
      <c r="M32" s="25"/>
      <c r="N32" s="25"/>
      <c r="O32" s="25"/>
      <c r="P32" s="25"/>
      <c r="Q32" s="25"/>
      <c r="R32" s="25"/>
      <c r="S32" s="25"/>
      <c r="T32" s="25"/>
      <c r="U32" s="25"/>
    </row>
    <row r="33" spans="1:21" ht="12.75">
      <c r="A33" s="25"/>
      <c r="B33" s="25"/>
      <c r="C33" s="25"/>
      <c r="D33" s="25"/>
      <c r="E33" s="25"/>
      <c r="F33" s="25"/>
      <c r="G33" s="25"/>
      <c r="H33" s="25"/>
      <c r="I33" s="25"/>
      <c r="J33" s="25"/>
      <c r="K33" s="25"/>
      <c r="L33" s="25"/>
      <c r="M33" s="25"/>
      <c r="N33" s="25"/>
      <c r="O33" s="25"/>
      <c r="P33" s="25"/>
      <c r="Q33" s="25"/>
      <c r="R33" s="25"/>
      <c r="S33" s="25"/>
      <c r="T33" s="25"/>
      <c r="U33" s="25"/>
    </row>
    <row r="34" spans="1:21" ht="12.75">
      <c r="A34" s="25"/>
      <c r="B34" s="25"/>
      <c r="C34" s="25"/>
      <c r="D34" s="25"/>
      <c r="E34" s="25"/>
      <c r="F34" s="25"/>
      <c r="G34" s="25"/>
      <c r="H34" s="25"/>
      <c r="I34" s="25"/>
      <c r="J34" s="25"/>
      <c r="K34" s="25"/>
      <c r="L34" s="25"/>
      <c r="M34" s="25"/>
      <c r="N34" s="25"/>
      <c r="O34" s="25"/>
      <c r="P34" s="25"/>
      <c r="Q34" s="25"/>
      <c r="R34" s="25"/>
      <c r="S34" s="25"/>
      <c r="T34" s="25"/>
      <c r="U34" s="25"/>
    </row>
    <row r="35" spans="1:21" ht="12.75">
      <c r="A35" s="25"/>
      <c r="B35" s="25"/>
      <c r="C35" s="25"/>
      <c r="D35" s="25"/>
      <c r="E35" s="25"/>
      <c r="F35" s="25"/>
      <c r="G35" s="25"/>
      <c r="H35" s="25"/>
      <c r="I35" s="25"/>
      <c r="J35" s="25"/>
      <c r="K35" s="25"/>
      <c r="L35" s="25"/>
      <c r="M35" s="25"/>
      <c r="N35" s="25"/>
      <c r="O35" s="25"/>
      <c r="P35" s="25"/>
      <c r="Q35" s="25"/>
      <c r="R35" s="25"/>
      <c r="S35" s="25"/>
      <c r="T35" s="25"/>
      <c r="U35" s="25"/>
    </row>
    <row r="36" spans="1:21" ht="12.75">
      <c r="A36" s="25"/>
      <c r="B36" s="25"/>
      <c r="C36" s="25"/>
      <c r="D36" s="25"/>
      <c r="E36" s="25"/>
      <c r="F36" s="25"/>
      <c r="G36" s="25"/>
      <c r="H36" s="25"/>
      <c r="I36" s="25"/>
      <c r="J36" s="25"/>
      <c r="K36" s="25"/>
      <c r="L36" s="25"/>
      <c r="M36" s="25"/>
      <c r="N36" s="25"/>
      <c r="O36" s="25"/>
      <c r="P36" s="25"/>
      <c r="Q36" s="25"/>
      <c r="R36" s="25"/>
      <c r="S36" s="25"/>
      <c r="T36" s="25"/>
      <c r="U36" s="25"/>
    </row>
    <row r="37" spans="1:21" ht="12.75">
      <c r="A37" s="25"/>
      <c r="B37" s="25"/>
      <c r="C37" s="25"/>
      <c r="D37" s="25"/>
      <c r="E37" s="25"/>
      <c r="F37" s="25"/>
      <c r="G37" s="25"/>
      <c r="H37" s="25"/>
      <c r="I37" s="25"/>
      <c r="J37" s="25"/>
      <c r="K37" s="25"/>
      <c r="L37" s="25"/>
      <c r="M37" s="25"/>
      <c r="N37" s="25"/>
      <c r="O37" s="25"/>
      <c r="P37" s="25"/>
      <c r="Q37" s="25"/>
      <c r="R37" s="25"/>
      <c r="S37" s="25"/>
      <c r="T37" s="25"/>
      <c r="U37" s="25"/>
    </row>
    <row r="38" spans="1:21" ht="12.75">
      <c r="A38" s="25"/>
      <c r="B38" s="25"/>
      <c r="C38" s="25"/>
      <c r="D38" s="25"/>
      <c r="E38" s="25"/>
      <c r="F38" s="25"/>
      <c r="G38" s="25"/>
      <c r="H38" s="25"/>
      <c r="I38" s="25"/>
      <c r="J38" s="25"/>
      <c r="K38" s="25"/>
      <c r="L38" s="25"/>
      <c r="M38" s="25"/>
      <c r="N38" s="25"/>
      <c r="O38" s="25"/>
      <c r="P38" s="25"/>
      <c r="Q38" s="25"/>
      <c r="R38" s="25"/>
      <c r="S38" s="25"/>
      <c r="T38" s="25"/>
      <c r="U38" s="25"/>
    </row>
    <row r="39" spans="1:21" ht="12.75">
      <c r="A39" s="25"/>
      <c r="B39" s="25"/>
      <c r="C39" s="25"/>
      <c r="D39" s="25"/>
      <c r="E39" s="25"/>
      <c r="F39" s="25"/>
      <c r="G39" s="25"/>
      <c r="H39" s="25"/>
      <c r="I39" s="25"/>
      <c r="J39" s="25"/>
      <c r="K39" s="25"/>
      <c r="L39" s="25"/>
      <c r="M39" s="25"/>
      <c r="N39" s="25"/>
      <c r="O39" s="25"/>
      <c r="P39" s="25"/>
      <c r="Q39" s="25"/>
      <c r="R39" s="25"/>
      <c r="S39" s="25"/>
      <c r="T39" s="25"/>
      <c r="U39" s="25"/>
    </row>
    <row r="40" spans="1:21" ht="12.75">
      <c r="A40" s="25"/>
      <c r="B40" s="25"/>
      <c r="C40" s="25"/>
      <c r="D40" s="25"/>
      <c r="E40" s="25"/>
      <c r="F40" s="25"/>
      <c r="G40" s="25"/>
      <c r="H40" s="25"/>
      <c r="I40" s="25"/>
      <c r="J40" s="25"/>
      <c r="K40" s="25"/>
      <c r="L40" s="25"/>
      <c r="M40" s="25"/>
      <c r="N40" s="25"/>
      <c r="O40" s="25"/>
      <c r="P40" s="25"/>
      <c r="Q40" s="25"/>
      <c r="R40" s="25"/>
      <c r="S40" s="25"/>
      <c r="T40" s="25"/>
      <c r="U40" s="25"/>
    </row>
    <row r="41" spans="1:21" ht="12.75">
      <c r="A41" s="25"/>
      <c r="B41" s="25"/>
      <c r="C41" s="25"/>
      <c r="D41" s="25"/>
      <c r="E41" s="25"/>
      <c r="F41" s="25"/>
      <c r="G41" s="25"/>
      <c r="H41" s="25"/>
      <c r="I41" s="25"/>
      <c r="J41" s="25"/>
      <c r="K41" s="25"/>
      <c r="L41" s="25"/>
      <c r="M41" s="25"/>
      <c r="N41" s="25"/>
      <c r="O41" s="25"/>
      <c r="P41" s="25"/>
      <c r="Q41" s="25"/>
      <c r="R41" s="25"/>
      <c r="S41" s="25"/>
      <c r="T41" s="25"/>
      <c r="U41" s="25"/>
    </row>
    <row r="42" spans="1:21" ht="12.75">
      <c r="A42" s="25"/>
      <c r="B42" s="25"/>
      <c r="C42" s="25"/>
      <c r="D42" s="25"/>
      <c r="E42" s="25"/>
      <c r="F42" s="25"/>
      <c r="G42" s="25"/>
      <c r="H42" s="25"/>
      <c r="I42" s="25"/>
      <c r="J42" s="25"/>
      <c r="K42" s="25"/>
      <c r="L42" s="25"/>
      <c r="M42" s="25"/>
      <c r="N42" s="25"/>
      <c r="O42" s="25"/>
      <c r="P42" s="25"/>
      <c r="Q42" s="25"/>
      <c r="R42" s="25"/>
      <c r="S42" s="25"/>
      <c r="T42" s="25"/>
      <c r="U42" s="25"/>
    </row>
    <row r="43" spans="1:21" ht="12.75">
      <c r="A43" s="25"/>
      <c r="B43" s="25"/>
      <c r="C43" s="25"/>
      <c r="D43" s="25"/>
      <c r="E43" s="25"/>
      <c r="F43" s="25"/>
      <c r="G43" s="25"/>
      <c r="H43" s="25"/>
      <c r="I43" s="25"/>
      <c r="J43" s="25"/>
      <c r="K43" s="25"/>
      <c r="L43" s="25"/>
      <c r="M43" s="25"/>
      <c r="N43" s="25"/>
      <c r="O43" s="25"/>
      <c r="P43" s="25"/>
      <c r="Q43" s="25"/>
      <c r="R43" s="25"/>
      <c r="S43" s="25"/>
      <c r="T43" s="25"/>
      <c r="U43" s="25"/>
    </row>
    <row r="44" spans="1:21" ht="12.75">
      <c r="A44" s="25"/>
      <c r="B44" s="25"/>
      <c r="C44" s="25"/>
      <c r="D44" s="25"/>
      <c r="E44" s="25"/>
      <c r="F44" s="25"/>
      <c r="G44" s="25"/>
      <c r="H44" s="25"/>
      <c r="I44" s="25"/>
      <c r="J44" s="25"/>
      <c r="K44" s="25"/>
      <c r="L44" s="25"/>
      <c r="M44" s="25"/>
      <c r="N44" s="25"/>
      <c r="O44" s="25"/>
      <c r="P44" s="25"/>
      <c r="Q44" s="25"/>
      <c r="R44" s="25"/>
      <c r="S44" s="25"/>
      <c r="T44" s="25"/>
      <c r="U44" s="25"/>
    </row>
    <row r="45" spans="1:21" ht="12.75">
      <c r="A45" s="25"/>
      <c r="B45" s="25"/>
      <c r="C45" s="25"/>
      <c r="D45" s="25"/>
      <c r="E45" s="25"/>
      <c r="F45" s="25"/>
      <c r="G45" s="25"/>
      <c r="H45" s="25"/>
      <c r="I45" s="25"/>
      <c r="J45" s="25"/>
      <c r="K45" s="25"/>
      <c r="L45" s="25"/>
      <c r="M45" s="25"/>
      <c r="N45" s="25"/>
      <c r="O45" s="25"/>
      <c r="P45" s="25"/>
      <c r="Q45" s="25"/>
      <c r="R45" s="25"/>
      <c r="S45" s="25"/>
      <c r="T45" s="25"/>
      <c r="U45" s="25"/>
    </row>
    <row r="46" spans="1:21" ht="12.75">
      <c r="A46" s="25"/>
      <c r="B46" s="25"/>
      <c r="C46" s="25"/>
      <c r="D46" s="25"/>
      <c r="E46" s="25"/>
      <c r="F46" s="25"/>
      <c r="G46" s="25"/>
      <c r="H46" s="25"/>
      <c r="I46" s="25"/>
      <c r="J46" s="25"/>
      <c r="K46" s="25"/>
      <c r="L46" s="25"/>
      <c r="M46" s="25"/>
      <c r="N46" s="25"/>
      <c r="O46" s="25"/>
      <c r="P46" s="25"/>
      <c r="Q46" s="25"/>
      <c r="R46" s="25"/>
      <c r="S46" s="25"/>
      <c r="T46" s="25"/>
      <c r="U46" s="25"/>
    </row>
  </sheetData>
  <sheetProtection/>
  <printOptions/>
  <pageMargins left="0.75" right="0.75" top="1" bottom="1" header="0.5" footer="0.5"/>
  <pageSetup fitToHeight="1" fitToWidth="1" horizontalDpi="600" verticalDpi="600" orientation="landscape" scale="83" r:id="rId2"/>
  <headerFooter alignWithMargins="0">
    <oddHeader>&amp;CPHAS Scoring Tool</oddHeader>
    <oddFooter>&amp;CPage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9"/>
  <dimension ref="A1:G27"/>
  <sheetViews>
    <sheetView tabSelected="1" workbookViewId="0" topLeftCell="A1">
      <selection activeCell="D10" sqref="D10:D11"/>
    </sheetView>
  </sheetViews>
  <sheetFormatPr defaultColWidth="9.140625" defaultRowHeight="12.75"/>
  <cols>
    <col min="1" max="1" width="7.7109375" style="9" customWidth="1"/>
    <col min="2" max="2" width="18.140625" style="9" customWidth="1"/>
    <col min="3" max="3" width="10.00390625" style="9" customWidth="1"/>
    <col min="4" max="4" width="11.00390625" style="9" customWidth="1"/>
    <col min="5" max="5" width="12.28125" style="9" customWidth="1"/>
    <col min="6" max="6" width="13.57421875" style="9" customWidth="1"/>
    <col min="7" max="7" width="13.28125" style="9" customWidth="1"/>
    <col min="8" max="8" width="3.00390625" style="9" customWidth="1"/>
    <col min="9" max="9" width="11.421875" style="9" customWidth="1"/>
    <col min="10" max="10" width="5.28125" style="9" customWidth="1"/>
    <col min="11" max="11" width="3.00390625" style="9" customWidth="1"/>
    <col min="12" max="12" width="11.421875" style="9" customWidth="1"/>
    <col min="13" max="13" width="5.28125" style="9" customWidth="1"/>
    <col min="14" max="14" width="2.7109375" style="9" customWidth="1"/>
    <col min="15" max="15" width="11.140625" style="9" customWidth="1"/>
    <col min="16" max="16" width="5.421875" style="9" customWidth="1"/>
    <col min="17" max="16384" width="9.140625" style="9" customWidth="1"/>
  </cols>
  <sheetData>
    <row r="1" ht="18">
      <c r="A1" s="8" t="s">
        <v>115</v>
      </c>
    </row>
    <row r="3" spans="1:5" ht="12.75">
      <c r="A3" s="9" t="s">
        <v>90</v>
      </c>
      <c r="C3" s="105">
        <f>+Physical!$C$3</f>
        <v>0</v>
      </c>
      <c r="D3" s="105"/>
      <c r="E3" s="105"/>
    </row>
    <row r="5" spans="1:5" ht="12.75">
      <c r="A5" s="9" t="s">
        <v>91</v>
      </c>
      <c r="C5" s="106">
        <f>IF(LEN(+Physical!$C$5)=0,"",+Physical!$C$5)</f>
      </c>
      <c r="D5" s="106"/>
      <c r="E5" s="106"/>
    </row>
    <row r="7" spans="1:5" ht="12.75">
      <c r="A7" s="9" t="s">
        <v>31</v>
      </c>
      <c r="C7" s="95">
        <f>SUM(C10:C19)</f>
        <v>0</v>
      </c>
      <c r="D7" s="70"/>
      <c r="E7" s="70"/>
    </row>
    <row r="9" spans="1:7" ht="12.75">
      <c r="A9" s="10" t="s">
        <v>100</v>
      </c>
      <c r="B9" s="12" t="s">
        <v>98</v>
      </c>
      <c r="C9" s="10" t="s">
        <v>99</v>
      </c>
      <c r="D9" s="10" t="s">
        <v>116</v>
      </c>
      <c r="E9" s="10" t="s">
        <v>117</v>
      </c>
      <c r="F9" s="13" t="s">
        <v>118</v>
      </c>
      <c r="G9" s="13" t="s">
        <v>101</v>
      </c>
    </row>
    <row r="10" spans="1:7" ht="12.75">
      <c r="A10" s="11">
        <v>1</v>
      </c>
      <c r="B10" s="71">
        <f>IF(Physical!B10="","",Physical!B10)</f>
      </c>
      <c r="C10" s="71">
        <f>IF(ISNA(VLOOKUP(B10,Physical!$B$10:$C$19,2,FALSE)),"",VLOOKUP(B10,Physical!$B$10:$C$19,2,FALSE))</f>
      </c>
      <c r="D10" s="67">
        <f>IF(ISNA(VLOOKUP(B10,Physical!$B$10:$E$19,4,FALSE)),"",VLOOKUP(B10,Physical!$B$10:$E$19,4,FALSE))</f>
      </c>
      <c r="E10" s="67">
        <f>IF(ISNA(VLOOKUP(B10,Financial!$B$9:$J$18,9,FALSE)),"",VLOOKUP(B10,Financial!$B$9:$J$18,9,FALSE))</f>
      </c>
      <c r="F10" s="84">
        <f>IF(ISNA(HLOOKUP(B10,Management!$C$36:$L$58,23,FALSE)),"",HLOOKUP(B10,Management!$C$36:$L$58,23,FALSE))</f>
      </c>
      <c r="G10" s="27"/>
    </row>
    <row r="11" spans="1:7" ht="12.75">
      <c r="A11" s="11">
        <v>2</v>
      </c>
      <c r="B11" s="71">
        <f>IF(Physical!B11="","",Physical!B11)</f>
      </c>
      <c r="C11" s="71">
        <f>IF(ISNA(VLOOKUP(B11,Physical!$B$10:$C$19,2,FALSE)),"",VLOOKUP(B11,Physical!$B$10:$C$19,2,FALSE))</f>
      </c>
      <c r="D11" s="67">
        <f>IF(ISNA(VLOOKUP(B11,Physical!$B$10:$E$19,4,FALSE)),"",VLOOKUP(B11,Physical!$B$10:$E$19,4,FALSE))</f>
      </c>
      <c r="E11" s="67">
        <f>IF(ISNA(VLOOKUP(B11,Financial!$B$9:$J$18,9,FALSE)),"",VLOOKUP(B11,Financial!$B$9:$J$18,9,FALSE))</f>
      </c>
      <c r="F11" s="84">
        <f>IF(ISNA(HLOOKUP(B11,Management!$C$36:$L$58,23,FALSE)),"",HLOOKUP(B11,Management!$C$36:$L$58,23,FALSE))</f>
      </c>
      <c r="G11" s="27"/>
    </row>
    <row r="12" spans="1:7" ht="12.75">
      <c r="A12" s="11">
        <v>3</v>
      </c>
      <c r="B12" s="71">
        <f>IF(Physical!B12="","",Physical!B12)</f>
      </c>
      <c r="C12" s="71">
        <f>IF(ISNA(VLOOKUP(B12,Physical!$B$10:$C$19,2,FALSE)),"",VLOOKUP(B12,Physical!$B$10:$C$19,2,FALSE))</f>
      </c>
      <c r="D12" s="67">
        <f>IF(ISNA(VLOOKUP(B12,Physical!$B$10:$E$19,4,FALSE)),"",VLOOKUP(B12,Physical!$B$10:$E$19,4,FALSE))</f>
      </c>
      <c r="E12" s="67">
        <f>IF(ISNA(VLOOKUP(B12,Financial!$B$9:$J$18,9,FALSE)),"",VLOOKUP(B12,Financial!$B$9:$J$18,9,FALSE))</f>
      </c>
      <c r="F12" s="84">
        <f>IF(ISNA(HLOOKUP(B12,Management!$C$36:$L$58,23,FALSE)),"",HLOOKUP(B12,Management!$C$36:$L$58,23,FALSE))</f>
      </c>
      <c r="G12" s="27"/>
    </row>
    <row r="13" spans="1:7" ht="12.75">
      <c r="A13" s="11">
        <v>4</v>
      </c>
      <c r="B13" s="71">
        <f>IF(Physical!B13="","",Physical!B13)</f>
      </c>
      <c r="C13" s="71">
        <f>IF(ISNA(VLOOKUP(B13,Physical!$B$10:$C$19,2,FALSE)),"",VLOOKUP(B13,Physical!$B$10:$C$19,2,FALSE))</f>
      </c>
      <c r="D13" s="67">
        <f>IF(ISNA(VLOOKUP(B13,Physical!$B$10:$E$19,4,FALSE)),"",VLOOKUP(B13,Physical!$B$10:$E$19,4,FALSE))</f>
      </c>
      <c r="E13" s="67">
        <f>IF(ISNA(VLOOKUP(B13,Financial!$B$9:$J$18,9,FALSE)),"",VLOOKUP(B13,Financial!$B$9:$J$18,9,FALSE))</f>
      </c>
      <c r="F13" s="84">
        <f>IF(ISNA(HLOOKUP(B13,Management!$C$36:$L$58,23,FALSE)),"",HLOOKUP(B13,Management!$C$36:$L$58,23,FALSE))</f>
      </c>
      <c r="G13" s="27"/>
    </row>
    <row r="14" spans="1:7" ht="12.75">
      <c r="A14" s="11">
        <v>5</v>
      </c>
      <c r="B14" s="71">
        <f>IF(Physical!B14="","",Physical!B14)</f>
      </c>
      <c r="C14" s="71">
        <f>IF(ISNA(VLOOKUP(B14,Physical!$B$10:$C$19,2,FALSE)),"",VLOOKUP(B14,Physical!$B$10:$C$19,2,FALSE))</f>
      </c>
      <c r="D14" s="67">
        <f>IF(ISNA(VLOOKUP(B14,Physical!$B$10:$E$19,4,FALSE)),"",VLOOKUP(B14,Physical!$B$10:$E$19,4,FALSE))</f>
      </c>
      <c r="E14" s="67">
        <f>IF(ISNA(VLOOKUP(B14,Financial!$B$9:$J$18,9,FALSE)),"",VLOOKUP(B14,Financial!$B$9:$J$18,9,FALSE))</f>
      </c>
      <c r="F14" s="84">
        <f>IF(ISNA(HLOOKUP(B14,Management!$C$36:$L$58,23,FALSE)),"",HLOOKUP(B14,Management!$C$36:$L$58,23,FALSE))</f>
      </c>
      <c r="G14" s="27"/>
    </row>
    <row r="15" spans="1:7" ht="12.75">
      <c r="A15" s="11">
        <v>6</v>
      </c>
      <c r="B15" s="71">
        <f>IF(Physical!B15="","",Physical!B15)</f>
      </c>
      <c r="C15" s="71">
        <f>IF(ISNA(VLOOKUP(B15,Physical!$B$10:$C$19,2,FALSE)),"",VLOOKUP(B15,Physical!$B$10:$C$19,2,FALSE))</f>
      </c>
      <c r="D15" s="67">
        <f>IF(ISNA(VLOOKUP(B15,Physical!$B$10:$E$19,4,FALSE)),"",VLOOKUP(B15,Physical!$B$10:$E$19,4,FALSE))</f>
      </c>
      <c r="E15" s="67">
        <f>IF(ISNA(VLOOKUP(B15,Financial!$B$9:$J$18,9,FALSE)),"",VLOOKUP(B15,Financial!$B$9:$J$18,9,FALSE))</f>
      </c>
      <c r="F15" s="84">
        <f>IF(ISNA(HLOOKUP(B15,Management!$C$36:$L$58,23,FALSE)),"",HLOOKUP(B15,Management!$C$36:$L$58,23,FALSE))</f>
      </c>
      <c r="G15" s="27"/>
    </row>
    <row r="16" spans="1:7" ht="12.75">
      <c r="A16" s="11">
        <v>7</v>
      </c>
      <c r="B16" s="71">
        <f>IF(Physical!B16="","",Physical!B16)</f>
      </c>
      <c r="C16" s="71">
        <f>IF(ISNA(VLOOKUP(B16,Physical!$B$10:$C$19,2,FALSE)),"",VLOOKUP(B16,Physical!$B$10:$C$19,2,FALSE))</f>
      </c>
      <c r="D16" s="67">
        <f>IF(ISNA(VLOOKUP(B16,Physical!$B$10:$E$19,4,FALSE)),"",VLOOKUP(B16,Physical!$B$10:$E$19,4,FALSE))</f>
      </c>
      <c r="E16" s="67">
        <f>IF(ISNA(VLOOKUP(B16,Financial!$B$9:$J$18,9,FALSE)),"",VLOOKUP(B16,Financial!$B$9:$J$18,9,FALSE))</f>
      </c>
      <c r="F16" s="84">
        <f>IF(ISNA(HLOOKUP(B16,Management!$C$36:$L$58,23,FALSE)),"",HLOOKUP(B16,Management!$C$36:$L$58,23,FALSE))</f>
      </c>
      <c r="G16" s="27"/>
    </row>
    <row r="17" spans="1:7" ht="12.75">
      <c r="A17" s="11">
        <v>8</v>
      </c>
      <c r="B17" s="71">
        <f>IF(Physical!B17="","",Physical!B17)</f>
      </c>
      <c r="C17" s="71">
        <f>IF(ISNA(VLOOKUP(B17,Physical!$B$10:$C$19,2,FALSE)),"",VLOOKUP(B17,Physical!$B$10:$C$19,2,FALSE))</f>
      </c>
      <c r="D17" s="67">
        <f>IF(ISNA(VLOOKUP(B17,Physical!$B$10:$E$19,4,FALSE)),"",VLOOKUP(B17,Physical!$B$10:$E$19,4,FALSE))</f>
      </c>
      <c r="E17" s="67">
        <f>IF(ISNA(VLOOKUP(B17,Financial!$B$9:$J$18,9,FALSE)),"",VLOOKUP(B17,Financial!$B$9:$J$18,9,FALSE))</f>
      </c>
      <c r="F17" s="84">
        <f>IF(ISNA(HLOOKUP(B17,Management!$C$36:$L$58,23,FALSE)),"",HLOOKUP(B17,Management!$C$36:$L$58,23,FALSE))</f>
      </c>
      <c r="G17" s="27"/>
    </row>
    <row r="18" spans="1:7" ht="12.75">
      <c r="A18" s="11">
        <v>9</v>
      </c>
      <c r="B18" s="71">
        <f>IF(Physical!B18="","",Physical!B18)</f>
      </c>
      <c r="C18" s="71">
        <f>IF(ISNA(VLOOKUP(B18,Physical!$B$10:$C$19,2,FALSE)),"",VLOOKUP(B18,Physical!$B$10:$C$19,2,FALSE))</f>
      </c>
      <c r="D18" s="67">
        <f>IF(ISNA(VLOOKUP(B18,Physical!$B$10:$E$19,4,FALSE)),"",VLOOKUP(B18,Physical!$B$10:$E$19,4,FALSE))</f>
      </c>
      <c r="E18" s="67">
        <f>IF(ISNA(VLOOKUP(B18,Financial!$B$9:$J$18,9,FALSE)),"",VLOOKUP(B18,Financial!$B$9:$J$18,9,FALSE))</f>
      </c>
      <c r="F18" s="84">
        <f>IF(ISNA(HLOOKUP(B18,Management!$C$36:$L$58,23,FALSE)),"",HLOOKUP(B18,Management!$C$36:$L$58,23,FALSE))</f>
      </c>
      <c r="G18" s="27"/>
    </row>
    <row r="19" spans="1:7" ht="13.5" thickBot="1">
      <c r="A19" s="38">
        <v>10</v>
      </c>
      <c r="B19" s="85">
        <f>IF(Physical!B19="","",Physical!B19)</f>
      </c>
      <c r="C19" s="71">
        <f>IF(ISNA(VLOOKUP(B19,Physical!$B$10:$C$19,2,FALSE)),"",VLOOKUP(B19,Physical!$B$10:$C$19,2,FALSE))</f>
      </c>
      <c r="D19" s="67">
        <f>IF(ISNA(VLOOKUP(B19,Physical!$B$10:$E$19,4,FALSE)),"",VLOOKUP(B19,Physical!$B$10:$E$19,4,FALSE))</f>
      </c>
      <c r="E19" s="67">
        <f>IF(ISNA(VLOOKUP(B19,Financial!$B$9:$J$18,9,FALSE)),"",VLOOKUP(B19,Financial!$B$9:$J$18,9,FALSE))</f>
      </c>
      <c r="F19" s="84">
        <f>IF(ISNA(HLOOKUP(B19,Management!$C$36:$L$58,23,FALSE)),"",HLOOKUP(B19,Management!$C$36:$L$58,23,FALSE))</f>
      </c>
      <c r="G19" s="40"/>
    </row>
    <row r="20" spans="1:7" ht="13.5" thickBot="1">
      <c r="A20" s="117" t="s">
        <v>32</v>
      </c>
      <c r="B20" s="118"/>
      <c r="C20" s="119"/>
      <c r="D20" s="86">
        <f>+Physical!E21</f>
        <v>0</v>
      </c>
      <c r="E20" s="86">
        <f>+Financial!J20</f>
        <v>0</v>
      </c>
      <c r="F20" s="86">
        <f>Management!L61</f>
        <v>0</v>
      </c>
      <c r="G20" s="87">
        <f>'Capital Fund'!B13</f>
        <v>0</v>
      </c>
    </row>
    <row r="21" spans="1:7" ht="14.25" customHeight="1">
      <c r="A21" s="97" t="s">
        <v>73</v>
      </c>
      <c r="B21" s="112"/>
      <c r="C21" s="113"/>
      <c r="D21" s="65">
        <v>30</v>
      </c>
      <c r="E21" s="65">
        <v>20</v>
      </c>
      <c r="F21" s="65">
        <v>40</v>
      </c>
      <c r="G21" s="65">
        <v>10</v>
      </c>
    </row>
    <row r="22" spans="1:7" ht="12.75">
      <c r="A22" s="114" t="s">
        <v>74</v>
      </c>
      <c r="B22" s="115"/>
      <c r="C22" s="116"/>
      <c r="D22" s="88">
        <f>D20/D21</f>
        <v>0</v>
      </c>
      <c r="E22" s="88">
        <f>E20/E21</f>
        <v>0</v>
      </c>
      <c r="F22" s="88">
        <f>F20/F21</f>
        <v>0</v>
      </c>
      <c r="G22" s="88">
        <f>G20/G21</f>
        <v>0</v>
      </c>
    </row>
    <row r="23" ht="17.25" customHeight="1"/>
    <row r="24" spans="3:7" ht="12.75">
      <c r="C24" s="14" t="s">
        <v>70</v>
      </c>
      <c r="G24" s="76">
        <f>IF(SUM(Physical!$C$10:$C$19)=0,0,ROUND(SUM(D20:G20),0))</f>
        <v>0</v>
      </c>
    </row>
    <row r="25" ht="9" customHeight="1">
      <c r="C25" s="89" t="s">
        <v>63</v>
      </c>
    </row>
    <row r="26" spans="3:7" ht="15" customHeight="1">
      <c r="C26" s="14" t="s">
        <v>71</v>
      </c>
      <c r="F26" s="111" t="str">
        <f>IF(SUM(Physical!$C$10:$C$19)=0,"N/A",IF($G$24&lt;60,"Troubled Performer",IF($G$20&lt;6,"Troubled Performer",IF($D$20&lt;18,"Substandard Performer",IF($E$20&lt;12,"Substandard Performer",IF($F$20&lt;24,"Substandard Performer",IF(AND($G$24&gt;=90,'High Performer (Hide)'!A16="High Performer"),"High Performer","Standard Performer")))))))</f>
        <v>N/A</v>
      </c>
      <c r="G26" s="96"/>
    </row>
    <row r="27" spans="4:6" ht="12.75">
      <c r="D27" s="14"/>
      <c r="F27" s="24">
        <f>IF(G24&lt;90,"",IF(AND('High Performer (Hide)'!A16="Standard Performer",G24&gt;=90),"More than 10% of units in failed project",""))</f>
      </c>
    </row>
  </sheetData>
  <sheetProtection/>
  <mergeCells count="6">
    <mergeCell ref="C3:E3"/>
    <mergeCell ref="C5:E5"/>
    <mergeCell ref="F26:G26"/>
    <mergeCell ref="A21:C21"/>
    <mergeCell ref="A22:C22"/>
    <mergeCell ref="A20:C20"/>
  </mergeCells>
  <conditionalFormatting sqref="D22">
    <cfRule type="cellIs" priority="1" dxfId="0" operator="lessThan" stopIfTrue="1">
      <formula>0.6</formula>
    </cfRule>
  </conditionalFormatting>
  <conditionalFormatting sqref="E22:G22">
    <cfRule type="cellIs" priority="2" dxfId="1" operator="lessThan" stopIfTrue="1">
      <formula>0.6</formula>
    </cfRule>
  </conditionalFormatting>
  <conditionalFormatting sqref="F26:G26">
    <cfRule type="cellIs" priority="3" dxfId="2" operator="equal" stopIfTrue="1">
      <formula>"Substandard Performer"</formula>
    </cfRule>
    <cfRule type="cellIs" priority="4" dxfId="3" operator="equal" stopIfTrue="1">
      <formula>"High Performer"</formula>
    </cfRule>
    <cfRule type="cellIs" priority="5" dxfId="4" operator="equal" stopIfTrue="1">
      <formula>"Standard Performer"</formula>
    </cfRule>
  </conditionalFormatting>
  <conditionalFormatting sqref="E10:E19">
    <cfRule type="cellIs" priority="6" dxfId="5" operator="lessThan" stopIfTrue="1">
      <formula>12</formula>
    </cfRule>
  </conditionalFormatting>
  <conditionalFormatting sqref="D10:D19">
    <cfRule type="cellIs" priority="7" dxfId="5" operator="lessThan" stopIfTrue="1">
      <formula>18</formula>
    </cfRule>
  </conditionalFormatting>
  <conditionalFormatting sqref="F10:F19">
    <cfRule type="cellIs" priority="8" dxfId="5" operator="lessThan" stopIfTrue="1">
      <formula>24</formula>
    </cfRule>
  </conditionalFormatting>
  <printOptions/>
  <pageMargins left="0.75" right="0.75" top="1" bottom="1" header="0.5" footer="0.5"/>
  <pageSetup horizontalDpi="600" verticalDpi="600" orientation="landscape" r:id="rId2"/>
  <headerFooter alignWithMargins="0">
    <oddHeader>&amp;CPHAS Scoring Tool</oddHeader>
    <oddFooter>&amp;CPage &amp;P of &amp;N</oddFooter>
  </headerFooter>
  <drawing r:id="rId1"/>
</worksheet>
</file>

<file path=xl/worksheets/sheet11.xml><?xml version="1.0" encoding="utf-8"?>
<worksheet xmlns="http://schemas.openxmlformats.org/spreadsheetml/2006/main" xmlns:r="http://schemas.openxmlformats.org/officeDocument/2006/relationships">
  <sheetPr codeName="Sheet10"/>
  <dimension ref="A1:H16"/>
  <sheetViews>
    <sheetView workbookViewId="0" topLeftCell="A1">
      <selection activeCell="A16" sqref="A16"/>
    </sheetView>
  </sheetViews>
  <sheetFormatPr defaultColWidth="9.140625" defaultRowHeight="12.75"/>
  <sheetData>
    <row r="1" spans="1:8" ht="12.75">
      <c r="A1" s="10" t="s">
        <v>116</v>
      </c>
      <c r="B1" s="42"/>
      <c r="C1" s="42"/>
      <c r="D1" s="10" t="s">
        <v>117</v>
      </c>
      <c r="E1" s="42"/>
      <c r="F1" s="42"/>
      <c r="G1" s="10" t="s">
        <v>192</v>
      </c>
      <c r="H1" s="42"/>
    </row>
    <row r="2" spans="1:8" ht="12.75">
      <c r="A2" s="11">
        <f>IF(PHAS!B10="","",IF(PHAS!D10&lt;18,"Fail","Pass"))</f>
      </c>
      <c r="B2" s="42"/>
      <c r="C2" s="42"/>
      <c r="D2" s="11">
        <f>IF(PHAS!B10="","",IF(PHAS!E10&lt;12,"Fail","Pass"))</f>
      </c>
      <c r="E2" s="42"/>
      <c r="F2" s="42"/>
      <c r="G2" s="11">
        <f>IF(PHAS!B10="","",IF(PHAS!F10&lt;24,"Fail","Pass"))</f>
      </c>
      <c r="H2" s="43"/>
    </row>
    <row r="3" spans="1:8" ht="12.75">
      <c r="A3" s="11">
        <f>IF(PHAS!B11="","",IF(PHAS!D11&lt;18,"Fail","Pass"))</f>
      </c>
      <c r="B3" s="42"/>
      <c r="C3" s="42"/>
      <c r="D3" s="11">
        <f>IF(PHAS!B11="","",IF(PHAS!E11&lt;12,"Fail","Pass"))</f>
      </c>
      <c r="E3" s="42"/>
      <c r="F3" s="42"/>
      <c r="G3" s="11">
        <f>IF(PHAS!B11="","",IF(PHAS!F11&lt;24,"Fail","Pass"))</f>
      </c>
      <c r="H3" s="42"/>
    </row>
    <row r="4" spans="1:8" ht="12.75">
      <c r="A4" s="11">
        <f>IF(PHAS!B12="","",IF(PHAS!D12&lt;18,"Fail","Pass"))</f>
      </c>
      <c r="B4" s="42"/>
      <c r="C4" s="42"/>
      <c r="D4" s="11">
        <f>IF(PHAS!B12="","",IF(PHAS!E12&lt;12,"Fail","Pass"))</f>
      </c>
      <c r="E4" s="42"/>
      <c r="F4" s="42"/>
      <c r="G4" s="11">
        <f>IF(PHAS!B12="","",IF(PHAS!F12&lt;24,"Fail","Pass"))</f>
      </c>
      <c r="H4" s="42"/>
    </row>
    <row r="5" spans="1:8" ht="12.75">
      <c r="A5" s="11">
        <f>IF(PHAS!B13="","",IF(PHAS!D13&lt;18,"Fail","Pass"))</f>
      </c>
      <c r="B5" s="42"/>
      <c r="C5" s="42"/>
      <c r="D5" s="11">
        <f>IF(PHAS!B13="","",IF(PHAS!E13&lt;12,"Fail","Pass"))</f>
      </c>
      <c r="E5" s="42"/>
      <c r="F5" s="42"/>
      <c r="G5" s="11">
        <f>IF(PHAS!B13="","",IF(PHAS!F13&lt;24,"Fail","Pass"))</f>
      </c>
      <c r="H5" s="42"/>
    </row>
    <row r="6" spans="1:8" ht="12.75">
      <c r="A6" s="11">
        <f>IF(PHAS!B14="","",IF(PHAS!D14&lt;18,"Fail","Pass"))</f>
      </c>
      <c r="B6" s="42"/>
      <c r="C6" s="42"/>
      <c r="D6" s="11">
        <f>IF(PHAS!B14="","",IF(PHAS!E14&lt;12,"Fail","Pass"))</f>
      </c>
      <c r="E6" s="42"/>
      <c r="F6" s="42"/>
      <c r="G6" s="11">
        <f>IF(PHAS!B14="","",IF(PHAS!F14&lt;24,"Fail","Pass"))</f>
      </c>
      <c r="H6" s="42"/>
    </row>
    <row r="7" spans="1:8" ht="12.75">
      <c r="A7" s="11">
        <f>IF(PHAS!B15="","",IF(PHAS!D15&lt;18,"Fail","Pass"))</f>
      </c>
      <c r="B7" s="42"/>
      <c r="C7" s="42"/>
      <c r="D7" s="11">
        <f>IF(PHAS!B15="","",IF(PHAS!E15&lt;12,"Fail","Pass"))</f>
      </c>
      <c r="E7" s="42"/>
      <c r="F7" s="42"/>
      <c r="G7" s="11">
        <f>IF(PHAS!B15="","",IF(PHAS!F15&lt;24,"Fail","Pass"))</f>
      </c>
      <c r="H7" s="42"/>
    </row>
    <row r="8" spans="1:8" ht="12.75">
      <c r="A8" s="11">
        <f>IF(PHAS!B16="","",IF(PHAS!D16&lt;18,"Fail","Pass"))</f>
      </c>
      <c r="B8" s="42"/>
      <c r="C8" s="42"/>
      <c r="D8" s="11">
        <f>IF(PHAS!B16="","",IF(PHAS!E16&lt;12,"Fail","Pass"))</f>
      </c>
      <c r="E8" s="42"/>
      <c r="F8" s="42"/>
      <c r="G8" s="11">
        <f>IF(PHAS!B16="","",IF(PHAS!F16&lt;24,"Fail","Pass"))</f>
      </c>
      <c r="H8" s="42"/>
    </row>
    <row r="9" spans="1:8" ht="12.75">
      <c r="A9" s="11">
        <f>IF(PHAS!B17="","",IF(PHAS!D17&lt;18,"Fail","Pass"))</f>
      </c>
      <c r="B9" s="42"/>
      <c r="C9" s="42"/>
      <c r="D9" s="11">
        <f>IF(PHAS!B17="","",IF(PHAS!E17&lt;12,"Fail","Pass"))</f>
      </c>
      <c r="E9" s="42"/>
      <c r="F9" s="42"/>
      <c r="G9" s="11">
        <f>IF(PHAS!B17="","",IF(PHAS!F17&lt;24,"Fail","Pass"))</f>
      </c>
      <c r="H9" s="42"/>
    </row>
    <row r="10" spans="1:8" ht="12.75">
      <c r="A10" s="11">
        <f>IF(PHAS!B18="","",IF(PHAS!D18&lt;18,"Fail","Pass"))</f>
      </c>
      <c r="B10" s="42"/>
      <c r="C10" s="42"/>
      <c r="D10" s="11">
        <f>IF(PHAS!B18="","",IF(PHAS!E18&lt;12,"Fail","Pass"))</f>
      </c>
      <c r="E10" s="42"/>
      <c r="F10" s="42"/>
      <c r="G10" s="11">
        <f>IF(PHAS!B18="","",IF(PHAS!F18&lt;24,"Fail","Pass"))</f>
      </c>
      <c r="H10" s="42"/>
    </row>
    <row r="11" spans="1:8" ht="12.75">
      <c r="A11" s="38">
        <f>IF(PHAS!B19="","",IF(PHAS!D19&lt;18,"Fail","Pass"))</f>
      </c>
      <c r="B11" s="42"/>
      <c r="C11" s="42"/>
      <c r="D11" s="38">
        <f>IF(PHAS!B19="","",IF(PHAS!E19&lt;12,"Fail","Pass"))</f>
      </c>
      <c r="E11" s="42"/>
      <c r="F11" s="42"/>
      <c r="G11" s="38">
        <f>IF(PHAS!B19="","",IF(PHAS!F19&lt;24,"Fail","Pass"))</f>
      </c>
      <c r="H11" s="42"/>
    </row>
    <row r="12" spans="1:8" ht="12.75">
      <c r="A12" s="44" t="s">
        <v>193</v>
      </c>
      <c r="B12" s="45">
        <f>SUMIF($A$2:$A$11,"Fail",PHAS!$C$10:$C$19)</f>
        <v>0</v>
      </c>
      <c r="C12" s="42"/>
      <c r="D12" s="44" t="s">
        <v>193</v>
      </c>
      <c r="E12" s="44">
        <f>SUMIF($D$2:$D$11,"Fail",PHAS!$C$10:$C$19)</f>
        <v>0</v>
      </c>
      <c r="F12" s="42"/>
      <c r="G12" s="44" t="s">
        <v>193</v>
      </c>
      <c r="H12" s="20">
        <f>SUMIF($G$2:$G$11,"Fail",PHAS!$C$10:$C$19)</f>
        <v>0</v>
      </c>
    </row>
    <row r="13" spans="1:8" ht="12.75">
      <c r="A13" s="125">
        <f>IF(B12&gt;PHAS!$C$20*0.1,"Standard Performer",0)</f>
        <v>0</v>
      </c>
      <c r="B13" s="125"/>
      <c r="C13" s="43"/>
      <c r="D13" s="120">
        <f>IF(E12&gt;PHAS!$C$20*0.1,"Standard Performer",0)</f>
        <v>0</v>
      </c>
      <c r="E13" s="120"/>
      <c r="F13" s="43"/>
      <c r="G13" s="121">
        <f>IF(H12&gt;PHAS!$C$20*0.1,"Standard Performer",0)</f>
        <v>0</v>
      </c>
      <c r="H13" s="122"/>
    </row>
    <row r="14" spans="1:8" ht="12.75">
      <c r="A14" s="120"/>
      <c r="B14" s="120"/>
      <c r="C14" s="43"/>
      <c r="D14" s="120"/>
      <c r="E14" s="120"/>
      <c r="F14" s="43"/>
      <c r="G14" s="123"/>
      <c r="H14" s="124"/>
    </row>
    <row r="15" spans="1:8" ht="12.75">
      <c r="A15" s="43"/>
      <c r="B15" s="43"/>
      <c r="C15" s="43"/>
      <c r="D15" s="43"/>
      <c r="E15" s="43"/>
      <c r="F15" s="43"/>
      <c r="G15" s="43"/>
      <c r="H15" s="43"/>
    </row>
    <row r="16" spans="1:8" ht="12.75">
      <c r="A16" s="9" t="str">
        <f>IF(OR(A13="Standard Performer",D13="Standard Performer",G13="Standard Performer"),"Standard Performer","High Performer")</f>
        <v>High Performer</v>
      </c>
      <c r="B16" s="43"/>
      <c r="C16" s="43"/>
      <c r="D16" s="43"/>
      <c r="E16" s="43"/>
      <c r="F16" s="43"/>
      <c r="G16" s="43"/>
      <c r="H16" s="43"/>
    </row>
  </sheetData>
  <mergeCells count="3">
    <mergeCell ref="D13:E14"/>
    <mergeCell ref="G13:H14"/>
    <mergeCell ref="A13:B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L5"/>
  <sheetViews>
    <sheetView workbookViewId="0" topLeftCell="A1">
      <selection activeCell="A4" sqref="A4"/>
    </sheetView>
  </sheetViews>
  <sheetFormatPr defaultColWidth="9.140625" defaultRowHeight="12.75"/>
  <sheetData>
    <row r="1" ht="12.75">
      <c r="A1" t="s">
        <v>0</v>
      </c>
    </row>
    <row r="2" ht="12.75">
      <c r="A2" t="s">
        <v>75</v>
      </c>
    </row>
    <row r="3" ht="12.75">
      <c r="A3" t="s">
        <v>1</v>
      </c>
    </row>
    <row r="5" spans="1:12" ht="38.25" customHeight="1">
      <c r="A5" s="98" t="str">
        <f>+A1&amp;A2&amp;A3</f>
        <v>This tool is intended as an aid to understanding the new scoring arrangements under the proposed rule, published August 21, 2008.  Please note that this tool is intended for informational purposes only. PHAS scores and indicator scores generated by this tool DO NOT represent official scores released by REAC. Please press "OK" to continue or "Cancel" to close the Scoring Tool.</v>
      </c>
      <c r="B5" s="98"/>
      <c r="C5" s="98"/>
      <c r="D5" s="98"/>
      <c r="E5" s="98"/>
      <c r="F5" s="98"/>
      <c r="G5" s="98"/>
      <c r="H5" s="98"/>
      <c r="I5" s="98"/>
      <c r="J5" s="98"/>
      <c r="K5" s="98"/>
      <c r="L5" s="98"/>
    </row>
  </sheetData>
  <mergeCells count="1">
    <mergeCell ref="A5:L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1"/>
  <dimension ref="A1:E309"/>
  <sheetViews>
    <sheetView showGridLines="0" zoomScaleSheetLayoutView="75" workbookViewId="0" topLeftCell="A1">
      <selection activeCell="A6" sqref="A6"/>
    </sheetView>
  </sheetViews>
  <sheetFormatPr defaultColWidth="9.140625" defaultRowHeight="12.75"/>
  <cols>
    <col min="1" max="1" width="121.140625" style="52" customWidth="1"/>
    <col min="2" max="2" width="41.00390625" style="52" customWidth="1"/>
    <col min="3" max="4" width="9.140625" style="52" customWidth="1"/>
    <col min="5" max="5" width="5.00390625" style="52" customWidth="1"/>
    <col min="6" max="16384" width="9.140625" style="52" customWidth="1"/>
  </cols>
  <sheetData>
    <row r="1" ht="31.5" customHeight="1">
      <c r="A1" s="92" t="s">
        <v>69</v>
      </c>
    </row>
    <row r="2" ht="15.75">
      <c r="A2" s="46" t="s">
        <v>194</v>
      </c>
    </row>
    <row r="3" ht="6" customHeight="1">
      <c r="A3" s="47"/>
    </row>
    <row r="4" ht="54.75" customHeight="1">
      <c r="A4" s="47" t="s">
        <v>14</v>
      </c>
    </row>
    <row r="5" ht="6" customHeight="1">
      <c r="A5" s="47"/>
    </row>
    <row r="6" ht="31.5">
      <c r="A6" s="62" t="s">
        <v>77</v>
      </c>
    </row>
    <row r="7" ht="6" customHeight="1">
      <c r="A7" s="47"/>
    </row>
    <row r="8" spans="1:2" ht="15.75">
      <c r="A8" s="48"/>
      <c r="B8" s="48"/>
    </row>
    <row r="9" spans="1:2" ht="15.75">
      <c r="A9" s="49"/>
      <c r="B9" s="49"/>
    </row>
    <row r="10" spans="1:2" ht="15.75">
      <c r="A10" s="49"/>
      <c r="B10" s="49"/>
    </row>
    <row r="11" spans="1:2" ht="15.75">
      <c r="A11" s="49"/>
      <c r="B11" s="49"/>
    </row>
    <row r="12" spans="1:2" ht="18.75" customHeight="1">
      <c r="A12" s="49"/>
      <c r="B12" s="49"/>
    </row>
    <row r="13" ht="6" customHeight="1">
      <c r="A13" s="47"/>
    </row>
    <row r="14" ht="51.75" customHeight="1">
      <c r="A14" s="47" t="s">
        <v>61</v>
      </c>
    </row>
    <row r="15" ht="6" customHeight="1">
      <c r="A15" s="47"/>
    </row>
    <row r="16" ht="66.75" customHeight="1">
      <c r="A16" s="47" t="s">
        <v>78</v>
      </c>
    </row>
    <row r="17" ht="39.75" customHeight="1">
      <c r="A17" s="63" t="s">
        <v>79</v>
      </c>
    </row>
    <row r="18" ht="6" customHeight="1">
      <c r="A18" s="47"/>
    </row>
    <row r="19" ht="15.75">
      <c r="A19" s="46" t="s">
        <v>195</v>
      </c>
    </row>
    <row r="20" ht="6" customHeight="1">
      <c r="A20" s="47"/>
    </row>
    <row r="21" ht="31.5">
      <c r="A21" s="47" t="s">
        <v>196</v>
      </c>
    </row>
    <row r="22" ht="6" customHeight="1">
      <c r="A22" s="47"/>
    </row>
    <row r="23" spans="1:5" ht="51.75" customHeight="1">
      <c r="A23" s="47" t="s">
        <v>48</v>
      </c>
      <c r="D23" s="59"/>
      <c r="E23" s="59"/>
    </row>
    <row r="24" ht="6" customHeight="1">
      <c r="A24" s="47" t="s">
        <v>197</v>
      </c>
    </row>
    <row r="25" ht="15.75">
      <c r="A25" s="46" t="s">
        <v>156</v>
      </c>
    </row>
    <row r="26" ht="6" customHeight="1">
      <c r="A26" s="47"/>
    </row>
    <row r="27" ht="15.75">
      <c r="A27" s="47" t="s">
        <v>198</v>
      </c>
    </row>
    <row r="28" ht="6" customHeight="1">
      <c r="A28" s="47"/>
    </row>
    <row r="29" ht="15.75">
      <c r="A29" s="47" t="s">
        <v>199</v>
      </c>
    </row>
    <row r="30" ht="15.75">
      <c r="A30" s="47" t="s">
        <v>200</v>
      </c>
    </row>
    <row r="31" ht="15.75">
      <c r="A31" s="47" t="s">
        <v>201</v>
      </c>
    </row>
    <row r="32" ht="15.75">
      <c r="A32" s="47" t="s">
        <v>202</v>
      </c>
    </row>
    <row r="33" ht="6" customHeight="1">
      <c r="A33" s="47"/>
    </row>
    <row r="34" ht="31.5">
      <c r="A34" s="47" t="s">
        <v>17</v>
      </c>
    </row>
    <row r="35" ht="5.25" customHeight="1">
      <c r="A35" s="47"/>
    </row>
    <row r="36" ht="47.25">
      <c r="A36" s="47" t="s">
        <v>18</v>
      </c>
    </row>
    <row r="37" ht="6" customHeight="1">
      <c r="A37" s="47"/>
    </row>
    <row r="38" ht="55.5" customHeight="1">
      <c r="A38" s="47" t="s">
        <v>19</v>
      </c>
    </row>
    <row r="39" ht="33.75" customHeight="1">
      <c r="A39" s="90" t="s">
        <v>20</v>
      </c>
    </row>
    <row r="40" ht="15.75">
      <c r="A40" s="47" t="s">
        <v>21</v>
      </c>
    </row>
    <row r="41" ht="6" customHeight="1">
      <c r="A41" s="47"/>
    </row>
    <row r="42" ht="15.75">
      <c r="A42" s="47" t="s">
        <v>22</v>
      </c>
    </row>
    <row r="43" ht="15" customHeight="1">
      <c r="A43" s="57"/>
    </row>
    <row r="44" ht="15.75">
      <c r="A44" s="46" t="s">
        <v>203</v>
      </c>
    </row>
    <row r="45" ht="6" customHeight="1">
      <c r="A45" s="47"/>
    </row>
    <row r="46" ht="52.5" customHeight="1">
      <c r="A46" s="47" t="s">
        <v>62</v>
      </c>
    </row>
    <row r="47" ht="15.75">
      <c r="A47" s="47" t="s">
        <v>80</v>
      </c>
    </row>
    <row r="48" ht="6" customHeight="1">
      <c r="A48" s="47"/>
    </row>
    <row r="49" ht="15.75">
      <c r="A49" s="47" t="s">
        <v>204</v>
      </c>
    </row>
    <row r="50" ht="6" customHeight="1">
      <c r="A50" s="47"/>
    </row>
    <row r="51" ht="15.75">
      <c r="A51" s="50" t="s">
        <v>205</v>
      </c>
    </row>
    <row r="52" ht="6" customHeight="1">
      <c r="A52" s="47"/>
    </row>
    <row r="53" ht="31.5">
      <c r="A53" s="50" t="s">
        <v>206</v>
      </c>
    </row>
    <row r="54" ht="6" customHeight="1">
      <c r="A54" s="47"/>
    </row>
    <row r="55" ht="15.75">
      <c r="A55" s="50" t="s">
        <v>207</v>
      </c>
    </row>
    <row r="56" ht="6" customHeight="1">
      <c r="A56" s="47"/>
    </row>
    <row r="57" ht="56.25" customHeight="1">
      <c r="A57" s="51" t="s">
        <v>49</v>
      </c>
    </row>
    <row r="58" ht="42.75" customHeight="1">
      <c r="A58" s="47" t="s">
        <v>64</v>
      </c>
    </row>
    <row r="59" ht="38.25" customHeight="1">
      <c r="A59" s="53" t="s">
        <v>65</v>
      </c>
    </row>
    <row r="60" ht="6" customHeight="1">
      <c r="A60" s="47"/>
    </row>
    <row r="61" ht="15.75">
      <c r="A61" s="46" t="s">
        <v>208</v>
      </c>
    </row>
    <row r="62" ht="6" customHeight="1">
      <c r="A62" s="47"/>
    </row>
    <row r="63" ht="36.75" customHeight="1">
      <c r="A63" s="47" t="s">
        <v>8</v>
      </c>
    </row>
    <row r="64" ht="52.5" customHeight="1">
      <c r="A64" s="47" t="s">
        <v>66</v>
      </c>
    </row>
    <row r="65" ht="57.75" customHeight="1">
      <c r="A65" s="51" t="s">
        <v>34</v>
      </c>
    </row>
    <row r="66" ht="15.75">
      <c r="A66" s="51"/>
    </row>
    <row r="67" ht="15.75">
      <c r="A67" s="51"/>
    </row>
    <row r="68" ht="9" customHeight="1">
      <c r="A68" s="51"/>
    </row>
    <row r="69" ht="15.75">
      <c r="A69" s="53" t="s">
        <v>36</v>
      </c>
    </row>
    <row r="70" ht="15.75">
      <c r="A70" s="53"/>
    </row>
    <row r="71" ht="39" customHeight="1">
      <c r="A71" s="51" t="s">
        <v>35</v>
      </c>
    </row>
    <row r="72" ht="15.75">
      <c r="A72" s="53"/>
    </row>
    <row r="73" ht="15.75">
      <c r="A73" s="53"/>
    </row>
    <row r="74" ht="9" customHeight="1">
      <c r="A74" s="53"/>
    </row>
    <row r="75" ht="15.75">
      <c r="A75" s="53" t="s">
        <v>37</v>
      </c>
    </row>
    <row r="76" ht="15.75">
      <c r="A76" s="53"/>
    </row>
    <row r="77" ht="38.25" customHeight="1">
      <c r="A77" s="51" t="s">
        <v>38</v>
      </c>
    </row>
    <row r="78" ht="15.75">
      <c r="A78" s="53"/>
    </row>
    <row r="79" ht="15.75">
      <c r="A79" s="53"/>
    </row>
    <row r="80" ht="13.5" customHeight="1">
      <c r="A80" s="53"/>
    </row>
    <row r="81" ht="33" customHeight="1">
      <c r="A81" s="53" t="s">
        <v>7</v>
      </c>
    </row>
    <row r="82" ht="18.75" customHeight="1">
      <c r="A82" s="47" t="s">
        <v>9</v>
      </c>
    </row>
    <row r="83" ht="6" customHeight="1">
      <c r="A83" s="47"/>
    </row>
    <row r="84" spans="1:2" ht="15.75">
      <c r="A84" s="99" t="s">
        <v>88</v>
      </c>
      <c r="B84" s="99"/>
    </row>
    <row r="85" spans="1:3" ht="15.75">
      <c r="A85" s="48"/>
      <c r="B85" s="48"/>
      <c r="C85" s="59"/>
    </row>
    <row r="86" spans="1:3" ht="15.75">
      <c r="A86" s="49"/>
      <c r="B86" s="49"/>
      <c r="C86" s="59"/>
    </row>
    <row r="87" spans="1:3" ht="15.75">
      <c r="A87" s="49"/>
      <c r="B87" s="49"/>
      <c r="C87" s="59"/>
    </row>
    <row r="88" spans="1:3" ht="15.75">
      <c r="A88" s="49"/>
      <c r="B88" s="49"/>
      <c r="C88" s="59"/>
    </row>
    <row r="89" spans="1:2" ht="15.75">
      <c r="A89" s="49"/>
      <c r="B89" s="60"/>
    </row>
    <row r="90" spans="1:2" ht="15.75">
      <c r="A90" s="99" t="s">
        <v>106</v>
      </c>
      <c r="B90" s="99"/>
    </row>
    <row r="91" spans="1:2" ht="15.75">
      <c r="A91" s="48"/>
      <c r="B91" s="48"/>
    </row>
    <row r="92" spans="1:2" ht="15.75">
      <c r="A92" s="49"/>
      <c r="B92" s="49"/>
    </row>
    <row r="93" spans="1:2" ht="15.75">
      <c r="A93" s="49"/>
      <c r="B93" s="49"/>
    </row>
    <row r="94" spans="1:2" ht="15.75">
      <c r="A94" s="49"/>
      <c r="B94" s="49"/>
    </row>
    <row r="95" spans="1:2" ht="15.75">
      <c r="A95" s="49"/>
      <c r="B95" s="60"/>
    </row>
    <row r="96" spans="1:2" ht="15.75">
      <c r="A96" s="99" t="s">
        <v>89</v>
      </c>
      <c r="B96" s="99"/>
    </row>
    <row r="97" spans="1:2" ht="15.75">
      <c r="A97" s="48"/>
      <c r="B97" s="48"/>
    </row>
    <row r="98" spans="1:2" ht="15.75">
      <c r="A98" s="49"/>
      <c r="B98" s="49"/>
    </row>
    <row r="99" spans="1:2" ht="15.75">
      <c r="A99" s="49"/>
      <c r="B99" s="49"/>
    </row>
    <row r="100" spans="1:2" ht="15.75">
      <c r="A100" s="49"/>
      <c r="B100" s="49"/>
    </row>
    <row r="101" ht="11.25" customHeight="1">
      <c r="A101" s="47"/>
    </row>
    <row r="102" ht="37.5" customHeight="1">
      <c r="A102" s="47" t="s">
        <v>92</v>
      </c>
    </row>
    <row r="103" ht="31.5" customHeight="1">
      <c r="A103" s="47" t="s">
        <v>50</v>
      </c>
    </row>
    <row r="104" ht="12.75">
      <c r="A104" s="57"/>
    </row>
    <row r="105" ht="15.75">
      <c r="A105" s="46" t="s">
        <v>93</v>
      </c>
    </row>
    <row r="106" ht="6" customHeight="1">
      <c r="A106" s="47"/>
    </row>
    <row r="107" ht="85.5" customHeight="1">
      <c r="A107" s="47" t="s">
        <v>94</v>
      </c>
    </row>
    <row r="108" ht="53.25" customHeight="1">
      <c r="A108" s="91" t="s">
        <v>11</v>
      </c>
    </row>
    <row r="109" ht="6" customHeight="1">
      <c r="A109" s="47"/>
    </row>
    <row r="110" ht="15.75">
      <c r="A110" s="54" t="s">
        <v>81</v>
      </c>
    </row>
    <row r="111" ht="6" customHeight="1">
      <c r="A111" s="47"/>
    </row>
    <row r="112" ht="15.75">
      <c r="A112" s="50" t="s">
        <v>46</v>
      </c>
    </row>
    <row r="113" ht="6" customHeight="1">
      <c r="A113" s="47"/>
    </row>
    <row r="114" ht="15.75">
      <c r="A114" s="50" t="s">
        <v>47</v>
      </c>
    </row>
    <row r="115" ht="6" customHeight="1">
      <c r="A115" s="47"/>
    </row>
    <row r="116" ht="15.75">
      <c r="A116" s="50" t="s">
        <v>57</v>
      </c>
    </row>
    <row r="117" ht="6" customHeight="1">
      <c r="A117" s="47"/>
    </row>
    <row r="118" ht="15.75">
      <c r="A118" s="50" t="s">
        <v>58</v>
      </c>
    </row>
    <row r="119" ht="6" customHeight="1">
      <c r="A119" s="47"/>
    </row>
    <row r="120" ht="15.75">
      <c r="A120" s="50" t="s">
        <v>59</v>
      </c>
    </row>
    <row r="121" ht="6" customHeight="1">
      <c r="A121" s="47"/>
    </row>
    <row r="122" ht="15.75">
      <c r="A122" s="50" t="s">
        <v>60</v>
      </c>
    </row>
    <row r="123" ht="6" customHeight="1">
      <c r="A123" s="47"/>
    </row>
    <row r="124" ht="15.75">
      <c r="A124" s="50" t="s">
        <v>82</v>
      </c>
    </row>
    <row r="125" ht="6" customHeight="1">
      <c r="A125" s="47"/>
    </row>
    <row r="126" ht="15.75">
      <c r="A126" s="50" t="s">
        <v>83</v>
      </c>
    </row>
    <row r="127" ht="6" customHeight="1">
      <c r="A127" s="47"/>
    </row>
    <row r="128" ht="15.75">
      <c r="A128" s="50" t="s">
        <v>84</v>
      </c>
    </row>
    <row r="129" ht="6" customHeight="1">
      <c r="A129" s="47"/>
    </row>
    <row r="130" ht="15.75">
      <c r="A130" s="50" t="s">
        <v>85</v>
      </c>
    </row>
    <row r="131" ht="6" customHeight="1">
      <c r="A131" s="47"/>
    </row>
    <row r="132" ht="15.75">
      <c r="A132" s="50" t="s">
        <v>86</v>
      </c>
    </row>
    <row r="133" ht="6" customHeight="1">
      <c r="A133" s="47"/>
    </row>
    <row r="134" ht="18.75" customHeight="1">
      <c r="A134" s="50" t="s">
        <v>87</v>
      </c>
    </row>
    <row r="135" ht="6" customHeight="1">
      <c r="A135" s="47"/>
    </row>
    <row r="136" ht="53.25" customHeight="1">
      <c r="A136" s="47" t="s">
        <v>51</v>
      </c>
    </row>
    <row r="137" ht="39.75" customHeight="1">
      <c r="A137" s="55" t="s">
        <v>67</v>
      </c>
    </row>
    <row r="138" ht="56.25" customHeight="1">
      <c r="A138" s="55" t="s">
        <v>68</v>
      </c>
    </row>
    <row r="139" ht="51.75" customHeight="1">
      <c r="A139" s="47" t="s">
        <v>95</v>
      </c>
    </row>
    <row r="140" ht="6" customHeight="1">
      <c r="A140" s="47"/>
    </row>
    <row r="141" ht="15.75">
      <c r="A141" s="56" t="s">
        <v>209</v>
      </c>
    </row>
    <row r="142" ht="6" customHeight="1">
      <c r="A142" s="47"/>
    </row>
    <row r="143" ht="15.75">
      <c r="A143" s="50" t="s">
        <v>210</v>
      </c>
    </row>
    <row r="144" ht="6" customHeight="1">
      <c r="A144" s="47"/>
    </row>
    <row r="145" ht="31.5">
      <c r="A145" s="50" t="s">
        <v>211</v>
      </c>
    </row>
    <row r="146" ht="6" customHeight="1">
      <c r="A146" s="47"/>
    </row>
    <row r="147" ht="31.5">
      <c r="A147" s="50" t="s">
        <v>212</v>
      </c>
    </row>
    <row r="148" ht="6" customHeight="1">
      <c r="A148" s="47"/>
    </row>
    <row r="149" ht="15.75">
      <c r="A149" s="50" t="s">
        <v>213</v>
      </c>
    </row>
    <row r="150" ht="15.75">
      <c r="A150" s="50"/>
    </row>
    <row r="151" ht="15.75">
      <c r="A151" s="50" t="s">
        <v>110</v>
      </c>
    </row>
    <row r="152" ht="6" customHeight="1">
      <c r="A152" s="47"/>
    </row>
    <row r="153" ht="121.5" customHeight="1">
      <c r="A153" s="50" t="s">
        <v>214</v>
      </c>
    </row>
    <row r="154" ht="6" customHeight="1">
      <c r="A154" s="47"/>
    </row>
    <row r="155" ht="47.25">
      <c r="A155" s="50" t="s">
        <v>215</v>
      </c>
    </row>
    <row r="156" ht="6" customHeight="1">
      <c r="A156" s="47"/>
    </row>
    <row r="157" ht="47.25">
      <c r="A157" s="50" t="s">
        <v>216</v>
      </c>
    </row>
    <row r="158" ht="15.75">
      <c r="A158" s="50"/>
    </row>
    <row r="159" ht="15.75">
      <c r="A159" s="50" t="s">
        <v>111</v>
      </c>
    </row>
    <row r="160" ht="6" customHeight="1">
      <c r="A160" s="47"/>
    </row>
    <row r="161" ht="31.5">
      <c r="A161" s="50" t="s">
        <v>217</v>
      </c>
    </row>
    <row r="162" ht="6" customHeight="1">
      <c r="A162" s="47"/>
    </row>
    <row r="163" ht="31.5">
      <c r="A163" s="50" t="s">
        <v>218</v>
      </c>
    </row>
    <row r="164" ht="6" customHeight="1">
      <c r="A164" s="47"/>
    </row>
    <row r="165" ht="31.5">
      <c r="A165" s="50" t="s">
        <v>219</v>
      </c>
    </row>
    <row r="166" ht="15.75">
      <c r="A166" s="50"/>
    </row>
    <row r="167" ht="15.75">
      <c r="A167" s="50" t="s">
        <v>112</v>
      </c>
    </row>
    <row r="168" ht="6" customHeight="1">
      <c r="A168" s="47"/>
    </row>
    <row r="169" ht="34.5" customHeight="1">
      <c r="A169" s="50" t="s">
        <v>220</v>
      </c>
    </row>
    <row r="170" ht="6" customHeight="1">
      <c r="A170" s="47"/>
    </row>
    <row r="171" ht="63">
      <c r="A171" s="50" t="s">
        <v>221</v>
      </c>
    </row>
    <row r="172" ht="6" customHeight="1">
      <c r="A172" s="47"/>
    </row>
    <row r="173" ht="31.5">
      <c r="A173" s="50" t="s">
        <v>222</v>
      </c>
    </row>
    <row r="174" ht="15.75">
      <c r="A174" s="50"/>
    </row>
    <row r="175" ht="15.75">
      <c r="A175" s="50" t="s">
        <v>175</v>
      </c>
    </row>
    <row r="176" ht="6" customHeight="1">
      <c r="A176" s="47"/>
    </row>
    <row r="177" ht="47.25">
      <c r="A177" s="50" t="s">
        <v>223</v>
      </c>
    </row>
    <row r="178" ht="6" customHeight="1">
      <c r="A178" s="47"/>
    </row>
    <row r="179" ht="47.25">
      <c r="A179" s="50" t="s">
        <v>224</v>
      </c>
    </row>
    <row r="180" ht="6" customHeight="1">
      <c r="A180" s="47"/>
    </row>
    <row r="181" ht="47.25">
      <c r="A181" s="50" t="s">
        <v>225</v>
      </c>
    </row>
    <row r="182" ht="15.75">
      <c r="A182" s="50"/>
    </row>
    <row r="183" ht="15.75">
      <c r="A183" s="50" t="s">
        <v>226</v>
      </c>
    </row>
    <row r="184" ht="6" customHeight="1">
      <c r="A184" s="47"/>
    </row>
    <row r="185" ht="47.25">
      <c r="A185" s="50" t="s">
        <v>227</v>
      </c>
    </row>
    <row r="186" ht="6" customHeight="1">
      <c r="A186" s="47"/>
    </row>
    <row r="187" ht="78.75">
      <c r="A187" s="50" t="s">
        <v>228</v>
      </c>
    </row>
    <row r="188" ht="6" customHeight="1">
      <c r="A188" s="47"/>
    </row>
    <row r="189" ht="47.25">
      <c r="A189" s="50" t="s">
        <v>229</v>
      </c>
    </row>
    <row r="190" ht="15.75">
      <c r="A190" s="50"/>
    </row>
    <row r="191" ht="15.75">
      <c r="A191" s="50" t="s">
        <v>230</v>
      </c>
    </row>
    <row r="192" ht="6" customHeight="1">
      <c r="A192" s="47"/>
    </row>
    <row r="193" ht="31.5">
      <c r="A193" s="50" t="s">
        <v>231</v>
      </c>
    </row>
    <row r="194" ht="6" customHeight="1">
      <c r="A194" s="47"/>
    </row>
    <row r="195" ht="31.5">
      <c r="A195" s="50" t="s">
        <v>232</v>
      </c>
    </row>
    <row r="196" ht="6" customHeight="1">
      <c r="A196" s="47"/>
    </row>
    <row r="197" ht="31.5">
      <c r="A197" s="50" t="s">
        <v>233</v>
      </c>
    </row>
    <row r="198" ht="15.75">
      <c r="A198" s="50"/>
    </row>
    <row r="199" ht="15.75">
      <c r="A199" s="50" t="s">
        <v>234</v>
      </c>
    </row>
    <row r="200" ht="6" customHeight="1">
      <c r="A200" s="47"/>
    </row>
    <row r="201" ht="31.5">
      <c r="A201" s="50" t="s">
        <v>235</v>
      </c>
    </row>
    <row r="202" ht="6" customHeight="1">
      <c r="A202" s="47"/>
    </row>
    <row r="203" ht="31.5">
      <c r="A203" s="50" t="s">
        <v>236</v>
      </c>
    </row>
    <row r="204" ht="6" customHeight="1">
      <c r="A204" s="47"/>
    </row>
    <row r="205" ht="31.5">
      <c r="A205" s="50" t="s">
        <v>237</v>
      </c>
    </row>
    <row r="206" ht="15.75">
      <c r="A206" s="50"/>
    </row>
    <row r="207" ht="15.75">
      <c r="A207" s="50" t="s">
        <v>127</v>
      </c>
    </row>
    <row r="208" ht="6" customHeight="1">
      <c r="A208" s="47"/>
    </row>
    <row r="209" ht="31.5">
      <c r="A209" s="50" t="s">
        <v>238</v>
      </c>
    </row>
    <row r="210" ht="6" customHeight="1">
      <c r="A210" s="47"/>
    </row>
    <row r="211" ht="31.5">
      <c r="A211" s="50" t="s">
        <v>239</v>
      </c>
    </row>
    <row r="212" ht="6" customHeight="1">
      <c r="A212" s="47"/>
    </row>
    <row r="213" ht="63">
      <c r="A213" s="50" t="s">
        <v>240</v>
      </c>
    </row>
    <row r="214" ht="6" customHeight="1">
      <c r="A214" s="47"/>
    </row>
    <row r="215" ht="63">
      <c r="A215" s="50" t="s">
        <v>241</v>
      </c>
    </row>
    <row r="216" ht="6" customHeight="1">
      <c r="A216" s="47"/>
    </row>
    <row r="217" ht="31.5">
      <c r="A217" s="50" t="s">
        <v>24</v>
      </c>
    </row>
    <row r="218" ht="15.75">
      <c r="A218" s="50"/>
    </row>
    <row r="219" ht="15.75">
      <c r="A219" s="50" t="s">
        <v>128</v>
      </c>
    </row>
    <row r="220" ht="6" customHeight="1">
      <c r="A220" s="47"/>
    </row>
    <row r="221" ht="31.5">
      <c r="A221" s="50" t="s">
        <v>2</v>
      </c>
    </row>
    <row r="222" ht="6" customHeight="1">
      <c r="A222" s="47"/>
    </row>
    <row r="223" ht="31.5">
      <c r="A223" s="50" t="s">
        <v>3</v>
      </c>
    </row>
    <row r="224" ht="6" customHeight="1">
      <c r="A224" s="47"/>
    </row>
    <row r="225" ht="31.5">
      <c r="A225" s="50" t="s">
        <v>4</v>
      </c>
    </row>
    <row r="226" ht="6" customHeight="1">
      <c r="A226" s="47"/>
    </row>
    <row r="227" ht="31.5">
      <c r="A227" s="50" t="s">
        <v>5</v>
      </c>
    </row>
    <row r="228" ht="6" customHeight="1">
      <c r="A228" s="47"/>
    </row>
    <row r="229" ht="31.5">
      <c r="A229" s="50" t="s">
        <v>25</v>
      </c>
    </row>
    <row r="230" ht="15.75">
      <c r="A230" s="50"/>
    </row>
    <row r="231" ht="15.75">
      <c r="A231" s="50" t="s">
        <v>129</v>
      </c>
    </row>
    <row r="232" ht="6" customHeight="1">
      <c r="A232" s="47"/>
    </row>
    <row r="233" ht="49.5" customHeight="1">
      <c r="A233" s="50" t="s">
        <v>6</v>
      </c>
    </row>
    <row r="234" ht="6" customHeight="1">
      <c r="A234" s="47"/>
    </row>
    <row r="235" ht="28.5" customHeight="1">
      <c r="A235" s="50" t="s">
        <v>26</v>
      </c>
    </row>
    <row r="236" ht="6" customHeight="1">
      <c r="A236" s="47"/>
    </row>
    <row r="237" ht="31.5">
      <c r="A237" s="50" t="s">
        <v>27</v>
      </c>
    </row>
    <row r="238" ht="15.75">
      <c r="A238" s="50"/>
    </row>
    <row r="239" ht="15.75">
      <c r="A239" s="50" t="s">
        <v>28</v>
      </c>
    </row>
    <row r="240" ht="6" customHeight="1">
      <c r="A240" s="47"/>
    </row>
    <row r="241" ht="15.75">
      <c r="A241" s="50" t="s">
        <v>29</v>
      </c>
    </row>
    <row r="242" ht="6" customHeight="1">
      <c r="A242" s="47"/>
    </row>
    <row r="243" ht="15.75">
      <c r="A243" s="50" t="s">
        <v>39</v>
      </c>
    </row>
    <row r="244" ht="12.75">
      <c r="A244" s="57"/>
    </row>
    <row r="245" ht="15.75">
      <c r="A245" s="46" t="s">
        <v>96</v>
      </c>
    </row>
    <row r="246" ht="8.25" customHeight="1">
      <c r="A246" s="47"/>
    </row>
    <row r="247" ht="51" customHeight="1">
      <c r="A247" s="62" t="s">
        <v>52</v>
      </c>
    </row>
    <row r="248" ht="21" customHeight="1">
      <c r="A248" s="62" t="s">
        <v>12</v>
      </c>
    </row>
    <row r="249" ht="22.5" customHeight="1">
      <c r="A249" s="53" t="s">
        <v>53</v>
      </c>
    </row>
    <row r="250" ht="73.5" customHeight="1">
      <c r="A250" s="51" t="s">
        <v>15</v>
      </c>
    </row>
    <row r="251" ht="26.25" customHeight="1">
      <c r="A251" s="53" t="s">
        <v>23</v>
      </c>
    </row>
    <row r="252" ht="15.75">
      <c r="A252" s="51"/>
    </row>
    <row r="253" ht="15.75">
      <c r="A253" s="51"/>
    </row>
    <row r="254" ht="15.75">
      <c r="A254" s="51"/>
    </row>
    <row r="255" ht="15.75">
      <c r="A255" s="51"/>
    </row>
    <row r="256" ht="9.75" customHeight="1">
      <c r="A256" s="62"/>
    </row>
    <row r="257" ht="152.25" customHeight="1">
      <c r="A257" s="51" t="s">
        <v>13</v>
      </c>
    </row>
    <row r="258" ht="20.25" customHeight="1">
      <c r="A258" s="53" t="s">
        <v>23</v>
      </c>
    </row>
    <row r="259" ht="15.75">
      <c r="A259" s="51"/>
    </row>
    <row r="260" ht="15.75">
      <c r="A260" s="51"/>
    </row>
    <row r="261" ht="15.75">
      <c r="A261" s="51"/>
    </row>
    <row r="262" ht="15.75">
      <c r="A262" s="51"/>
    </row>
    <row r="263" ht="9" customHeight="1">
      <c r="A263" s="62"/>
    </row>
    <row r="264" s="94" customFormat="1" ht="74.25" customHeight="1">
      <c r="A264" s="93" t="s">
        <v>16</v>
      </c>
    </row>
    <row r="265" ht="20.25" customHeight="1">
      <c r="A265" s="53" t="s">
        <v>23</v>
      </c>
    </row>
    <row r="266" ht="15.75">
      <c r="A266" s="51"/>
    </row>
    <row r="267" ht="15.75">
      <c r="A267" s="51"/>
    </row>
    <row r="268" ht="15.75">
      <c r="A268" s="51"/>
    </row>
    <row r="269" ht="15.75">
      <c r="A269" s="51"/>
    </row>
    <row r="270" ht="15.75">
      <c r="A270" s="62"/>
    </row>
    <row r="271" ht="13.5" customHeight="1">
      <c r="A271" s="62"/>
    </row>
    <row r="272" ht="7.5" customHeight="1">
      <c r="A272" s="47"/>
    </row>
    <row r="273" ht="38.25" customHeight="1">
      <c r="A273" s="53" t="s">
        <v>54</v>
      </c>
    </row>
    <row r="274" ht="9" customHeight="1">
      <c r="A274" s="57"/>
    </row>
    <row r="275" ht="15.75">
      <c r="A275" s="46" t="s">
        <v>40</v>
      </c>
    </row>
    <row r="276" ht="6" customHeight="1">
      <c r="A276" s="47"/>
    </row>
    <row r="277" ht="6" customHeight="1">
      <c r="A277" s="47"/>
    </row>
    <row r="278" ht="31.5">
      <c r="A278" s="47" t="s">
        <v>41</v>
      </c>
    </row>
    <row r="279" ht="51.75" customHeight="1">
      <c r="A279" s="47" t="s">
        <v>55</v>
      </c>
    </row>
    <row r="280" ht="6.75" customHeight="1">
      <c r="A280" s="47"/>
    </row>
    <row r="281" ht="31.5">
      <c r="A281" s="47" t="s">
        <v>42</v>
      </c>
    </row>
    <row r="282" ht="5.25" customHeight="1">
      <c r="A282" s="47"/>
    </row>
    <row r="283" ht="50.25" customHeight="1">
      <c r="A283" s="55" t="s">
        <v>56</v>
      </c>
    </row>
    <row r="284" ht="5.25" customHeight="1">
      <c r="A284" s="47"/>
    </row>
    <row r="285" ht="31.5">
      <c r="A285" s="55" t="s">
        <v>43</v>
      </c>
    </row>
    <row r="286" ht="5.25" customHeight="1">
      <c r="A286" s="47"/>
    </row>
    <row r="287" ht="92.25" customHeight="1">
      <c r="A287" s="55" t="s">
        <v>45</v>
      </c>
    </row>
    <row r="288" ht="51" customHeight="1">
      <c r="A288" s="55" t="s">
        <v>44</v>
      </c>
    </row>
    <row r="289" ht="15.75">
      <c r="A289" s="47" t="s">
        <v>30</v>
      </c>
    </row>
    <row r="290" ht="15.75">
      <c r="A290" s="47"/>
    </row>
    <row r="291" ht="15.75">
      <c r="A291" s="47"/>
    </row>
    <row r="292" ht="15.75">
      <c r="A292" s="47"/>
    </row>
    <row r="293" ht="15.75">
      <c r="A293" s="47"/>
    </row>
    <row r="294" ht="15.75">
      <c r="A294" s="50"/>
    </row>
    <row r="295" ht="15.75">
      <c r="A295" s="54"/>
    </row>
    <row r="296" ht="15.75">
      <c r="A296" s="54"/>
    </row>
    <row r="297" ht="15.75">
      <c r="A297" s="54"/>
    </row>
    <row r="298" ht="15.75">
      <c r="A298" s="54"/>
    </row>
    <row r="299" ht="15.75">
      <c r="A299" s="54"/>
    </row>
    <row r="300" ht="15.75">
      <c r="A300" s="54"/>
    </row>
    <row r="301" ht="15.75">
      <c r="A301" s="54"/>
    </row>
    <row r="302" ht="15.75">
      <c r="A302" s="54"/>
    </row>
    <row r="303" ht="15.75">
      <c r="A303" s="54"/>
    </row>
    <row r="304" ht="15.75">
      <c r="A304" s="54"/>
    </row>
    <row r="305" ht="15.75">
      <c r="A305" s="54"/>
    </row>
    <row r="306" ht="15.75">
      <c r="A306" s="54"/>
    </row>
    <row r="307" ht="15.75">
      <c r="A307" s="54"/>
    </row>
    <row r="308" ht="15.75">
      <c r="A308" s="54"/>
    </row>
    <row r="309" ht="15.75">
      <c r="A309" s="54"/>
    </row>
  </sheetData>
  <sheetProtection/>
  <mergeCells count="3">
    <mergeCell ref="A84:B84"/>
    <mergeCell ref="A90:B90"/>
    <mergeCell ref="A96:B96"/>
  </mergeCells>
  <printOptions/>
  <pageMargins left="0.75" right="0.75" top="0.92" bottom="1" header="0.5" footer="0.5"/>
  <pageSetup horizontalDpi="600" verticalDpi="600" orientation="portrait" scale="77" r:id="rId2"/>
  <rowBreaks count="1" manualBreakCount="1">
    <brk id="39" max="0" man="1"/>
  </rowBreaks>
  <drawing r:id="rId1"/>
</worksheet>
</file>

<file path=xl/worksheets/sheet4.xml><?xml version="1.0" encoding="utf-8"?>
<worksheet xmlns="http://schemas.openxmlformats.org/spreadsheetml/2006/main" xmlns:r="http://schemas.openxmlformats.org/officeDocument/2006/relationships">
  <sheetPr codeName="Sheet3"/>
  <dimension ref="A1:F22"/>
  <sheetViews>
    <sheetView workbookViewId="0" topLeftCell="A1">
      <selection activeCell="C17" sqref="C17"/>
    </sheetView>
  </sheetViews>
  <sheetFormatPr defaultColWidth="9.140625" defaultRowHeight="12.75"/>
  <cols>
    <col min="1" max="1" width="8.00390625" style="9" customWidth="1"/>
    <col min="2" max="2" width="20.28125" style="9" customWidth="1"/>
    <col min="3" max="3" width="10.57421875" style="9" customWidth="1"/>
    <col min="4" max="5" width="12.57421875" style="9" customWidth="1"/>
    <col min="6" max="6" width="11.140625" style="39" customWidth="1"/>
    <col min="7" max="7" width="12.57421875" style="9" bestFit="1" customWidth="1"/>
    <col min="8" max="16384" width="9.140625" style="9" customWidth="1"/>
  </cols>
  <sheetData>
    <row r="1" ht="18">
      <c r="A1" s="8" t="s">
        <v>124</v>
      </c>
    </row>
    <row r="3" spans="1:6" ht="12.75">
      <c r="A3" s="9" t="s">
        <v>90</v>
      </c>
      <c r="C3" s="100"/>
      <c r="D3" s="100"/>
      <c r="E3" s="100"/>
      <c r="F3" s="9"/>
    </row>
    <row r="4" ht="12.75">
      <c r="F4" s="9"/>
    </row>
    <row r="5" spans="1:6" ht="12.75">
      <c r="A5" s="9" t="s">
        <v>91</v>
      </c>
      <c r="C5" s="101"/>
      <c r="D5" s="101"/>
      <c r="E5" s="101"/>
      <c r="F5" s="9"/>
    </row>
    <row r="6" ht="12.75">
      <c r="F6" s="9"/>
    </row>
    <row r="7" spans="1:6" ht="12.75">
      <c r="A7" s="9" t="s">
        <v>97</v>
      </c>
      <c r="F7" s="9"/>
    </row>
    <row r="8" ht="12.75">
      <c r="F8" s="9"/>
    </row>
    <row r="9" spans="1:6" ht="25.5">
      <c r="A9" s="10" t="s">
        <v>100</v>
      </c>
      <c r="B9" s="12" t="s">
        <v>98</v>
      </c>
      <c r="C9" s="10" t="s">
        <v>99</v>
      </c>
      <c r="D9" s="13" t="s">
        <v>139</v>
      </c>
      <c r="E9" s="13" t="s">
        <v>138</v>
      </c>
      <c r="F9" s="9"/>
    </row>
    <row r="10" spans="1:6" ht="12.75">
      <c r="A10" s="11">
        <v>1</v>
      </c>
      <c r="B10" s="66"/>
      <c r="C10" s="66"/>
      <c r="D10" s="66"/>
      <c r="E10" s="68">
        <f>IF(C10="","",IF(D10="","",ROUND(IF((D10/100)*30=0,"",(D10/100)*30),1)))</f>
      </c>
      <c r="F10" s="9"/>
    </row>
    <row r="11" spans="1:6" ht="12.75">
      <c r="A11" s="11">
        <v>2</v>
      </c>
      <c r="B11" s="66"/>
      <c r="C11" s="66"/>
      <c r="D11" s="66"/>
      <c r="E11" s="68">
        <f aca="true" t="shared" si="0" ref="E11:E19">IF(C11="","",IF(D11="","",ROUND(IF((D11/100)*30=0,"",(D11/100)*30),1)))</f>
      </c>
      <c r="F11" s="9"/>
    </row>
    <row r="12" spans="1:6" ht="12.75">
      <c r="A12" s="11">
        <v>3</v>
      </c>
      <c r="B12" s="66"/>
      <c r="C12" s="66"/>
      <c r="D12" s="66"/>
      <c r="E12" s="68">
        <f t="shared" si="0"/>
      </c>
      <c r="F12" s="9"/>
    </row>
    <row r="13" spans="1:6" ht="12.75">
      <c r="A13" s="11">
        <v>4</v>
      </c>
      <c r="B13" s="66"/>
      <c r="C13" s="66"/>
      <c r="D13" s="66"/>
      <c r="E13" s="68">
        <f t="shared" si="0"/>
      </c>
      <c r="F13" s="9"/>
    </row>
    <row r="14" spans="1:6" ht="12.75">
      <c r="A14" s="11">
        <v>5</v>
      </c>
      <c r="B14" s="66"/>
      <c r="C14" s="66"/>
      <c r="D14" s="66"/>
      <c r="E14" s="68">
        <f t="shared" si="0"/>
      </c>
      <c r="F14" s="9"/>
    </row>
    <row r="15" spans="1:6" ht="12.75">
      <c r="A15" s="11">
        <v>6</v>
      </c>
      <c r="B15" s="66"/>
      <c r="C15" s="66"/>
      <c r="D15" s="66"/>
      <c r="E15" s="68">
        <f t="shared" si="0"/>
      </c>
      <c r="F15" s="9"/>
    </row>
    <row r="16" spans="1:6" ht="12.75">
      <c r="A16" s="11">
        <v>7</v>
      </c>
      <c r="B16" s="66"/>
      <c r="C16" s="66"/>
      <c r="D16" s="66"/>
      <c r="E16" s="68">
        <f t="shared" si="0"/>
      </c>
      <c r="F16" s="9"/>
    </row>
    <row r="17" spans="1:6" ht="12.75">
      <c r="A17" s="11">
        <v>8</v>
      </c>
      <c r="B17" s="66"/>
      <c r="C17" s="66"/>
      <c r="D17" s="66"/>
      <c r="E17" s="68">
        <f t="shared" si="0"/>
      </c>
      <c r="F17" s="9"/>
    </row>
    <row r="18" spans="1:6" ht="12.75">
      <c r="A18" s="11">
        <v>9</v>
      </c>
      <c r="B18" s="66"/>
      <c r="C18" s="66"/>
      <c r="D18" s="66"/>
      <c r="E18" s="68">
        <f t="shared" si="0"/>
      </c>
      <c r="F18" s="9"/>
    </row>
    <row r="19" spans="1:6" ht="12.75">
      <c r="A19" s="11">
        <v>10</v>
      </c>
      <c r="B19" s="66"/>
      <c r="C19" s="66"/>
      <c r="D19" s="66"/>
      <c r="E19" s="68">
        <f t="shared" si="0"/>
      </c>
      <c r="F19" s="9"/>
    </row>
    <row r="21" spans="3:5" ht="12.75">
      <c r="C21" s="14" t="s">
        <v>189</v>
      </c>
      <c r="E21" s="68">
        <f>IF(SUM(C10:C19)&gt;0,ROUND(SUMPRODUCT(C10:C19,E10:E19)/SUM(C10:C19),1),0)</f>
        <v>0</v>
      </c>
    </row>
    <row r="22" ht="12.75">
      <c r="C22" s="24" t="s">
        <v>176</v>
      </c>
    </row>
  </sheetData>
  <sheetProtection/>
  <protectedRanges>
    <protectedRange sqref="C3:E3" name="Range1"/>
  </protectedRanges>
  <mergeCells count="2">
    <mergeCell ref="C3:E3"/>
    <mergeCell ref="C5:E5"/>
  </mergeCells>
  <dataValidations count="1">
    <dataValidation type="whole" operator="lessThanOrEqual" allowBlank="1" showInputMessage="1" showErrorMessage="1" sqref="D10:D12">
      <formula1>100</formula1>
    </dataValidation>
  </dataValidations>
  <printOptions/>
  <pageMargins left="0.75" right="0.75" top="1" bottom="1" header="0.5" footer="0.5"/>
  <pageSetup horizontalDpi="600" verticalDpi="600" orientation="landscape" r:id="rId2"/>
  <headerFooter alignWithMargins="0">
    <oddHeader>&amp;CPHAS Scoring Tool</oddHead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J24"/>
  <sheetViews>
    <sheetView workbookViewId="0" topLeftCell="A1">
      <selection activeCell="C3" sqref="C3:E3"/>
    </sheetView>
  </sheetViews>
  <sheetFormatPr defaultColWidth="9.140625" defaultRowHeight="12.75"/>
  <cols>
    <col min="1" max="1" width="7.57421875" style="9" customWidth="1"/>
    <col min="2" max="2" width="15.57421875" style="9" customWidth="1"/>
    <col min="3" max="3" width="10.57421875" style="9" customWidth="1"/>
    <col min="4" max="5" width="9.140625" style="9" customWidth="1"/>
    <col min="6" max="6" width="14.421875" style="9" bestFit="1" customWidth="1"/>
    <col min="7" max="9" width="9.140625" style="9" customWidth="1"/>
    <col min="10" max="10" width="9.8515625" style="9" customWidth="1"/>
    <col min="11" max="16384" width="9.140625" style="9" customWidth="1"/>
  </cols>
  <sheetData>
    <row r="1" ht="18">
      <c r="A1" s="8" t="s">
        <v>104</v>
      </c>
    </row>
    <row r="3" spans="1:5" ht="12.75">
      <c r="A3" s="9" t="s">
        <v>90</v>
      </c>
      <c r="C3" s="105">
        <f>+Physical!$C$3</f>
        <v>0</v>
      </c>
      <c r="D3" s="105"/>
      <c r="E3" s="105"/>
    </row>
    <row r="5" spans="1:5" ht="12.75">
      <c r="A5" s="9" t="s">
        <v>91</v>
      </c>
      <c r="C5" s="106">
        <f>IF(LEN(+Physical!$C$5)=0,"",+Physical!$C$5)</f>
      </c>
      <c r="D5" s="106"/>
      <c r="E5" s="106"/>
    </row>
    <row r="7" spans="4:10" ht="12.75" customHeight="1">
      <c r="D7" s="102" t="s">
        <v>119</v>
      </c>
      <c r="E7" s="102"/>
      <c r="F7" s="102"/>
      <c r="G7" s="102" t="s">
        <v>114</v>
      </c>
      <c r="H7" s="102"/>
      <c r="I7" s="102"/>
      <c r="J7" s="103" t="s">
        <v>121</v>
      </c>
    </row>
    <row r="8" spans="1:10" ht="12.75">
      <c r="A8" s="10" t="s">
        <v>100</v>
      </c>
      <c r="B8" s="12" t="s">
        <v>98</v>
      </c>
      <c r="C8" s="10" t="s">
        <v>99</v>
      </c>
      <c r="D8" s="10" t="s">
        <v>105</v>
      </c>
      <c r="E8" s="10" t="s">
        <v>106</v>
      </c>
      <c r="F8" s="13" t="s">
        <v>107</v>
      </c>
      <c r="G8" s="10" t="s">
        <v>105</v>
      </c>
      <c r="H8" s="10" t="s">
        <v>106</v>
      </c>
      <c r="I8" s="13" t="s">
        <v>107</v>
      </c>
      <c r="J8" s="104"/>
    </row>
    <row r="9" spans="1:10" ht="12.75">
      <c r="A9" s="11">
        <v>1</v>
      </c>
      <c r="B9" s="71">
        <f>IF(Physical!B10="","",Physical!B10)</f>
      </c>
      <c r="C9" s="71">
        <f>IF(ISNA(VLOOKUP(B9,Physical!$B$10:$C$19,2,FALSE)),"",(VLOOKUP(B9,Physical!$B$10:$C$19,2,FALSE)))</f>
      </c>
      <c r="D9" s="73"/>
      <c r="E9" s="73"/>
      <c r="F9" s="74"/>
      <c r="G9" s="71">
        <f>IF($D9="","",IF($D9&lt;1,0,IF($D9&gt;=2,9,VLOOKUP($D9,'Ratios (Hide)'!$A$5:$B$14,2,FALSE))))</f>
      </c>
      <c r="H9" s="71">
        <f>IF($E9="","",IF($E9&lt;1,0,IF($E9&gt;=4,9,VLOOKUP($E9,'Ratios (Hide)'!$D$5:$E$45,2,FALSE))))</f>
      </c>
      <c r="I9" s="72">
        <f>IF($F9="","",IF($F9="&lt;1",0,IF($F9="&gt;=1 but &lt;2",1,IF(OR($F9="&gt;=2",F9="No Debt Service"),2))))</f>
      </c>
      <c r="J9" s="68">
        <f aca="true" t="shared" si="0" ref="J9:J18">IF(B9="","",ROUND(SUM(G9:I9),1))</f>
      </c>
    </row>
    <row r="10" spans="1:10" ht="12.75">
      <c r="A10" s="11">
        <v>2</v>
      </c>
      <c r="B10" s="71">
        <f>IF(Physical!B11="","",Physical!B11)</f>
      </c>
      <c r="C10" s="71">
        <f>IF(ISNA(VLOOKUP(B10,Physical!$B$10:$C$19,2,FALSE)),"",(VLOOKUP(B10,Physical!$B$10:$C$19,2,FALSE)))</f>
      </c>
      <c r="D10" s="73"/>
      <c r="E10" s="73"/>
      <c r="F10" s="74"/>
      <c r="G10" s="71">
        <f>IF($D10="","",IF($D10&lt;1,0,IF($D10&gt;=2,9,VLOOKUP($D10,'Ratios (Hide)'!$A$5:$B$14,2,FALSE))))</f>
      </c>
      <c r="H10" s="71">
        <f>IF($E10="","",IF($E10&lt;1,0,IF($E10&gt;=4,9,VLOOKUP($E10,'Ratios (Hide)'!$D$5:$E$45,2,FALSE))))</f>
      </c>
      <c r="I10" s="72">
        <f aca="true" t="shared" si="1" ref="I10:I18">IF($F10="","",IF($F10="&lt;1",0,IF($F10="&gt;=1 but &lt;2",1,IF(OR($F10="&gt;=2",F10="No Debt Service"),2))))</f>
      </c>
      <c r="J10" s="68">
        <f t="shared" si="0"/>
      </c>
    </row>
    <row r="11" spans="1:10" ht="12.75">
      <c r="A11" s="11">
        <v>3</v>
      </c>
      <c r="B11" s="71">
        <f>IF(Physical!B12="","",Physical!B12)</f>
      </c>
      <c r="C11" s="71">
        <f>IF(ISNA(VLOOKUP(B11,Physical!$B$10:$C$19,2,FALSE)),"",(VLOOKUP(B11,Physical!$B$10:$C$19,2,FALSE)))</f>
      </c>
      <c r="D11" s="73"/>
      <c r="E11" s="73"/>
      <c r="F11" s="74"/>
      <c r="G11" s="71">
        <f>IF($D11="","",IF($D11&lt;1,0,IF($D11&gt;=2,9,VLOOKUP($D11,'Ratios (Hide)'!$A$5:$B$14,2,FALSE))))</f>
      </c>
      <c r="H11" s="71">
        <f>IF($E11="","",IF($E11&lt;1,0,IF($E11&gt;=4,9,VLOOKUP($E11,'Ratios (Hide)'!$D$5:$E$45,2,FALSE))))</f>
      </c>
      <c r="I11" s="72">
        <f t="shared" si="1"/>
      </c>
      <c r="J11" s="68">
        <f t="shared" si="0"/>
      </c>
    </row>
    <row r="12" spans="1:10" ht="12.75">
      <c r="A12" s="11">
        <v>4</v>
      </c>
      <c r="B12" s="71">
        <f>IF(Physical!B13="","",Physical!B13)</f>
      </c>
      <c r="C12" s="71">
        <f>IF(ISNA(VLOOKUP(B12,Physical!$B$10:$C$19,2,FALSE)),"",(VLOOKUP(B12,Physical!$B$10:$C$19,2,FALSE)))</f>
      </c>
      <c r="D12" s="66"/>
      <c r="E12" s="73"/>
      <c r="F12" s="74"/>
      <c r="G12" s="71">
        <f>IF($D12="","",IF($D12&lt;1,0,IF($D12&gt;=2,9,VLOOKUP($D12,'Ratios (Hide)'!$A$5:$B$14,2,FALSE))))</f>
      </c>
      <c r="H12" s="71">
        <f>IF($E12="","",IF($E12&lt;1,0,IF($E12&gt;=4,9,VLOOKUP($E12,'Ratios (Hide)'!$D$5:$E$45,2,FALSE))))</f>
      </c>
      <c r="I12" s="72">
        <f t="shared" si="1"/>
      </c>
      <c r="J12" s="68">
        <f t="shared" si="0"/>
      </c>
    </row>
    <row r="13" spans="1:10" ht="12.75">
      <c r="A13" s="11">
        <v>5</v>
      </c>
      <c r="B13" s="71">
        <f>IF(Physical!B14="","",Physical!B14)</f>
      </c>
      <c r="C13" s="71">
        <f>IF(ISNA(VLOOKUP(B13,Physical!$B$10:$C$19,2,FALSE)),"",(VLOOKUP(B13,Physical!$B$10:$C$19,2,FALSE)))</f>
      </c>
      <c r="D13" s="66"/>
      <c r="E13" s="73"/>
      <c r="F13" s="74"/>
      <c r="G13" s="71">
        <f>IF($D13="","",IF($D13&lt;1,0,IF($D13&gt;=2,9,VLOOKUP($D13,'Ratios (Hide)'!$A$5:$B$14,2,FALSE))))</f>
      </c>
      <c r="H13" s="71">
        <f>IF($E13="","",IF($E13&lt;1,0,IF($E13&gt;=4,9,VLOOKUP($E13,'Ratios (Hide)'!$D$5:$E$45,2,FALSE))))</f>
      </c>
      <c r="I13" s="72">
        <f t="shared" si="1"/>
      </c>
      <c r="J13" s="68">
        <f t="shared" si="0"/>
      </c>
    </row>
    <row r="14" spans="1:10" ht="12.75">
      <c r="A14" s="11">
        <v>6</v>
      </c>
      <c r="B14" s="71">
        <f>IF(Physical!B15="","",Physical!B15)</f>
      </c>
      <c r="C14" s="71">
        <f>IF(ISNA(VLOOKUP(B14,Physical!$B$10:$C$19,2,FALSE)),"",(VLOOKUP(B14,Physical!$B$10:$C$19,2,FALSE)))</f>
      </c>
      <c r="D14" s="66"/>
      <c r="E14" s="73"/>
      <c r="F14" s="74"/>
      <c r="G14" s="71">
        <f>IF($D14="","",IF($D14&lt;1,0,IF($D14&gt;=2,9,VLOOKUP($D14,'Ratios (Hide)'!$A$5:$B$14,2,FALSE))))</f>
      </c>
      <c r="H14" s="71">
        <f>IF($E14="","",IF($E14&lt;1,0,IF($E14&gt;=4,9,VLOOKUP($E14,'Ratios (Hide)'!$D$5:$E$45,2,FALSE))))</f>
      </c>
      <c r="I14" s="72">
        <f t="shared" si="1"/>
      </c>
      <c r="J14" s="68">
        <f t="shared" si="0"/>
      </c>
    </row>
    <row r="15" spans="1:10" ht="12.75">
      <c r="A15" s="11">
        <v>7</v>
      </c>
      <c r="B15" s="71">
        <f>IF(Physical!B16="","",Physical!B16)</f>
      </c>
      <c r="C15" s="71">
        <f>IF(ISNA(VLOOKUP(B15,Physical!$B$10:$C$19,2,FALSE)),"",(VLOOKUP(B15,Physical!$B$10:$C$19,2,FALSE)))</f>
      </c>
      <c r="D15" s="66"/>
      <c r="E15" s="73"/>
      <c r="F15" s="74"/>
      <c r="G15" s="71">
        <f>IF($D15="","",IF($D15&lt;1,0,IF($D15&gt;=2,9,VLOOKUP($D15,'Ratios (Hide)'!$A$5:$B$14,2,FALSE))))</f>
      </c>
      <c r="H15" s="71">
        <f>IF($E15="","",IF($E15&lt;1,0,IF($E15&gt;=4,9,VLOOKUP($E15,'Ratios (Hide)'!$D$5:$E$45,2,FALSE))))</f>
      </c>
      <c r="I15" s="72">
        <f t="shared" si="1"/>
      </c>
      <c r="J15" s="68">
        <f t="shared" si="0"/>
      </c>
    </row>
    <row r="16" spans="1:10" ht="12.75">
      <c r="A16" s="11">
        <v>8</v>
      </c>
      <c r="B16" s="71">
        <f>IF(Physical!B17="","",Physical!B17)</f>
      </c>
      <c r="C16" s="71">
        <f>IF(ISNA(VLOOKUP(B16,Physical!$B$10:$C$19,2,FALSE)),"",(VLOOKUP(B16,Physical!$B$10:$C$19,2,FALSE)))</f>
      </c>
      <c r="D16" s="66"/>
      <c r="E16" s="73"/>
      <c r="F16" s="74"/>
      <c r="G16" s="71">
        <f>IF($D16="","",IF($D16&lt;1,0,IF($D16&gt;=2,9,VLOOKUP($D16,'Ratios (Hide)'!$A$5:$B$14,2,FALSE))))</f>
      </c>
      <c r="H16" s="71">
        <f>IF($E16="","",IF($E16&lt;1,0,IF($E16&gt;=4,9,VLOOKUP($E16,'Ratios (Hide)'!$D$5:$E$45,2,FALSE))))</f>
      </c>
      <c r="I16" s="72">
        <f t="shared" si="1"/>
      </c>
      <c r="J16" s="68">
        <f t="shared" si="0"/>
      </c>
    </row>
    <row r="17" spans="1:10" ht="12.75">
      <c r="A17" s="11">
        <v>9</v>
      </c>
      <c r="B17" s="71">
        <f>IF(Physical!B18="","",Physical!B18)</f>
      </c>
      <c r="C17" s="71">
        <f>IF(ISNA(VLOOKUP(B17,Physical!$B$10:$C$19,2,FALSE)),"",(VLOOKUP(B17,Physical!$B$10:$C$19,2,FALSE)))</f>
      </c>
      <c r="D17" s="66"/>
      <c r="E17" s="73"/>
      <c r="F17" s="74"/>
      <c r="G17" s="71">
        <f>IF($D17="","",IF($D17&lt;1,0,IF($D17&gt;=2,9,VLOOKUP($D17,'Ratios (Hide)'!$A$5:$B$14,2,FALSE))))</f>
      </c>
      <c r="H17" s="71">
        <f>IF($E17="","",IF($E17&lt;1,0,IF($E17&gt;=4,9,VLOOKUP($E17,'Ratios (Hide)'!$D$5:$E$45,2,FALSE))))</f>
      </c>
      <c r="I17" s="72">
        <f t="shared" si="1"/>
      </c>
      <c r="J17" s="68">
        <f t="shared" si="0"/>
      </c>
    </row>
    <row r="18" spans="1:10" ht="12.75">
      <c r="A18" s="11">
        <v>10</v>
      </c>
      <c r="B18" s="71">
        <f>IF(Physical!B19="","",Physical!B19)</f>
      </c>
      <c r="C18" s="71">
        <f>IF(ISNA(VLOOKUP(B18,Physical!$B$10:$C$19,2,FALSE)),"",(VLOOKUP(B18,Physical!$B$10:$C$19,2,FALSE)))</f>
      </c>
      <c r="D18" s="66"/>
      <c r="E18" s="73"/>
      <c r="F18" s="74"/>
      <c r="G18" s="71">
        <f>IF($D18="","",IF($D18&lt;1,0,IF($D18&gt;=2,9,VLOOKUP($D18,'Ratios (Hide)'!$A$5:$B$14,2,FALSE))))</f>
      </c>
      <c r="H18" s="71">
        <f>IF($E18="","",IF($E18&lt;1,0,IF($E18&gt;=4,9,VLOOKUP($E18,'Ratios (Hide)'!$D$5:$E$45,2,FALSE))))</f>
      </c>
      <c r="I18" s="72">
        <f t="shared" si="1"/>
      </c>
      <c r="J18" s="68">
        <f t="shared" si="0"/>
      </c>
    </row>
    <row r="20" spans="7:10" ht="12.75">
      <c r="G20" s="14" t="s">
        <v>190</v>
      </c>
      <c r="J20" s="68">
        <f>IF(SUM(Physical!C10:C19)=0,0,ROUND(SUMPRODUCT(J9:J18,Physical!C10:C19)/SUM(Physical!C10:C19),1))</f>
        <v>0</v>
      </c>
    </row>
    <row r="21" ht="12.75">
      <c r="G21" s="24" t="s">
        <v>176</v>
      </c>
    </row>
    <row r="22" spans="1:8" ht="12.75">
      <c r="A22" s="9" t="s">
        <v>177</v>
      </c>
      <c r="H22" s="24"/>
    </row>
    <row r="23" ht="12.75">
      <c r="A23" s="9" t="s">
        <v>33</v>
      </c>
    </row>
    <row r="24" ht="12.75">
      <c r="A24" s="9" t="s">
        <v>178</v>
      </c>
    </row>
  </sheetData>
  <sheetProtection/>
  <mergeCells count="5">
    <mergeCell ref="D7:F7"/>
    <mergeCell ref="G7:I7"/>
    <mergeCell ref="J7:J8"/>
    <mergeCell ref="C3:E3"/>
    <mergeCell ref="C5:E5"/>
  </mergeCells>
  <dataValidations count="3">
    <dataValidation type="list" allowBlank="1" showInputMessage="1" showErrorMessage="1" sqref="F9:F18">
      <formula1>"&lt;1,&gt;=1 but &lt;2,&gt;=2,No Debt Service"</formula1>
    </dataValidation>
    <dataValidation type="decimal" operator="greaterThanOrEqual" allowBlank="1" showInputMessage="1" showErrorMessage="1" sqref="D9:D11">
      <formula1>0</formula1>
    </dataValidation>
    <dataValidation type="decimal" operator="greaterThanOrEqual" allowBlank="1" showInputMessage="1" showErrorMessage="1" sqref="E9:E18">
      <formula1>-1000</formula1>
    </dataValidation>
  </dataValidations>
  <printOptions/>
  <pageMargins left="0.75" right="0.75" top="1" bottom="1" header="0.5" footer="0.5"/>
  <pageSetup fitToHeight="1" fitToWidth="1" horizontalDpi="600" verticalDpi="600" orientation="landscape" r:id="rId2"/>
  <headerFooter alignWithMargins="0">
    <oddHeader>&amp;CPHAS Scoring Tool</oddHead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codeName="Sheet5"/>
  <dimension ref="A2:L36"/>
  <sheetViews>
    <sheetView workbookViewId="0" topLeftCell="B1">
      <selection activeCell="L18" sqref="L18"/>
    </sheetView>
  </sheetViews>
  <sheetFormatPr defaultColWidth="9.140625" defaultRowHeight="12.75"/>
  <cols>
    <col min="4" max="4" width="13.140625" style="0" bestFit="1" customWidth="1"/>
    <col min="7" max="7" width="15.00390625" style="0" customWidth="1"/>
    <col min="11" max="11" width="12.8515625" style="0" bestFit="1" customWidth="1"/>
    <col min="12" max="12" width="30.28125" style="0" bestFit="1" customWidth="1"/>
  </cols>
  <sheetData>
    <row r="2" spans="1:11" ht="12.75">
      <c r="A2" s="5" t="s">
        <v>105</v>
      </c>
      <c r="D2" s="5" t="s">
        <v>106</v>
      </c>
      <c r="G2" s="5" t="s">
        <v>107</v>
      </c>
      <c r="K2" t="s">
        <v>151</v>
      </c>
    </row>
    <row r="3" spans="1:12" ht="12.75">
      <c r="A3" s="6" t="s">
        <v>140</v>
      </c>
      <c r="B3" s="6" t="s">
        <v>114</v>
      </c>
      <c r="D3" s="6" t="s">
        <v>143</v>
      </c>
      <c r="E3" s="6" t="s">
        <v>114</v>
      </c>
      <c r="G3" s="6" t="s">
        <v>145</v>
      </c>
      <c r="H3" s="6" t="s">
        <v>114</v>
      </c>
      <c r="K3" t="s">
        <v>152</v>
      </c>
      <c r="L3" t="s">
        <v>153</v>
      </c>
    </row>
    <row r="4" spans="1:8" ht="12.75">
      <c r="A4" s="7" t="s">
        <v>141</v>
      </c>
      <c r="B4" s="6">
        <v>0</v>
      </c>
      <c r="D4" s="7" t="s">
        <v>141</v>
      </c>
      <c r="E4" s="6">
        <v>0</v>
      </c>
      <c r="G4" s="7" t="s">
        <v>141</v>
      </c>
      <c r="H4" s="6">
        <v>0</v>
      </c>
    </row>
    <row r="5" spans="1:12" ht="12.75">
      <c r="A5" s="7">
        <v>1</v>
      </c>
      <c r="B5" s="6">
        <v>5.4</v>
      </c>
      <c r="D5" s="7">
        <v>1</v>
      </c>
      <c r="E5" s="6">
        <v>5.4</v>
      </c>
      <c r="G5" s="7" t="s">
        <v>147</v>
      </c>
      <c r="H5" s="6">
        <v>1</v>
      </c>
      <c r="K5" s="107" t="s">
        <v>154</v>
      </c>
      <c r="L5" t="s">
        <v>179</v>
      </c>
    </row>
    <row r="6" spans="1:12" ht="12.75">
      <c r="A6" s="7">
        <v>1.1</v>
      </c>
      <c r="B6" s="6">
        <f aca="true" t="shared" si="0" ref="B6:B15">B5+0.36</f>
        <v>5.760000000000001</v>
      </c>
      <c r="D6" s="7">
        <v>1.1</v>
      </c>
      <c r="E6" s="6">
        <f>E5+0.12</f>
        <v>5.5200000000000005</v>
      </c>
      <c r="G6" s="7" t="s">
        <v>146</v>
      </c>
      <c r="H6" s="6">
        <v>2</v>
      </c>
      <c r="K6" s="107"/>
      <c r="L6" t="s">
        <v>117</v>
      </c>
    </row>
    <row r="7" spans="1:12" ht="12.75">
      <c r="A7" s="7">
        <v>1.2</v>
      </c>
      <c r="B7" s="6">
        <f t="shared" si="0"/>
        <v>6.120000000000001</v>
      </c>
      <c r="D7" s="7">
        <v>1.2</v>
      </c>
      <c r="E7" s="6">
        <f aca="true" t="shared" si="1" ref="E7:E35">E6+0.12</f>
        <v>5.640000000000001</v>
      </c>
      <c r="G7" s="7" t="s">
        <v>148</v>
      </c>
      <c r="H7" s="6">
        <v>2</v>
      </c>
      <c r="K7" s="107"/>
      <c r="L7" t="s">
        <v>180</v>
      </c>
    </row>
    <row r="8" spans="1:12" ht="12.75">
      <c r="A8" s="7">
        <v>1.3</v>
      </c>
      <c r="B8" s="6">
        <f t="shared" si="0"/>
        <v>6.480000000000001</v>
      </c>
      <c r="D8" s="7">
        <v>1.3</v>
      </c>
      <c r="E8" s="6">
        <f t="shared" si="1"/>
        <v>5.760000000000001</v>
      </c>
      <c r="K8" s="107"/>
      <c r="L8" t="s">
        <v>101</v>
      </c>
    </row>
    <row r="9" spans="1:12" ht="12.75">
      <c r="A9" s="7">
        <v>1.4</v>
      </c>
      <c r="B9" s="6">
        <f t="shared" si="0"/>
        <v>6.840000000000002</v>
      </c>
      <c r="D9" s="7">
        <v>1.4</v>
      </c>
      <c r="E9" s="6">
        <f t="shared" si="1"/>
        <v>5.880000000000001</v>
      </c>
      <c r="K9" s="107"/>
      <c r="L9" t="s">
        <v>181</v>
      </c>
    </row>
    <row r="10" spans="1:12" ht="12.75">
      <c r="A10" s="7">
        <v>1.5</v>
      </c>
      <c r="B10" s="6">
        <f t="shared" si="0"/>
        <v>7.200000000000002</v>
      </c>
      <c r="D10" s="7">
        <v>1.5</v>
      </c>
      <c r="E10" s="6">
        <f t="shared" si="1"/>
        <v>6.000000000000001</v>
      </c>
      <c r="K10" s="107"/>
      <c r="L10" t="s">
        <v>162</v>
      </c>
    </row>
    <row r="11" spans="1:5" ht="12.75">
      <c r="A11" s="7">
        <v>1.6</v>
      </c>
      <c r="B11" s="6">
        <f t="shared" si="0"/>
        <v>7.560000000000002</v>
      </c>
      <c r="D11" s="7">
        <v>1.6</v>
      </c>
      <c r="E11" s="6">
        <f t="shared" si="1"/>
        <v>6.120000000000001</v>
      </c>
    </row>
    <row r="12" spans="1:12" ht="12.75">
      <c r="A12" s="7">
        <v>1.7</v>
      </c>
      <c r="B12" s="6">
        <f t="shared" si="0"/>
        <v>7.920000000000003</v>
      </c>
      <c r="D12" s="7">
        <v>1.7</v>
      </c>
      <c r="E12" s="6">
        <f t="shared" si="1"/>
        <v>6.240000000000001</v>
      </c>
      <c r="K12" s="107" t="s">
        <v>156</v>
      </c>
      <c r="L12" t="s">
        <v>157</v>
      </c>
    </row>
    <row r="13" spans="1:12" ht="12.75">
      <c r="A13" s="7">
        <v>1.8</v>
      </c>
      <c r="B13" s="6">
        <f t="shared" si="0"/>
        <v>8.280000000000003</v>
      </c>
      <c r="D13" s="7">
        <v>1.8</v>
      </c>
      <c r="E13" s="6">
        <f t="shared" si="1"/>
        <v>6.360000000000001</v>
      </c>
      <c r="K13" s="107"/>
      <c r="L13" t="s">
        <v>182</v>
      </c>
    </row>
    <row r="14" spans="1:12" ht="12.75">
      <c r="A14" s="7">
        <v>1.9</v>
      </c>
      <c r="B14" s="6">
        <f t="shared" si="0"/>
        <v>8.640000000000002</v>
      </c>
      <c r="D14" s="7">
        <v>1.9</v>
      </c>
      <c r="E14" s="6">
        <f t="shared" si="1"/>
        <v>6.480000000000001</v>
      </c>
      <c r="K14" s="107"/>
      <c r="L14" t="s">
        <v>183</v>
      </c>
    </row>
    <row r="15" spans="1:12" ht="12.75">
      <c r="A15" s="7">
        <v>2</v>
      </c>
      <c r="B15" s="6">
        <f t="shared" si="0"/>
        <v>9.000000000000002</v>
      </c>
      <c r="D15" s="7">
        <v>2</v>
      </c>
      <c r="E15" s="6">
        <f t="shared" si="1"/>
        <v>6.600000000000001</v>
      </c>
      <c r="K15" s="107"/>
      <c r="L15" t="s">
        <v>184</v>
      </c>
    </row>
    <row r="16" spans="1:12" ht="12.75">
      <c r="A16" s="7" t="s">
        <v>142</v>
      </c>
      <c r="B16" s="6">
        <v>9</v>
      </c>
      <c r="D16" s="7">
        <v>2.1</v>
      </c>
      <c r="E16" s="6">
        <f t="shared" si="1"/>
        <v>6.7200000000000015</v>
      </c>
      <c r="K16" s="107"/>
      <c r="L16" t="s">
        <v>185</v>
      </c>
    </row>
    <row r="17" spans="4:12" ht="12.75">
      <c r="D17" s="7">
        <v>2.2</v>
      </c>
      <c r="E17" s="6">
        <f t="shared" si="1"/>
        <v>6.840000000000002</v>
      </c>
      <c r="K17" s="107"/>
      <c r="L17" t="s">
        <v>186</v>
      </c>
    </row>
    <row r="18" spans="4:5" ht="12.75">
      <c r="D18" s="7">
        <v>2.3</v>
      </c>
      <c r="E18" s="6">
        <f t="shared" si="1"/>
        <v>6.960000000000002</v>
      </c>
    </row>
    <row r="19" spans="4:12" ht="12.75">
      <c r="D19" s="7">
        <v>2.4</v>
      </c>
      <c r="E19" s="6">
        <f t="shared" si="1"/>
        <v>7.080000000000002</v>
      </c>
      <c r="K19" t="s">
        <v>116</v>
      </c>
      <c r="L19" t="s">
        <v>157</v>
      </c>
    </row>
    <row r="20" spans="4:12" ht="12.75">
      <c r="D20" s="7">
        <v>2.5</v>
      </c>
      <c r="E20" s="6">
        <f t="shared" si="1"/>
        <v>7.200000000000002</v>
      </c>
      <c r="L20" t="s">
        <v>155</v>
      </c>
    </row>
    <row r="21" spans="4:12" ht="12.75">
      <c r="D21" s="7">
        <v>2.6</v>
      </c>
      <c r="E21" s="6">
        <f t="shared" si="1"/>
        <v>7.320000000000002</v>
      </c>
      <c r="L21" t="s">
        <v>158</v>
      </c>
    </row>
    <row r="22" spans="4:12" ht="12.75">
      <c r="D22" s="7">
        <v>2.7</v>
      </c>
      <c r="E22" s="6">
        <f t="shared" si="1"/>
        <v>7.440000000000002</v>
      </c>
      <c r="L22" t="s">
        <v>159</v>
      </c>
    </row>
    <row r="23" spans="4:5" ht="12.75">
      <c r="D23" s="7">
        <v>2.8</v>
      </c>
      <c r="E23" s="6">
        <f t="shared" si="1"/>
        <v>7.560000000000002</v>
      </c>
    </row>
    <row r="24" spans="4:5" ht="12.75">
      <c r="D24" s="7">
        <v>2.9</v>
      </c>
      <c r="E24" s="6">
        <f t="shared" si="1"/>
        <v>7.680000000000002</v>
      </c>
    </row>
    <row r="25" spans="4:5" ht="12.75">
      <c r="D25" s="7">
        <v>3</v>
      </c>
      <c r="E25" s="6">
        <f t="shared" si="1"/>
        <v>7.8000000000000025</v>
      </c>
    </row>
    <row r="26" spans="4:5" ht="12.75">
      <c r="D26" s="7">
        <v>3.1</v>
      </c>
      <c r="E26" s="6">
        <f t="shared" si="1"/>
        <v>7.920000000000003</v>
      </c>
    </row>
    <row r="27" spans="4:5" ht="12.75">
      <c r="D27" s="7">
        <v>3.2</v>
      </c>
      <c r="E27" s="6">
        <f t="shared" si="1"/>
        <v>8.040000000000003</v>
      </c>
    </row>
    <row r="28" spans="4:5" ht="12.75">
      <c r="D28" s="7">
        <v>3.3</v>
      </c>
      <c r="E28" s="6">
        <f t="shared" si="1"/>
        <v>8.160000000000002</v>
      </c>
    </row>
    <row r="29" spans="4:5" ht="12.75">
      <c r="D29" s="7">
        <v>3.4</v>
      </c>
      <c r="E29" s="6">
        <f t="shared" si="1"/>
        <v>8.280000000000001</v>
      </c>
    </row>
    <row r="30" spans="4:5" ht="12.75">
      <c r="D30" s="7">
        <v>3.5</v>
      </c>
      <c r="E30" s="6">
        <f t="shared" si="1"/>
        <v>8.4</v>
      </c>
    </row>
    <row r="31" spans="4:5" ht="12.75">
      <c r="D31" s="7">
        <v>3.6</v>
      </c>
      <c r="E31" s="6">
        <f t="shared" si="1"/>
        <v>8.52</v>
      </c>
    </row>
    <row r="32" spans="4:5" ht="12.75">
      <c r="D32" s="7">
        <v>3.7</v>
      </c>
      <c r="E32" s="6">
        <f t="shared" si="1"/>
        <v>8.639999999999999</v>
      </c>
    </row>
    <row r="33" spans="4:5" ht="12.75">
      <c r="D33" s="7">
        <v>3.8</v>
      </c>
      <c r="E33" s="6">
        <f t="shared" si="1"/>
        <v>8.759999999999998</v>
      </c>
    </row>
    <row r="34" spans="4:5" ht="12.75">
      <c r="D34" s="7">
        <v>3.9</v>
      </c>
      <c r="E34" s="6">
        <f t="shared" si="1"/>
        <v>8.879999999999997</v>
      </c>
    </row>
    <row r="35" spans="4:5" ht="12.75">
      <c r="D35" s="7">
        <v>4</v>
      </c>
      <c r="E35" s="6">
        <f t="shared" si="1"/>
        <v>8.999999999999996</v>
      </c>
    </row>
    <row r="36" spans="4:5" ht="12.75">
      <c r="D36" s="7" t="s">
        <v>144</v>
      </c>
      <c r="E36" s="6">
        <v>9</v>
      </c>
    </row>
  </sheetData>
  <mergeCells count="2">
    <mergeCell ref="K5:K10"/>
    <mergeCell ref="K12:K17"/>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M62"/>
  <sheetViews>
    <sheetView zoomScale="90" zoomScaleNormal="90" workbookViewId="0" topLeftCell="A1">
      <selection activeCell="D31" sqref="D31"/>
    </sheetView>
  </sheetViews>
  <sheetFormatPr defaultColWidth="9.140625" defaultRowHeight="12.75"/>
  <cols>
    <col min="1" max="1" width="42.00390625" style="9" customWidth="1"/>
    <col min="2" max="2" width="7.421875" style="9" customWidth="1"/>
    <col min="3" max="12" width="9.8515625" style="9" customWidth="1"/>
    <col min="13" max="16384" width="9.140625" style="9" customWidth="1"/>
  </cols>
  <sheetData>
    <row r="1" spans="1:2" ht="18">
      <c r="A1" s="8" t="s">
        <v>123</v>
      </c>
      <c r="B1" s="8"/>
    </row>
    <row r="3" spans="1:5" ht="12.75">
      <c r="A3" s="9" t="s">
        <v>90</v>
      </c>
      <c r="C3" s="105">
        <f>+Physical!$C$3</f>
        <v>0</v>
      </c>
      <c r="D3" s="105"/>
      <c r="E3" s="105"/>
    </row>
    <row r="5" spans="1:6" ht="12.75">
      <c r="A5" s="9" t="s">
        <v>91</v>
      </c>
      <c r="C5" s="106">
        <f>IF(LEN(+Physical!$C$5)=0,"",+Physical!$C$5)</f>
      </c>
      <c r="D5" s="106"/>
      <c r="E5" s="106"/>
      <c r="F5" s="23"/>
    </row>
    <row r="7" spans="3:12" ht="12.75">
      <c r="C7" s="102" t="s">
        <v>109</v>
      </c>
      <c r="D7" s="102"/>
      <c r="E7" s="102"/>
      <c r="F7" s="102"/>
      <c r="G7" s="102"/>
      <c r="H7" s="102"/>
      <c r="I7" s="102"/>
      <c r="J7" s="102"/>
      <c r="K7" s="102"/>
      <c r="L7" s="102"/>
    </row>
    <row r="8" spans="1:12" ht="74.25" customHeight="1">
      <c r="A8" s="10" t="s">
        <v>137</v>
      </c>
      <c r="B8" s="10" t="s">
        <v>114</v>
      </c>
      <c r="C8" s="75">
        <f>IF(Physical!B10="","",Physical!B10)</f>
      </c>
      <c r="D8" s="75">
        <f>IF(Physical!B11="","",Physical!B11)</f>
      </c>
      <c r="E8" s="75">
        <f>IF(Physical!B12="","",Physical!B12)</f>
      </c>
      <c r="F8" s="75">
        <f>IF(Physical!B13="","",Physical!B13)</f>
      </c>
      <c r="G8" s="75">
        <f>IF(Physical!B14="","",Physical!B14)</f>
      </c>
      <c r="H8" s="75">
        <f>IF(Physical!B15="","",Physical!B15)</f>
      </c>
      <c r="I8" s="75">
        <f>IF(Physical!B16="","",Physical!B16)</f>
      </c>
      <c r="J8" s="75">
        <f>IF(Physical!B17="","",Physical!B17)</f>
      </c>
      <c r="K8" s="75">
        <f>IF(Physical!B18="","",Physical!B18)</f>
      </c>
      <c r="L8" s="75">
        <f>IF(Physical!B19="","",Physical!B19)</f>
      </c>
    </row>
    <row r="9" spans="1:12" ht="12.75">
      <c r="A9" s="18" t="s">
        <v>99</v>
      </c>
      <c r="B9" s="16"/>
      <c r="C9" s="72">
        <f>IF(ISNA(VLOOKUP(C8,Physical!$B$10:$C$19,2,FALSE)),"",(VLOOKUP(C8,Physical!$B$10:$C$19,2,FALSE)))</f>
      </c>
      <c r="D9" s="72">
        <f>IF(ISNA(VLOOKUP(D8,Physical!$B$10:$C$19,2,FALSE)),"",(VLOOKUP(D8,Physical!$B$10:$C$19,2,FALSE)))</f>
      </c>
      <c r="E9" s="72">
        <f>IF(ISNA(VLOOKUP(E8,Physical!$B$10:$C$19,2,FALSE)),"",(VLOOKUP(E8,Physical!$B$10:$C$19,2,FALSE)))</f>
      </c>
      <c r="F9" s="72">
        <f>IF(ISNA(VLOOKUP(F8,Physical!$B$10:$C$19,2,FALSE)),"",(VLOOKUP(F8,Physical!$B$10:$C$19,2,FALSE)))</f>
      </c>
      <c r="G9" s="72">
        <f>IF(ISNA(VLOOKUP(G8,Physical!$B$10:$C$19,2,FALSE)),"",(VLOOKUP(G8,Physical!$B$10:$C$19,2,FALSE)))</f>
      </c>
      <c r="H9" s="72">
        <f>IF(ISNA(VLOOKUP(H8,Physical!$B$10:$C$19,2,FALSE)),"",(VLOOKUP(H8,Physical!$B$10:$C$19,2,FALSE)))</f>
      </c>
      <c r="I9" s="72">
        <f>IF(ISNA(VLOOKUP(I8,Physical!$B$10:$C$19,2,FALSE)),"",(VLOOKUP(I8,Physical!$B$10:$C$19,2,FALSE)))</f>
      </c>
      <c r="J9" s="72">
        <f>IF(ISNA(VLOOKUP(J8,Physical!$B$10:$C$19,2,FALSE)),"",(VLOOKUP(J8,Physical!$B$10:$C$19,2,FALSE)))</f>
      </c>
      <c r="K9" s="72">
        <f>IF(ISNA(VLOOKUP(K8,Physical!$B$10:$C$19,2,FALSE)),"",(VLOOKUP(K8,Physical!$B$10:$C$19,2,FALSE)))</f>
      </c>
      <c r="L9" s="72">
        <f>IF(ISNA(VLOOKUP(L8,Physical!$B$10:$C$19,2,FALSE)),"",(VLOOKUP(L8,Physical!$B$10:$C$19,2,FALSE)))</f>
      </c>
    </row>
    <row r="10" spans="1:12" ht="12.75">
      <c r="A10" s="18" t="s">
        <v>131</v>
      </c>
      <c r="B10" s="16">
        <v>6</v>
      </c>
      <c r="C10" s="61"/>
      <c r="D10" s="61"/>
      <c r="E10" s="61"/>
      <c r="F10" s="61"/>
      <c r="G10" s="61"/>
      <c r="H10" s="61"/>
      <c r="I10" s="61"/>
      <c r="J10" s="61"/>
      <c r="K10" s="61"/>
      <c r="L10" s="61"/>
    </row>
    <row r="11" spans="1:12" ht="12.75">
      <c r="A11" s="19" t="s">
        <v>108</v>
      </c>
      <c r="B11" s="20">
        <v>5</v>
      </c>
      <c r="C11" s="74"/>
      <c r="D11" s="74"/>
      <c r="E11" s="74"/>
      <c r="F11" s="74"/>
      <c r="G11" s="74"/>
      <c r="H11" s="74"/>
      <c r="I11" s="74"/>
      <c r="J11" s="74"/>
      <c r="K11" s="74"/>
      <c r="L11" s="74"/>
    </row>
    <row r="12" spans="1:12" ht="12.75">
      <c r="A12" s="19" t="s">
        <v>110</v>
      </c>
      <c r="B12" s="20">
        <v>1</v>
      </c>
      <c r="C12" s="74"/>
      <c r="D12" s="74"/>
      <c r="E12" s="74"/>
      <c r="F12" s="74"/>
      <c r="G12" s="74"/>
      <c r="H12" s="74"/>
      <c r="I12" s="74"/>
      <c r="J12" s="74"/>
      <c r="K12" s="74"/>
      <c r="L12" s="74"/>
    </row>
    <row r="13" spans="1:12" ht="12.75">
      <c r="A13" s="15" t="s">
        <v>132</v>
      </c>
      <c r="B13" s="17">
        <v>6</v>
      </c>
      <c r="C13" s="61"/>
      <c r="D13" s="61"/>
      <c r="E13" s="61"/>
      <c r="F13" s="61"/>
      <c r="G13" s="61"/>
      <c r="H13" s="61"/>
      <c r="I13" s="61"/>
      <c r="J13" s="61"/>
      <c r="K13" s="61"/>
      <c r="L13" s="61"/>
    </row>
    <row r="14" spans="1:12" ht="12.75">
      <c r="A14" s="19" t="s">
        <v>111</v>
      </c>
      <c r="B14" s="20">
        <v>1</v>
      </c>
      <c r="C14" s="74"/>
      <c r="D14" s="74"/>
      <c r="E14" s="74"/>
      <c r="F14" s="74"/>
      <c r="G14" s="74"/>
      <c r="H14" s="74"/>
      <c r="I14" s="74"/>
      <c r="J14" s="74"/>
      <c r="K14" s="74"/>
      <c r="L14" s="74"/>
    </row>
    <row r="15" spans="1:12" ht="12.75">
      <c r="A15" s="19" t="s">
        <v>112</v>
      </c>
      <c r="B15" s="20">
        <v>3</v>
      </c>
      <c r="C15" s="74"/>
      <c r="D15" s="74"/>
      <c r="E15" s="74"/>
      <c r="F15" s="74"/>
      <c r="G15" s="74"/>
      <c r="H15" s="74"/>
      <c r="I15" s="74"/>
      <c r="J15" s="74"/>
      <c r="K15" s="74"/>
      <c r="L15" s="74"/>
    </row>
    <row r="16" spans="1:12" ht="12.75">
      <c r="A16" s="19" t="s">
        <v>175</v>
      </c>
      <c r="B16" s="20">
        <v>1</v>
      </c>
      <c r="C16" s="74"/>
      <c r="D16" s="74"/>
      <c r="E16" s="74"/>
      <c r="F16" s="74"/>
      <c r="G16" s="74"/>
      <c r="H16" s="74"/>
      <c r="I16" s="74"/>
      <c r="J16" s="74"/>
      <c r="K16" s="74"/>
      <c r="L16" s="74"/>
    </row>
    <row r="17" spans="1:12" ht="12.75">
      <c r="A17" s="19" t="s">
        <v>113</v>
      </c>
      <c r="B17" s="20">
        <v>1</v>
      </c>
      <c r="C17" s="74"/>
      <c r="D17" s="74"/>
      <c r="E17" s="74"/>
      <c r="F17" s="74"/>
      <c r="G17" s="74"/>
      <c r="H17" s="74"/>
      <c r="I17" s="74"/>
      <c r="J17" s="74"/>
      <c r="K17" s="74"/>
      <c r="L17" s="74"/>
    </row>
    <row r="18" spans="1:12" ht="12.75">
      <c r="A18" s="15" t="s">
        <v>133</v>
      </c>
      <c r="B18" s="17">
        <v>8</v>
      </c>
      <c r="C18" s="61"/>
      <c r="D18" s="61"/>
      <c r="E18" s="61"/>
      <c r="F18" s="61"/>
      <c r="G18" s="61"/>
      <c r="H18" s="61"/>
      <c r="I18" s="61"/>
      <c r="J18" s="61"/>
      <c r="K18" s="61"/>
      <c r="L18" s="61"/>
    </row>
    <row r="19" spans="1:12" ht="12.75">
      <c r="A19" s="19" t="s">
        <v>125</v>
      </c>
      <c r="B19" s="20">
        <v>4</v>
      </c>
      <c r="C19" s="74"/>
      <c r="D19" s="74"/>
      <c r="E19" s="74"/>
      <c r="F19" s="74"/>
      <c r="G19" s="74"/>
      <c r="H19" s="74"/>
      <c r="I19" s="74"/>
      <c r="J19" s="74"/>
      <c r="K19" s="74"/>
      <c r="L19" s="74"/>
    </row>
    <row r="20" spans="1:12" ht="12.75">
      <c r="A20" s="19" t="s">
        <v>126</v>
      </c>
      <c r="B20" s="20">
        <v>4</v>
      </c>
      <c r="C20" s="74"/>
      <c r="D20" s="74"/>
      <c r="E20" s="74"/>
      <c r="F20" s="74"/>
      <c r="G20" s="74"/>
      <c r="H20" s="74"/>
      <c r="I20" s="74"/>
      <c r="J20" s="74"/>
      <c r="K20" s="74"/>
      <c r="L20" s="74"/>
    </row>
    <row r="21" spans="1:12" ht="12.75">
      <c r="A21" s="15" t="s">
        <v>134</v>
      </c>
      <c r="B21" s="17">
        <v>18</v>
      </c>
      <c r="C21" s="61"/>
      <c r="D21" s="61"/>
      <c r="E21" s="61"/>
      <c r="F21" s="61"/>
      <c r="G21" s="61"/>
      <c r="H21" s="61"/>
      <c r="I21" s="61"/>
      <c r="J21" s="61"/>
      <c r="K21" s="61"/>
      <c r="L21" s="61"/>
    </row>
    <row r="22" spans="1:12" ht="12.75">
      <c r="A22" s="19" t="s">
        <v>127</v>
      </c>
      <c r="B22" s="20">
        <v>16</v>
      </c>
      <c r="C22" s="74"/>
      <c r="D22" s="74"/>
      <c r="E22" s="74"/>
      <c r="F22" s="74"/>
      <c r="G22" s="74"/>
      <c r="H22" s="74"/>
      <c r="I22" s="74"/>
      <c r="J22" s="74"/>
      <c r="K22" s="74"/>
      <c r="L22" s="74"/>
    </row>
    <row r="23" spans="1:12" ht="12.75">
      <c r="A23" s="19" t="s">
        <v>128</v>
      </c>
      <c r="B23" s="20">
        <v>2</v>
      </c>
      <c r="C23" s="74"/>
      <c r="D23" s="74"/>
      <c r="E23" s="74"/>
      <c r="F23" s="74"/>
      <c r="G23" s="74"/>
      <c r="H23" s="74"/>
      <c r="I23" s="74"/>
      <c r="J23" s="74"/>
      <c r="K23" s="74"/>
      <c r="L23" s="74"/>
    </row>
    <row r="24" spans="1:12" ht="12.75">
      <c r="A24" s="15" t="s">
        <v>135</v>
      </c>
      <c r="B24" s="17">
        <v>2</v>
      </c>
      <c r="C24" s="61"/>
      <c r="D24" s="61"/>
      <c r="E24" s="61"/>
      <c r="F24" s="61"/>
      <c r="G24" s="61"/>
      <c r="H24" s="61"/>
      <c r="I24" s="61"/>
      <c r="J24" s="61"/>
      <c r="K24" s="61"/>
      <c r="L24" s="61"/>
    </row>
    <row r="25" spans="1:12" ht="12.75">
      <c r="A25" s="19" t="s">
        <v>129</v>
      </c>
      <c r="B25" s="20">
        <v>1</v>
      </c>
      <c r="C25" s="74"/>
      <c r="D25" s="74"/>
      <c r="E25" s="74"/>
      <c r="F25" s="74"/>
      <c r="G25" s="74"/>
      <c r="H25" s="74"/>
      <c r="I25" s="74"/>
      <c r="J25" s="74"/>
      <c r="K25" s="74"/>
      <c r="L25" s="74"/>
    </row>
    <row r="26" spans="1:12" ht="12.75">
      <c r="A26" s="19" t="s">
        <v>130</v>
      </c>
      <c r="B26" s="20">
        <v>1</v>
      </c>
      <c r="C26" s="74"/>
      <c r="D26" s="74"/>
      <c r="E26" s="74"/>
      <c r="F26" s="74"/>
      <c r="G26" s="74"/>
      <c r="H26" s="74"/>
      <c r="I26" s="74"/>
      <c r="J26" s="74"/>
      <c r="K26" s="74"/>
      <c r="L26" s="74"/>
    </row>
    <row r="27" spans="1:12" ht="3" customHeight="1">
      <c r="A27" s="108"/>
      <c r="B27" s="109"/>
      <c r="C27" s="109"/>
      <c r="D27" s="109"/>
      <c r="E27" s="109"/>
      <c r="F27" s="109"/>
      <c r="G27" s="109"/>
      <c r="H27" s="109"/>
      <c r="I27" s="109"/>
      <c r="J27" s="109"/>
      <c r="K27" s="109"/>
      <c r="L27" s="110"/>
    </row>
    <row r="28" spans="1:12" ht="12.75">
      <c r="A28" s="18" t="s">
        <v>163</v>
      </c>
      <c r="B28" s="17">
        <v>1</v>
      </c>
      <c r="C28" s="61"/>
      <c r="D28" s="61"/>
      <c r="E28" s="61"/>
      <c r="F28" s="61"/>
      <c r="G28" s="61"/>
      <c r="H28" s="61"/>
      <c r="I28" s="61"/>
      <c r="J28" s="61"/>
      <c r="K28" s="61"/>
      <c r="L28" s="61"/>
    </row>
    <row r="29" spans="1:12" ht="12.75">
      <c r="A29" s="19" t="s">
        <v>164</v>
      </c>
      <c r="B29" s="20">
        <v>1</v>
      </c>
      <c r="C29" s="74"/>
      <c r="D29" s="74"/>
      <c r="E29" s="74"/>
      <c r="F29" s="74"/>
      <c r="G29" s="74"/>
      <c r="H29" s="74"/>
      <c r="I29" s="74"/>
      <c r="J29" s="74"/>
      <c r="K29" s="74"/>
      <c r="L29" s="74"/>
    </row>
    <row r="30" spans="1:12" ht="12.75">
      <c r="A30" s="18" t="s">
        <v>165</v>
      </c>
      <c r="B30" s="17">
        <v>1</v>
      </c>
      <c r="C30" s="61"/>
      <c r="D30" s="61"/>
      <c r="E30" s="61"/>
      <c r="F30" s="61"/>
      <c r="G30" s="61"/>
      <c r="H30" s="61"/>
      <c r="I30" s="61"/>
      <c r="J30" s="61"/>
      <c r="K30" s="61"/>
      <c r="L30" s="61"/>
    </row>
    <row r="31" spans="1:12" ht="38.25">
      <c r="A31" s="28" t="s">
        <v>76</v>
      </c>
      <c r="B31" s="20">
        <v>1</v>
      </c>
      <c r="C31" s="74"/>
      <c r="D31" s="74"/>
      <c r="E31" s="74"/>
      <c r="F31" s="74"/>
      <c r="G31" s="74"/>
      <c r="H31" s="74"/>
      <c r="I31" s="74"/>
      <c r="J31" s="74"/>
      <c r="K31" s="74"/>
      <c r="L31" s="74"/>
    </row>
    <row r="35" spans="3:12" ht="12.75">
      <c r="C35" s="102" t="s">
        <v>114</v>
      </c>
      <c r="D35" s="102"/>
      <c r="E35" s="102"/>
      <c r="F35" s="102"/>
      <c r="G35" s="102"/>
      <c r="H35" s="102"/>
      <c r="I35" s="102"/>
      <c r="J35" s="102"/>
      <c r="K35" s="102"/>
      <c r="L35" s="102"/>
    </row>
    <row r="36" spans="1:13" ht="61.5" customHeight="1">
      <c r="A36" s="10" t="s">
        <v>137</v>
      </c>
      <c r="B36" s="10" t="s">
        <v>114</v>
      </c>
      <c r="C36" s="75">
        <f>+C8</f>
      </c>
      <c r="D36" s="75">
        <f aca="true" t="shared" si="0" ref="D36:L36">+D8</f>
      </c>
      <c r="E36" s="75">
        <f t="shared" si="0"/>
      </c>
      <c r="F36" s="75">
        <f t="shared" si="0"/>
      </c>
      <c r="G36" s="75">
        <f t="shared" si="0"/>
      </c>
      <c r="H36" s="75">
        <f t="shared" si="0"/>
      </c>
      <c r="I36" s="75">
        <f t="shared" si="0"/>
      </c>
      <c r="J36" s="75">
        <f t="shared" si="0"/>
      </c>
      <c r="K36" s="75">
        <f t="shared" si="0"/>
      </c>
      <c r="L36" s="75">
        <f t="shared" si="0"/>
      </c>
      <c r="M36" s="39"/>
    </row>
    <row r="37" spans="1:12" s="14" customFormat="1" ht="12.75">
      <c r="A37" s="15" t="s">
        <v>131</v>
      </c>
      <c r="B37" s="16">
        <v>6</v>
      </c>
      <c r="C37" s="76">
        <f>IF(AND(C38="",C39=""),"",IF(AND(C38&lt;&gt;"",C39=""),C38,IF(AND(C38="",C39&lt;&gt;""),C39,C38+C39)))</f>
      </c>
      <c r="D37" s="76">
        <f aca="true" t="shared" si="1" ref="D37:L37">IF(AND(D38="",D39=""),"",IF(AND(D38&lt;&gt;"",D39=""),D38,IF(AND(D38="",D39&lt;&gt;""),D39,D38+D39)))</f>
      </c>
      <c r="E37" s="76">
        <f t="shared" si="1"/>
      </c>
      <c r="F37" s="76">
        <f t="shared" si="1"/>
      </c>
      <c r="G37" s="76">
        <f t="shared" si="1"/>
      </c>
      <c r="H37" s="76">
        <f t="shared" si="1"/>
      </c>
      <c r="I37" s="76">
        <f t="shared" si="1"/>
      </c>
      <c r="J37" s="76">
        <f t="shared" si="1"/>
      </c>
      <c r="K37" s="76">
        <f t="shared" si="1"/>
      </c>
      <c r="L37" s="76">
        <f t="shared" si="1"/>
      </c>
    </row>
    <row r="38" spans="1:12" s="31" customFormat="1" ht="12.75">
      <c r="A38" s="29" t="s">
        <v>108</v>
      </c>
      <c r="B38" s="30">
        <v>5</v>
      </c>
      <c r="C38" s="77">
        <f>IF(C11="A",$B$11*1,IF(C11="B",$B$11*0.85,IF(C11="C",$B$11*0.7,IF(C11="D",$B$11*0.5,IF(C11="F",0,"")))))</f>
      </c>
      <c r="D38" s="77">
        <f aca="true" t="shared" si="2" ref="D38:L38">IF(D11="A",$B$11*1,IF(D11="B",$B$11*0.85,IF(D11="C",$B$11*0.7,IF(D11="D",$B$11*0.5,IF(D11="F",0,"")))))</f>
      </c>
      <c r="E38" s="77">
        <f t="shared" si="2"/>
      </c>
      <c r="F38" s="77">
        <f t="shared" si="2"/>
      </c>
      <c r="G38" s="77">
        <f t="shared" si="2"/>
      </c>
      <c r="H38" s="77">
        <f t="shared" si="2"/>
      </c>
      <c r="I38" s="77">
        <f t="shared" si="2"/>
      </c>
      <c r="J38" s="77">
        <f t="shared" si="2"/>
      </c>
      <c r="K38" s="77">
        <f t="shared" si="2"/>
      </c>
      <c r="L38" s="77">
        <f t="shared" si="2"/>
      </c>
    </row>
    <row r="39" spans="1:12" s="31" customFormat="1" ht="12.75">
      <c r="A39" s="29" t="s">
        <v>110</v>
      </c>
      <c r="B39" s="30">
        <v>1</v>
      </c>
      <c r="C39" s="77">
        <f>IF(C12="A",$B$12*1,IF(C12="B",$B$12*0.85,IF(C12="C",$B$12*0.7,IF(C12="D",$B$12*0.5,IF(C12="F",0,"")))))</f>
      </c>
      <c r="D39" s="77">
        <f aca="true" t="shared" si="3" ref="D39:L39">IF(D12="A",$B$12*1,IF(D12="B",$B$12*0.85,IF(D12="C",$B$12*0.7,IF(D12="D",$B$12*0.5,IF(D12="F",0,"")))))</f>
      </c>
      <c r="E39" s="77">
        <f t="shared" si="3"/>
      </c>
      <c r="F39" s="77">
        <f t="shared" si="3"/>
      </c>
      <c r="G39" s="77">
        <f t="shared" si="3"/>
      </c>
      <c r="H39" s="77">
        <f t="shared" si="3"/>
      </c>
      <c r="I39" s="77">
        <f t="shared" si="3"/>
      </c>
      <c r="J39" s="77">
        <f t="shared" si="3"/>
      </c>
      <c r="K39" s="77">
        <f t="shared" si="3"/>
      </c>
      <c r="L39" s="77">
        <f t="shared" si="3"/>
      </c>
    </row>
    <row r="40" spans="1:12" s="14" customFormat="1" ht="12.75">
      <c r="A40" s="15" t="s">
        <v>132</v>
      </c>
      <c r="B40" s="17">
        <v>6</v>
      </c>
      <c r="C40" s="76">
        <f>IF(AND(C41="",C42="",C43="",C44=""),"",SUM(C41:C44))</f>
      </c>
      <c r="D40" s="76">
        <f aca="true" t="shared" si="4" ref="D40:L40">IF(AND(D41="",D42="",D43="",D44=""),"",SUM(D41:D44))</f>
      </c>
      <c r="E40" s="76">
        <f t="shared" si="4"/>
      </c>
      <c r="F40" s="76">
        <f t="shared" si="4"/>
      </c>
      <c r="G40" s="76">
        <f t="shared" si="4"/>
      </c>
      <c r="H40" s="76">
        <f t="shared" si="4"/>
      </c>
      <c r="I40" s="76">
        <f t="shared" si="4"/>
      </c>
      <c r="J40" s="76">
        <f t="shared" si="4"/>
      </c>
      <c r="K40" s="76">
        <f t="shared" si="4"/>
      </c>
      <c r="L40" s="76">
        <f t="shared" si="4"/>
      </c>
    </row>
    <row r="41" spans="1:12" s="31" customFormat="1" ht="12.75">
      <c r="A41" s="29" t="s">
        <v>111</v>
      </c>
      <c r="B41" s="30">
        <v>1</v>
      </c>
      <c r="C41" s="77">
        <f>IF(C14="A",$B$14*1,IF(C14="B",$B$14*0.85,IF(C14="C",$B$14*0.7,IF(C14="D",$B$14*0.5,IF(C14="F",0,"")))))</f>
      </c>
      <c r="D41" s="77">
        <f aca="true" t="shared" si="5" ref="D41:L41">IF(D14="A",$B$14*1,IF(D14="B",$B$14*0.85,IF(D14="C",$B$14*0.7,IF(D14="D",$B$14*0.5,IF(D14="F",0,"")))))</f>
      </c>
      <c r="E41" s="77">
        <f t="shared" si="5"/>
      </c>
      <c r="F41" s="77">
        <f t="shared" si="5"/>
      </c>
      <c r="G41" s="77">
        <f t="shared" si="5"/>
      </c>
      <c r="H41" s="77">
        <f t="shared" si="5"/>
      </c>
      <c r="I41" s="77">
        <f t="shared" si="5"/>
      </c>
      <c r="J41" s="77">
        <f t="shared" si="5"/>
      </c>
      <c r="K41" s="77">
        <f t="shared" si="5"/>
      </c>
      <c r="L41" s="77">
        <f t="shared" si="5"/>
      </c>
    </row>
    <row r="42" spans="1:12" s="31" customFormat="1" ht="12.75">
      <c r="A42" s="29" t="s">
        <v>112</v>
      </c>
      <c r="B42" s="30">
        <v>3</v>
      </c>
      <c r="C42" s="77">
        <f>IF(C15="A",$B$15*1,IF(C15="B",$B$15*0.85,IF(C15="C",$B$15*0.7,IF(C15="D",$B$15*0.5,IF(C15="F",0,"")))))</f>
      </c>
      <c r="D42" s="77">
        <f aca="true" t="shared" si="6" ref="D42:L42">IF(D15="A",$B$15*1,IF(D15="B",$B$15*0.85,IF(D15="C",$B$15*0.7,IF(D15="D",$B$15*0.5,IF(D15="F",0,"")))))</f>
      </c>
      <c r="E42" s="77">
        <f t="shared" si="6"/>
      </c>
      <c r="F42" s="77">
        <f t="shared" si="6"/>
      </c>
      <c r="G42" s="77">
        <f t="shared" si="6"/>
      </c>
      <c r="H42" s="77">
        <f t="shared" si="6"/>
      </c>
      <c r="I42" s="77">
        <f t="shared" si="6"/>
      </c>
      <c r="J42" s="77">
        <f t="shared" si="6"/>
      </c>
      <c r="K42" s="77">
        <f t="shared" si="6"/>
      </c>
      <c r="L42" s="77">
        <f t="shared" si="6"/>
      </c>
    </row>
    <row r="43" spans="1:12" s="31" customFormat="1" ht="12.75">
      <c r="A43" s="29" t="s">
        <v>175</v>
      </c>
      <c r="B43" s="30">
        <v>1</v>
      </c>
      <c r="C43" s="77">
        <f>IF(C16="A",$B$16*1,IF(C16="B",$B$16*0.85,IF(C16="C",$B$16*0.7,IF(C16="D",$B$16*0.5,IF(C16="F",0,"")))))</f>
      </c>
      <c r="D43" s="77">
        <f aca="true" t="shared" si="7" ref="D43:L43">IF(D16="A",$B$16*1,IF(D16="B",$B$16*0.85,IF(D16="C",$B$16*0.7,IF(D16="D",$B$16*0.5,IF(D16="F",0,"")))))</f>
      </c>
      <c r="E43" s="77">
        <f t="shared" si="7"/>
      </c>
      <c r="F43" s="77">
        <f t="shared" si="7"/>
      </c>
      <c r="G43" s="77">
        <f t="shared" si="7"/>
      </c>
      <c r="H43" s="77">
        <f t="shared" si="7"/>
      </c>
      <c r="I43" s="77">
        <f t="shared" si="7"/>
      </c>
      <c r="J43" s="77">
        <f t="shared" si="7"/>
      </c>
      <c r="K43" s="77">
        <f t="shared" si="7"/>
      </c>
      <c r="L43" s="77">
        <f t="shared" si="7"/>
      </c>
    </row>
    <row r="44" spans="1:12" s="31" customFormat="1" ht="12.75">
      <c r="A44" s="29" t="s">
        <v>113</v>
      </c>
      <c r="B44" s="30">
        <v>1</v>
      </c>
      <c r="C44" s="77">
        <f>IF(C17="A",$B$17*1,IF(C17="B",$B$17*0.85,IF(C17="C",$B$17*0.7,IF(C17="D",$B$17*0.5,IF(C17="F",0,"")))))</f>
      </c>
      <c r="D44" s="77">
        <f aca="true" t="shared" si="8" ref="D44:L44">IF(D17="A",$B$17*1,IF(D17="B",$B$17*0.85,IF(D17="C",$B$17*0.7,IF(D17="D",$B$17*0.5,IF(D17="F",0,"")))))</f>
      </c>
      <c r="E44" s="77">
        <f t="shared" si="8"/>
      </c>
      <c r="F44" s="77">
        <f t="shared" si="8"/>
      </c>
      <c r="G44" s="77">
        <f t="shared" si="8"/>
      </c>
      <c r="H44" s="77">
        <f t="shared" si="8"/>
      </c>
      <c r="I44" s="77">
        <f t="shared" si="8"/>
      </c>
      <c r="J44" s="77">
        <f t="shared" si="8"/>
      </c>
      <c r="K44" s="77">
        <f t="shared" si="8"/>
      </c>
      <c r="L44" s="77">
        <f t="shared" si="8"/>
      </c>
    </row>
    <row r="45" spans="1:12" s="14" customFormat="1" ht="12.75">
      <c r="A45" s="15" t="s">
        <v>133</v>
      </c>
      <c r="B45" s="17">
        <v>8</v>
      </c>
      <c r="C45" s="76">
        <f>IF(AND(C46="",C47=""),"",IF(AND(C46&lt;&gt;"",C47=""),C46,IF(AND(C46="",C47&lt;&gt;""),C47,C46+C47)))</f>
      </c>
      <c r="D45" s="76">
        <f aca="true" t="shared" si="9" ref="D45:L45">IF(AND(D46="",D47=""),"",IF(AND(D46&lt;&gt;"",D47=""),D46,IF(AND(D46="",D47&lt;&gt;""),D47,D46+D47)))</f>
      </c>
      <c r="E45" s="76">
        <f t="shared" si="9"/>
      </c>
      <c r="F45" s="76">
        <f t="shared" si="9"/>
      </c>
      <c r="G45" s="76">
        <f t="shared" si="9"/>
      </c>
      <c r="H45" s="76">
        <f t="shared" si="9"/>
      </c>
      <c r="I45" s="76">
        <f t="shared" si="9"/>
      </c>
      <c r="J45" s="76">
        <f t="shared" si="9"/>
      </c>
      <c r="K45" s="76">
        <f t="shared" si="9"/>
      </c>
      <c r="L45" s="76">
        <f t="shared" si="9"/>
      </c>
    </row>
    <row r="46" spans="1:12" s="31" customFormat="1" ht="12.75">
      <c r="A46" s="29" t="s">
        <v>125</v>
      </c>
      <c r="B46" s="30">
        <v>4</v>
      </c>
      <c r="C46" s="77">
        <f>IF(C19="A",$B$19*1,IF(C19="B",$B$19*0.85,IF(C19="C",$B$19*0.7,IF(C19="D",$B$19*0.5,IF(C19="F",0,"")))))</f>
      </c>
      <c r="D46" s="77">
        <f aca="true" t="shared" si="10" ref="D46:L46">IF(D19="A",$B$19*1,IF(D19="B",$B$19*0.85,IF(D19="C",$B$19*0.7,IF(D19="D",$B$19*0.5,IF(D19="F",0,"")))))</f>
      </c>
      <c r="E46" s="77">
        <f t="shared" si="10"/>
      </c>
      <c r="F46" s="77">
        <f t="shared" si="10"/>
      </c>
      <c r="G46" s="77">
        <f t="shared" si="10"/>
      </c>
      <c r="H46" s="77">
        <f t="shared" si="10"/>
      </c>
      <c r="I46" s="77">
        <f t="shared" si="10"/>
      </c>
      <c r="J46" s="77">
        <f t="shared" si="10"/>
      </c>
      <c r="K46" s="77">
        <f t="shared" si="10"/>
      </c>
      <c r="L46" s="77">
        <f t="shared" si="10"/>
      </c>
    </row>
    <row r="47" spans="1:12" s="31" customFormat="1" ht="12.75">
      <c r="A47" s="29" t="s">
        <v>126</v>
      </c>
      <c r="B47" s="30">
        <v>4</v>
      </c>
      <c r="C47" s="77">
        <f>IF(C20="A",$B$20*1,IF(C20="B",$B$20*0.85,IF(C20="C",$B$20*0.7,IF(C20="D",$B$20*0.5,IF(C20="F",0,"")))))</f>
      </c>
      <c r="D47" s="77">
        <f aca="true" t="shared" si="11" ref="D47:L47">IF(D20="A",$B$20*1,IF(D20="B",$B$20*0.85,IF(D20="C",$B$20*0.7,IF(D20="D",$B$20*0.5,IF(D20="F",0,"")))))</f>
      </c>
      <c r="E47" s="77">
        <f t="shared" si="11"/>
      </c>
      <c r="F47" s="77">
        <f t="shared" si="11"/>
      </c>
      <c r="G47" s="77">
        <f t="shared" si="11"/>
      </c>
      <c r="H47" s="77">
        <f t="shared" si="11"/>
      </c>
      <c r="I47" s="77">
        <f t="shared" si="11"/>
      </c>
      <c r="J47" s="77">
        <f t="shared" si="11"/>
      </c>
      <c r="K47" s="77">
        <f t="shared" si="11"/>
      </c>
      <c r="L47" s="77">
        <f t="shared" si="11"/>
      </c>
    </row>
    <row r="48" spans="1:12" s="14" customFormat="1" ht="12.75">
      <c r="A48" s="15" t="s">
        <v>134</v>
      </c>
      <c r="B48" s="17">
        <v>18</v>
      </c>
      <c r="C48" s="76">
        <f>IF(AND(C49="",C50=""),"",IF(AND(C49&lt;&gt;"",C50=""),C49,IF(AND(C49="",C50&lt;&gt;""),C50,C49+C50)))</f>
      </c>
      <c r="D48" s="76">
        <f aca="true" t="shared" si="12" ref="D48:L48">IF(AND(D49="",D50=""),"",IF(AND(D49&lt;&gt;"",D50=""),D49,IF(AND(D49="",D50&lt;&gt;""),D50,D49+D50)))</f>
      </c>
      <c r="E48" s="76">
        <f t="shared" si="12"/>
      </c>
      <c r="F48" s="76">
        <f t="shared" si="12"/>
      </c>
      <c r="G48" s="76">
        <f t="shared" si="12"/>
      </c>
      <c r="H48" s="76">
        <f t="shared" si="12"/>
      </c>
      <c r="I48" s="76">
        <f t="shared" si="12"/>
      </c>
      <c r="J48" s="76">
        <f t="shared" si="12"/>
      </c>
      <c r="K48" s="76">
        <f t="shared" si="12"/>
      </c>
      <c r="L48" s="76">
        <f t="shared" si="12"/>
      </c>
    </row>
    <row r="49" spans="1:12" s="31" customFormat="1" ht="12.75">
      <c r="A49" s="29" t="s">
        <v>127</v>
      </c>
      <c r="B49" s="30">
        <v>16</v>
      </c>
      <c r="C49" s="77">
        <f>IF(C22="A",$B$22*1,IF(C22="B",$B$22*0.85,IF(C22="C",$B$22*0.7,IF(C22="D",$B$22*0.5,IF(C22="F",0,"")))))</f>
      </c>
      <c r="D49" s="77">
        <f aca="true" t="shared" si="13" ref="D49:L49">IF(D22="A",$B$22*1,IF(D22="B",$B$22*0.85,IF(D22="C",$B$22*0.7,IF(D22="D",$B$22*0.5,IF(D22="F",0,"")))))</f>
      </c>
      <c r="E49" s="77">
        <f t="shared" si="13"/>
      </c>
      <c r="F49" s="77">
        <f t="shared" si="13"/>
      </c>
      <c r="G49" s="77">
        <f t="shared" si="13"/>
      </c>
      <c r="H49" s="77">
        <f t="shared" si="13"/>
      </c>
      <c r="I49" s="77">
        <f t="shared" si="13"/>
      </c>
      <c r="J49" s="77">
        <f t="shared" si="13"/>
      </c>
      <c r="K49" s="77">
        <f t="shared" si="13"/>
      </c>
      <c r="L49" s="77">
        <f t="shared" si="13"/>
      </c>
    </row>
    <row r="50" spans="1:12" s="31" customFormat="1" ht="12.75">
      <c r="A50" s="29" t="s">
        <v>128</v>
      </c>
      <c r="B50" s="30">
        <v>2</v>
      </c>
      <c r="C50" s="77">
        <f>IF(C23="A",$B$23*1,IF(C23="B",$B$23*0.85,IF(C23="C",$B$23*0.7,IF(C23="D",$B$23*0.5,IF(C23="F",0,"")))))</f>
      </c>
      <c r="D50" s="77">
        <f aca="true" t="shared" si="14" ref="D50:L50">IF(D23="A",$B$23*1,IF(D23="B",$B$23*0.85,IF(D23="C",$B$23*0.7,IF(D23="D",$B$23*0.5,IF(D23="F",0,"")))))</f>
      </c>
      <c r="E50" s="77">
        <f t="shared" si="14"/>
      </c>
      <c r="F50" s="77">
        <f t="shared" si="14"/>
      </c>
      <c r="G50" s="77">
        <f t="shared" si="14"/>
      </c>
      <c r="H50" s="77">
        <f t="shared" si="14"/>
      </c>
      <c r="I50" s="77">
        <f t="shared" si="14"/>
      </c>
      <c r="J50" s="77">
        <f t="shared" si="14"/>
      </c>
      <c r="K50" s="77">
        <f t="shared" si="14"/>
      </c>
      <c r="L50" s="77">
        <f t="shared" si="14"/>
      </c>
    </row>
    <row r="51" spans="1:12" s="14" customFormat="1" ht="12.75">
      <c r="A51" s="15" t="s">
        <v>135</v>
      </c>
      <c r="B51" s="17">
        <v>2</v>
      </c>
      <c r="C51" s="76">
        <f>IF(AND(C52="",C53=""),"",IF(AND(C52&lt;&gt;"",C53=""),C52,IF(AND(C52="",C53&lt;&gt;""),C53,C52+C53)))</f>
      </c>
      <c r="D51" s="76">
        <f aca="true" t="shared" si="15" ref="D51:L51">IF(AND(D52="",D53=""),"",IF(AND(D52&lt;&gt;"",D53=""),D52,IF(AND(D52="",D53&lt;&gt;""),D53,D52+D53)))</f>
      </c>
      <c r="E51" s="76">
        <f t="shared" si="15"/>
      </c>
      <c r="F51" s="76">
        <f t="shared" si="15"/>
      </c>
      <c r="G51" s="76">
        <f t="shared" si="15"/>
      </c>
      <c r="H51" s="76">
        <f t="shared" si="15"/>
      </c>
      <c r="I51" s="76">
        <f t="shared" si="15"/>
      </c>
      <c r="J51" s="76">
        <f t="shared" si="15"/>
      </c>
      <c r="K51" s="76">
        <f t="shared" si="15"/>
      </c>
      <c r="L51" s="76">
        <f t="shared" si="15"/>
      </c>
    </row>
    <row r="52" spans="1:12" s="31" customFormat="1" ht="12.75">
      <c r="A52" s="29" t="s">
        <v>129</v>
      </c>
      <c r="B52" s="30">
        <v>1</v>
      </c>
      <c r="C52" s="77">
        <f>IF(C25="A",$B$25*1,IF(C25="B",$B$25*0.85,IF(C25="C",$B$25*0.7,IF(C25="D",$B$25*0.5,IF(C25="F",0,"")))))</f>
      </c>
      <c r="D52" s="77">
        <f aca="true" t="shared" si="16" ref="D52:L52">IF(D25="A",$B$25*1,IF(D25="B",$B$25*0.85,IF(D25="C",$B$25*0.7,IF(D25="D",$B$25*0.5,IF(D25="F",0,"")))))</f>
      </c>
      <c r="E52" s="77">
        <f t="shared" si="16"/>
      </c>
      <c r="F52" s="77">
        <f t="shared" si="16"/>
      </c>
      <c r="G52" s="77">
        <f t="shared" si="16"/>
      </c>
      <c r="H52" s="77">
        <f t="shared" si="16"/>
      </c>
      <c r="I52" s="77">
        <f t="shared" si="16"/>
      </c>
      <c r="J52" s="77">
        <f t="shared" si="16"/>
      </c>
      <c r="K52" s="77">
        <f t="shared" si="16"/>
      </c>
      <c r="L52" s="77">
        <f t="shared" si="16"/>
      </c>
    </row>
    <row r="53" spans="1:12" s="31" customFormat="1" ht="13.5" thickBot="1">
      <c r="A53" s="32" t="s">
        <v>130</v>
      </c>
      <c r="B53" s="33">
        <v>1</v>
      </c>
      <c r="C53" s="78">
        <f>IF(C26="A",$B$26*1,IF(C26="B",$B$26*0.85,IF(C26="C",$B$26*0.7,IF(C26="D",$B$26*0.5,IF(C26="F",0,"")))))</f>
      </c>
      <c r="D53" s="78">
        <f aca="true" t="shared" si="17" ref="D53:L53">IF(D26="A",$B$26*1,IF(D26="B",$B$26*0.85,IF(D26="C",$B$26*0.7,IF(D26="D",$B$26*0.5,IF(D26="F",0,"")))))</f>
      </c>
      <c r="E53" s="78">
        <f t="shared" si="17"/>
      </c>
      <c r="F53" s="78">
        <f t="shared" si="17"/>
      </c>
      <c r="G53" s="78">
        <f t="shared" si="17"/>
      </c>
      <c r="H53" s="78">
        <f t="shared" si="17"/>
      </c>
      <c r="I53" s="78">
        <f t="shared" si="17"/>
      </c>
      <c r="J53" s="78">
        <f t="shared" si="17"/>
      </c>
      <c r="K53" s="78">
        <f t="shared" si="17"/>
      </c>
      <c r="L53" s="78">
        <f t="shared" si="17"/>
      </c>
    </row>
    <row r="54" spans="1:12" ht="13.5" thickBot="1">
      <c r="A54" s="34" t="s">
        <v>136</v>
      </c>
      <c r="B54" s="35">
        <v>40</v>
      </c>
      <c r="C54" s="79">
        <f>IF(ISERROR(C37+C40+C45+C48+C51),"",ROUND((C37+C40+C45+C48+C51),1))</f>
      </c>
      <c r="D54" s="79">
        <f aca="true" t="shared" si="18" ref="D54:L54">IF(ISERROR(D37+D40+D45+D48+D51),"",ROUND((D37+D40+D45+D48+D51),1))</f>
      </c>
      <c r="E54" s="79">
        <f t="shared" si="18"/>
      </c>
      <c r="F54" s="79">
        <f t="shared" si="18"/>
      </c>
      <c r="G54" s="79">
        <f t="shared" si="18"/>
      </c>
      <c r="H54" s="79">
        <f t="shared" si="18"/>
      </c>
      <c r="I54" s="79">
        <f t="shared" si="18"/>
      </c>
      <c r="J54" s="79">
        <f t="shared" si="18"/>
      </c>
      <c r="K54" s="79">
        <f t="shared" si="18"/>
      </c>
      <c r="L54" s="79">
        <f t="shared" si="18"/>
      </c>
    </row>
    <row r="55" spans="1:12" ht="12.75">
      <c r="A55" s="36" t="s">
        <v>163</v>
      </c>
      <c r="B55" s="17">
        <v>1</v>
      </c>
      <c r="C55" s="72">
        <f>IF(C29="","",IF(C29="Yes",1,0))</f>
      </c>
      <c r="D55" s="72">
        <f aca="true" t="shared" si="19" ref="D55:L55">IF(D29="","",IF(D29="Yes",1,0))</f>
      </c>
      <c r="E55" s="72">
        <f t="shared" si="19"/>
      </c>
      <c r="F55" s="72">
        <f t="shared" si="19"/>
      </c>
      <c r="G55" s="72">
        <f t="shared" si="19"/>
      </c>
      <c r="H55" s="72">
        <f t="shared" si="19"/>
      </c>
      <c r="I55" s="72">
        <f t="shared" si="19"/>
      </c>
      <c r="J55" s="72">
        <f t="shared" si="19"/>
      </c>
      <c r="K55" s="72">
        <f t="shared" si="19"/>
      </c>
      <c r="L55" s="72">
        <f t="shared" si="19"/>
      </c>
    </row>
    <row r="56" spans="1:12" ht="13.5" thickBot="1">
      <c r="A56" s="36" t="s">
        <v>165</v>
      </c>
      <c r="B56" s="17">
        <v>1</v>
      </c>
      <c r="C56" s="72">
        <f>IF(C31="","",IF(C31="Yes",1,0))</f>
      </c>
      <c r="D56" s="72">
        <f aca="true" t="shared" si="20" ref="D56:L56">IF(D31="","",IF(D31="Yes",1,0))</f>
      </c>
      <c r="E56" s="72">
        <f t="shared" si="20"/>
      </c>
      <c r="F56" s="72">
        <f t="shared" si="20"/>
      </c>
      <c r="G56" s="72">
        <f t="shared" si="20"/>
      </c>
      <c r="H56" s="72">
        <f t="shared" si="20"/>
      </c>
      <c r="I56" s="72">
        <f t="shared" si="20"/>
      </c>
      <c r="J56" s="72">
        <f t="shared" si="20"/>
      </c>
      <c r="K56" s="72">
        <f t="shared" si="20"/>
      </c>
      <c r="L56" s="72">
        <f t="shared" si="20"/>
      </c>
    </row>
    <row r="57" spans="1:12" ht="15" thickBot="1">
      <c r="A57" s="34" t="s">
        <v>166</v>
      </c>
      <c r="B57" s="35">
        <v>2</v>
      </c>
      <c r="C57" s="80">
        <f>IF(C54="","",SUM(C55:C56))</f>
      </c>
      <c r="D57" s="80">
        <f aca="true" t="shared" si="21" ref="D57:L57">IF(D54="","",SUM(D55:D56))</f>
      </c>
      <c r="E57" s="80">
        <f t="shared" si="21"/>
      </c>
      <c r="F57" s="80">
        <f t="shared" si="21"/>
      </c>
      <c r="G57" s="80">
        <f t="shared" si="21"/>
      </c>
      <c r="H57" s="80">
        <f t="shared" si="21"/>
      </c>
      <c r="I57" s="80">
        <f t="shared" si="21"/>
      </c>
      <c r="J57" s="80">
        <f t="shared" si="21"/>
      </c>
      <c r="K57" s="80">
        <f t="shared" si="21"/>
      </c>
      <c r="L57" s="80">
        <f t="shared" si="21"/>
      </c>
    </row>
    <row r="58" spans="1:12" ht="13.5" thickBot="1">
      <c r="A58" s="34" t="s">
        <v>167</v>
      </c>
      <c r="B58" s="35">
        <v>40</v>
      </c>
      <c r="C58" s="79">
        <f>IF(AND(C54="",C57=""),"",IF(C54+C57&gt;40,40,C54+C57))</f>
      </c>
      <c r="D58" s="79">
        <f aca="true" t="shared" si="22" ref="D58:L58">IF(AND(D54="",D57=""),"",IF(D54+D57&gt;40,40,D54+D57))</f>
      </c>
      <c r="E58" s="79">
        <f t="shared" si="22"/>
      </c>
      <c r="F58" s="79">
        <f t="shared" si="22"/>
      </c>
      <c r="G58" s="79">
        <f t="shared" si="22"/>
      </c>
      <c r="H58" s="79">
        <f t="shared" si="22"/>
      </c>
      <c r="I58" s="79">
        <f t="shared" si="22"/>
      </c>
      <c r="J58" s="79">
        <f t="shared" si="22"/>
      </c>
      <c r="K58" s="79">
        <f t="shared" si="22"/>
      </c>
      <c r="L58" s="79">
        <f t="shared" si="22"/>
      </c>
    </row>
    <row r="59" ht="14.25">
      <c r="A59" s="37" t="s">
        <v>187</v>
      </c>
    </row>
    <row r="60" ht="14.25">
      <c r="A60" s="37"/>
    </row>
    <row r="61" spans="9:12" ht="12.75">
      <c r="I61" s="14" t="s">
        <v>191</v>
      </c>
      <c r="L61" s="81">
        <f>IF(SUM(Physical!$C$10:$C$19)=0,0,ROUND(SUMPRODUCT('Mgmt Scores (Hide)'!C2:C11,Physical!$C$10:$C$19)/SUM(Physical!$C$10:$C$19),1))</f>
        <v>0</v>
      </c>
    </row>
    <row r="62" ht="12.75">
      <c r="I62" s="24" t="s">
        <v>176</v>
      </c>
    </row>
  </sheetData>
  <sheetProtection/>
  <mergeCells count="5">
    <mergeCell ref="C7:L7"/>
    <mergeCell ref="C35:L35"/>
    <mergeCell ref="A27:L27"/>
    <mergeCell ref="C3:E3"/>
    <mergeCell ref="C5:E5"/>
  </mergeCells>
  <dataValidations count="5">
    <dataValidation type="list" allowBlank="1" showInputMessage="1" showErrorMessage="1" sqref="C29:L29">
      <formula1>"Yes, No"</formula1>
    </dataValidation>
    <dataValidation type="list" allowBlank="1" showInputMessage="1" showErrorMessage="1" sqref="C31:L31">
      <formula1>"Yes,No"</formula1>
    </dataValidation>
    <dataValidation type="list" allowBlank="1" showInputMessage="1" showErrorMessage="1" sqref="C26:L26">
      <formula1>"A,F"</formula1>
    </dataValidation>
    <dataValidation type="list" allowBlank="1" showInputMessage="1" showErrorMessage="1" sqref="C22:L23">
      <formula1>"A,B,C,D,F"</formula1>
    </dataValidation>
    <dataValidation type="list" allowBlank="1" showInputMessage="1" showErrorMessage="1" sqref="C11:L12 C25:L25 C19:L20 C14:L17">
      <formula1>"A,C,F"</formula1>
    </dataValidation>
  </dataValidations>
  <printOptions/>
  <pageMargins left="0.75" right="0.75" top="1" bottom="1" header="0.5" footer="0.5"/>
  <pageSetup fitToHeight="1" fitToWidth="1" horizontalDpi="600" verticalDpi="600" orientation="landscape" scale="50" r:id="rId2"/>
  <headerFooter alignWithMargins="0">
    <oddHeader>&amp;CPHAS Scoring Tool</oddHead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codeName="Sheet7"/>
  <dimension ref="A1:F11"/>
  <sheetViews>
    <sheetView workbookViewId="0" topLeftCell="A1">
      <selection activeCell="F16" sqref="F16"/>
    </sheetView>
  </sheetViews>
  <sheetFormatPr defaultColWidth="9.140625" defaultRowHeight="12.75"/>
  <cols>
    <col min="2" max="2" width="15.28125" style="0" bestFit="1" customWidth="1"/>
    <col min="3" max="3" width="21.140625" style="0" customWidth="1"/>
  </cols>
  <sheetData>
    <row r="1" spans="1:3" ht="12.75">
      <c r="A1" s="2" t="s">
        <v>100</v>
      </c>
      <c r="B1" s="3" t="s">
        <v>98</v>
      </c>
      <c r="C1" s="2" t="s">
        <v>188</v>
      </c>
    </row>
    <row r="2" spans="1:5" ht="12.75">
      <c r="A2" s="1">
        <v>1</v>
      </c>
      <c r="B2" s="4">
        <f>Management!C36</f>
      </c>
      <c r="C2" s="4">
        <f>HLOOKUP(B2,Management!$C$36:$L$58,23,FALSE)</f>
      </c>
      <c r="E2" s="41" t="s">
        <v>169</v>
      </c>
    </row>
    <row r="3" spans="1:6" ht="12.75">
      <c r="A3" s="1">
        <v>2</v>
      </c>
      <c r="B3" s="4">
        <f>Management!D36</f>
      </c>
      <c r="C3" s="4">
        <f>HLOOKUP(B3,Management!$C$36:$L$58,23,FALSE)</f>
      </c>
      <c r="F3" s="41" t="s">
        <v>170</v>
      </c>
    </row>
    <row r="4" spans="1:5" ht="12.75">
      <c r="A4" s="1">
        <v>3</v>
      </c>
      <c r="B4" s="4">
        <f>Management!E36</f>
      </c>
      <c r="C4" s="4">
        <f>HLOOKUP(B4,Management!$C$36:$L$58,23,FALSE)</f>
      </c>
      <c r="E4" s="41"/>
    </row>
    <row r="5" spans="1:5" ht="12.75">
      <c r="A5" s="1">
        <v>4</v>
      </c>
      <c r="B5" s="4">
        <f>Management!F36</f>
      </c>
      <c r="C5" s="4">
        <f>HLOOKUP(B5,Management!$C$36:$L$58,23,FALSE)</f>
      </c>
      <c r="E5" s="41" t="s">
        <v>171</v>
      </c>
    </row>
    <row r="6" spans="1:6" ht="12.75">
      <c r="A6" s="1">
        <v>5</v>
      </c>
      <c r="B6" s="4">
        <f>Management!G36</f>
      </c>
      <c r="C6" s="4">
        <f>HLOOKUP(B6,Management!$C$36:$L$58,23,FALSE)</f>
      </c>
      <c r="F6" s="41" t="s">
        <v>172</v>
      </c>
    </row>
    <row r="7" spans="1:5" ht="12.75">
      <c r="A7" s="1">
        <v>6</v>
      </c>
      <c r="B7" s="4">
        <f>Management!H36</f>
      </c>
      <c r="C7" s="4">
        <f>HLOOKUP(B7,Management!$C$36:$L$58,23,FALSE)</f>
      </c>
      <c r="E7" s="41"/>
    </row>
    <row r="8" spans="1:5" ht="12.75">
      <c r="A8" s="1">
        <v>7</v>
      </c>
      <c r="B8" s="4">
        <f>Management!I36</f>
      </c>
      <c r="C8" s="4">
        <f>HLOOKUP(B8,Management!$C$36:$L$58,23,FALSE)</f>
      </c>
      <c r="E8" s="41" t="s">
        <v>173</v>
      </c>
    </row>
    <row r="9" spans="1:6" ht="12.75">
      <c r="A9" s="1">
        <v>8</v>
      </c>
      <c r="B9" s="4">
        <f>Management!J36</f>
      </c>
      <c r="C9" s="4">
        <f>HLOOKUP(B9,Management!$C$36:$L$58,23,FALSE)</f>
      </c>
      <c r="F9" s="41" t="s">
        <v>174</v>
      </c>
    </row>
    <row r="10" spans="1:5" ht="12.75">
      <c r="A10" s="1">
        <v>9</v>
      </c>
      <c r="B10" s="4">
        <f>Management!K36</f>
      </c>
      <c r="C10" s="4">
        <f>HLOOKUP(B10,Management!$C$36:$L$58,23,FALSE)</f>
      </c>
      <c r="E10" s="41"/>
    </row>
    <row r="11" spans="1:3" ht="12.75">
      <c r="A11" s="1">
        <v>10</v>
      </c>
      <c r="B11" s="4">
        <f>Management!L36</f>
      </c>
      <c r="C11" s="4">
        <f>HLOOKUP(B11,Management!$C$36:$L$58,23,FALSE)</f>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8"/>
  <dimension ref="A1:F25"/>
  <sheetViews>
    <sheetView workbookViewId="0" topLeftCell="A1">
      <selection activeCell="B3" sqref="B3"/>
    </sheetView>
  </sheetViews>
  <sheetFormatPr defaultColWidth="9.140625" defaultRowHeight="12.75"/>
  <cols>
    <col min="1" max="1" width="23.140625" style="9" bestFit="1" customWidth="1"/>
    <col min="2" max="2" width="40.421875" style="9" customWidth="1"/>
    <col min="3" max="3" width="9.140625" style="9" customWidth="1"/>
    <col min="4" max="4" width="8.28125" style="9" customWidth="1"/>
    <col min="5" max="5" width="5.7109375" style="9" hidden="1" customWidth="1"/>
    <col min="6" max="6" width="3.8515625" style="9" hidden="1" customWidth="1"/>
    <col min="7" max="16384" width="9.140625" style="9" customWidth="1"/>
  </cols>
  <sheetData>
    <row r="1" ht="18">
      <c r="A1" s="8" t="s">
        <v>122</v>
      </c>
    </row>
    <row r="3" spans="1:2" ht="12.75">
      <c r="A3" s="9" t="s">
        <v>90</v>
      </c>
      <c r="B3" s="70">
        <f>+Physical!$C$3</f>
        <v>0</v>
      </c>
    </row>
    <row r="5" spans="1:2" ht="12.75">
      <c r="A5" s="9" t="s">
        <v>91</v>
      </c>
      <c r="B5" s="69">
        <f>IF(LEN(+Physical!$C$5)=0,"",+Physical!$C$5)</f>
      </c>
    </row>
    <row r="7" spans="1:6" ht="12.75">
      <c r="A7" s="9" t="s">
        <v>102</v>
      </c>
      <c r="B7" s="83"/>
      <c r="C7" s="21" t="s">
        <v>149</v>
      </c>
      <c r="D7" s="82">
        <f>IF(B11="Sanctions for Obligation of Funds","F",IF(B11="Both","F",IF(B7="Less than 90%","F",IF(B7="90% or More","A",IF(B7="N/A","N/A","")))))</f>
      </c>
      <c r="E7" s="9" t="s">
        <v>150</v>
      </c>
      <c r="F7" s="9">
        <f>IF(D7="A",5,IF(D7="F",0,IF(D7="N/A",5,0)))</f>
        <v>0</v>
      </c>
    </row>
    <row r="8" ht="12.75">
      <c r="C8" s="21"/>
    </row>
    <row r="9" spans="1:6" ht="12.75">
      <c r="A9" s="9" t="s">
        <v>103</v>
      </c>
      <c r="B9" s="83"/>
      <c r="C9" s="21" t="s">
        <v>149</v>
      </c>
      <c r="D9" s="82">
        <f>IF(B11="Sanctions for Expenditure of Funds","F",IF(B11="Both","F",IF(B9="100% (or Balance &lt; 1% or &lt; $1000)","A",IF(B9="Less than 100% (or Balance &gt; 1% or &gt; $1000)","F",IF(B9="N/A","N/A","")))))</f>
      </c>
      <c r="E9" s="9" t="s">
        <v>150</v>
      </c>
      <c r="F9" s="9">
        <f>IF(D9="A",5,IF(D9="F",0,IF(D9="N/A",5,0)))</f>
        <v>0</v>
      </c>
    </row>
    <row r="11" spans="1:2" ht="12.75">
      <c r="A11" s="9" t="s">
        <v>168</v>
      </c>
      <c r="B11" s="83"/>
    </row>
    <row r="13" spans="1:2" ht="12.75">
      <c r="A13" s="14" t="s">
        <v>120</v>
      </c>
      <c r="B13" s="76">
        <f>F7+F9</f>
        <v>0</v>
      </c>
    </row>
    <row r="15" ht="12.75">
      <c r="B15" s="14"/>
    </row>
    <row r="16" ht="12.75">
      <c r="A16" s="64" t="s">
        <v>72</v>
      </c>
    </row>
    <row r="17" ht="12.75">
      <c r="A17" s="22"/>
    </row>
    <row r="18" ht="12.75">
      <c r="A18" s="22"/>
    </row>
    <row r="19" ht="12.75">
      <c r="A19" s="22"/>
    </row>
    <row r="20" ht="12.75">
      <c r="A20" s="22"/>
    </row>
    <row r="21" ht="12.75">
      <c r="A21" s="22"/>
    </row>
    <row r="22" ht="12.75">
      <c r="A22" s="22"/>
    </row>
    <row r="23" ht="12.75">
      <c r="A23" s="22"/>
    </row>
    <row r="24" ht="12.75">
      <c r="A24" s="22"/>
    </row>
    <row r="25" ht="12.75">
      <c r="A25" s="22"/>
    </row>
  </sheetData>
  <sheetProtection/>
  <dataValidations count="3">
    <dataValidation type="list" allowBlank="1" showInputMessage="1" showErrorMessage="1" sqref="B7">
      <formula1>"90% or More,Less than 90%,N/A"</formula1>
    </dataValidation>
    <dataValidation type="list" allowBlank="1" showInputMessage="1" showErrorMessage="1" sqref="B11">
      <formula1>"Sanctions for Obligation of Funds, Sanctions for Expenditure of Funds, Both, None"</formula1>
    </dataValidation>
    <dataValidation type="list" allowBlank="1" showInputMessage="1" showErrorMessage="1" sqref="B9">
      <formula1>"100% (or Balance &lt; 1% or &lt; $1000),Less than 100% (or Balance &gt; 1% or &gt; $1000),N/A"</formula1>
    </dataValidation>
  </dataValidations>
  <printOptions/>
  <pageMargins left="0.75" right="0.75" top="1" bottom="1" header="0.5" footer="0.5"/>
  <pageSetup horizontalDpi="600" verticalDpi="600" orientation="landscape" r:id="rId2"/>
  <headerFooter alignWithMargins="0">
    <oddHeader>&amp;CPHAS Scoring Tool</oddHead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User</dc:creator>
  <cp:keywords/>
  <dc:description/>
  <cp:lastModifiedBy>Preferred User</cp:lastModifiedBy>
  <cp:lastPrinted>2008-10-01T14:36:40Z</cp:lastPrinted>
  <dcterms:created xsi:type="dcterms:W3CDTF">2008-09-19T12:45:12Z</dcterms:created>
  <dcterms:modified xsi:type="dcterms:W3CDTF">2008-11-24T14:29:09Z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632783698</vt:i4>
  </property>
  <property fmtid="{D5CDD505-2E9C-101B-9397-08002B2CF9AE}" pid="3" name="_NewReviewCycle">
    <vt:lpwstr/>
  </property>
  <property fmtid="{D5CDD505-2E9C-101B-9397-08002B2CF9AE}" pid="4" name="_EmailSubject">
    <vt:lpwstr>Urgent -- PHAS Scoring Tool</vt:lpwstr>
  </property>
  <property fmtid="{D5CDD505-2E9C-101B-9397-08002B2CF9AE}" pid="5" name="_AuthorEmail">
    <vt:lpwstr>Lenka.Honcova@hud.gov</vt:lpwstr>
  </property>
  <property fmtid="{D5CDD505-2E9C-101B-9397-08002B2CF9AE}" pid="6" name="_AuthorEmailDisplayName">
    <vt:lpwstr>Honcova, Lenka</vt:lpwstr>
  </property>
  <property fmtid="{D5CDD505-2E9C-101B-9397-08002B2CF9AE}" pid="7" name="_PreviousAdHocReviewCycleID">
    <vt:i4>1190543388</vt:i4>
  </property>
</Properties>
</file>