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55" windowWidth="15330" windowHeight="4965" tabRatio="960" firstSheet="1" activeTab="5"/>
  </bookViews>
  <sheets>
    <sheet name="Total $131.17m States Gross " sheetId="1" r:id="rId1"/>
    <sheet name="Total $131.17m States Net" sheetId="2" r:id="rId2"/>
    <sheet name="Total $131.17m Tribes" sheetId="3" r:id="rId3"/>
    <sheet name="$25m to 7 States" sheetId="4" r:id="rId4"/>
    <sheet name="States at $106.17m" sheetId="5" r:id="rId5"/>
    <sheet name="Tribes at $106.17m" sheetId="6" r:id="rId6"/>
    <sheet name="States at $25m" sheetId="7" r:id="rId7"/>
    <sheet name="Tribes at $25m" sheetId="8" r:id="rId8"/>
    <sheet name="LIHH Heaters" sheetId="9" r:id="rId9"/>
    <sheet name="Temp Calc" sheetId="10" r:id="rId10"/>
  </sheets>
  <externalReferences>
    <externalReference r:id="rId13"/>
  </externalReferences>
  <definedNames>
    <definedName name="_Fill" localSheetId="5" hidden="1">#REF!</definedName>
    <definedName name="_Fill" localSheetId="7" hidden="1">#REF!</definedName>
    <definedName name="_Fill" hidden="1">#REF!</definedName>
    <definedName name="_xlnm.Print_Area" localSheetId="3">'$25m to 7 States'!$A$1:$J$68</definedName>
    <definedName name="_xlnm.Print_Area" localSheetId="4">'States at $106.17m'!$A$1:$E$69</definedName>
    <definedName name="_xlnm.Print_Area" localSheetId="0">'Total $131.17m States Gross '!$A$1:$D$60</definedName>
    <definedName name="_xlnm.Print_Area" localSheetId="5">'Tribes at $106.17m'!$A$1:$I$194</definedName>
    <definedName name="_xlnm.Print_Area" localSheetId="7">'Tribes at $25m'!$A$1:$I$33</definedName>
    <definedName name="Print_Area_MI" localSheetId="5">'Tribes at $106.17m'!$A$1:$J$192</definedName>
    <definedName name="Print_Area_MI" localSheetId="7">'Tribes at $25m'!$A$1:$J$31</definedName>
    <definedName name="PRINT_AREA_MI">#REF!</definedName>
    <definedName name="_xlnm.Print_Titles" localSheetId="3">'$25m to 7 States'!$1:$9</definedName>
    <definedName name="_xlnm.Print_Titles" localSheetId="4">'States at $106.17m'!$1:$6</definedName>
    <definedName name="_xlnm.Print_Titles" localSheetId="9">'Temp Calc'!$A:$A,'Temp Calc'!$1:$7</definedName>
    <definedName name="_xlnm.Print_Titles" localSheetId="0">'Total $131.17m States Gross '!$1:$5</definedName>
    <definedName name="_xlnm.Print_Titles" localSheetId="1">'Total $131.17m States Net'!$1:$6</definedName>
    <definedName name="_xlnm.Print_Titles" localSheetId="2">'Total $131.17m Tribes'!$1:$5</definedName>
    <definedName name="_xlnm.Print_Titles" localSheetId="5">'Tribes at $106.17m'!$1:$10</definedName>
    <definedName name="_xlnm.Print_Titles" localSheetId="7">'Tribes at $25m'!$1:$10</definedName>
  </definedNames>
  <calcPr fullCalcOnLoad="1"/>
</workbook>
</file>

<file path=xl/sharedStrings.xml><?xml version="1.0" encoding="utf-8"?>
<sst xmlns="http://schemas.openxmlformats.org/spreadsheetml/2006/main" count="1251" uniqueCount="410">
  <si>
    <t>State</t>
  </si>
  <si>
    <t xml:space="preserve">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</si>
  <si>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</si>
  <si>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</si>
  <si>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</si>
  <si>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</si>
  <si>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</si>
  <si>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</si>
  <si>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</si>
  <si>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</si>
  <si>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</si>
  <si>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</si>
  <si>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</si>
  <si>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</si>
  <si>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</si>
  <si>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</si>
  <si>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</si>
  <si>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</si>
  <si>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</si>
  <si>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</si>
  <si>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</si>
  <si>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</si>
  <si>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</si>
  <si>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</si>
  <si>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</si>
  <si>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</si>
  <si>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</si>
  <si>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</si>
  <si>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</si>
  <si>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</si>
  <si>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</si>
  <si>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</si>
  <si>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</si>
  <si>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</si>
  <si>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</si>
  <si>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</si>
  <si>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</si>
  <si>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</si>
  <si>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</si>
  <si>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</si>
  <si>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</si>
  <si>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</si>
  <si>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</si>
  <si>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</si>
  <si>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</si>
  <si>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</si>
  <si>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</si>
  <si>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</si>
  <si>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</si>
  <si>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</si>
  <si>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</si>
  <si>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</si>
  <si>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Territories</t>
  </si>
  <si>
    <t>Total to States</t>
  </si>
  <si>
    <t>Total</t>
  </si>
  <si>
    <t>District of Columbia</t>
  </si>
  <si>
    <t>TRIBES</t>
  </si>
  <si>
    <t>Difference</t>
  </si>
  <si>
    <t>C=Census Count of Eligible Households</t>
  </si>
  <si>
    <t>SOURCE</t>
  </si>
  <si>
    <t xml:space="preserve">  Ma-Chis Lower Creek Indian Tribe</t>
  </si>
  <si>
    <t>A/#</t>
  </si>
  <si>
    <t xml:space="preserve">  Mowa Band of Choctaw Indians </t>
  </si>
  <si>
    <t>A/%</t>
  </si>
  <si>
    <t xml:space="preserve">  Poarch Band of Creek Indians </t>
  </si>
  <si>
    <t xml:space="preserve">  Aleutian/Pribilof Islands Association</t>
  </si>
  <si>
    <t xml:space="preserve">  Assn. of Village Council Presidents</t>
  </si>
  <si>
    <t>C</t>
  </si>
  <si>
    <t xml:space="preserve">  Kenaitze Indian Tribe</t>
  </si>
  <si>
    <t xml:space="preserve">  Kuskokwim Native Association</t>
  </si>
  <si>
    <t xml:space="preserve">  Orutsararmuit Native Council</t>
  </si>
  <si>
    <t xml:space="preserve">  Seldovia Village</t>
  </si>
  <si>
    <t xml:space="preserve">  Tanana Chiefs Conference</t>
  </si>
  <si>
    <t xml:space="preserve">  Tlingit &amp; Haida Central Council</t>
  </si>
  <si>
    <t xml:space="preserve">  Cocopah Tribe</t>
  </si>
  <si>
    <t xml:space="preserve">  Colorado River Indian Tribes</t>
  </si>
  <si>
    <t xml:space="preserve">  Gila River Pima-Maricopa Community</t>
  </si>
  <si>
    <t xml:space="preserve">  Navajo Nation</t>
  </si>
  <si>
    <t xml:space="preserve">  Pascua Yaqui Tribe</t>
  </si>
  <si>
    <t xml:space="preserve">  Quechan Tribe </t>
  </si>
  <si>
    <t xml:space="preserve">  Salt River Pima Maricopa Ind. Cmty.</t>
  </si>
  <si>
    <t xml:space="preserve">  San Carlos Apache Tribe</t>
  </si>
  <si>
    <t xml:space="preserve">  Berry Creek Rancheria</t>
  </si>
  <si>
    <t xml:space="preserve">  Colorado River Indian Tribes (Ariz.)</t>
  </si>
  <si>
    <t xml:space="preserve">  Coyote Valley Pomo Band</t>
  </si>
  <si>
    <t xml:space="preserve">  Enterprise Rancheria</t>
  </si>
  <si>
    <t xml:space="preserve">  Hoopa Valley Tribe</t>
  </si>
  <si>
    <t xml:space="preserve">  Hopland Band</t>
  </si>
  <si>
    <t xml:space="preserve">  Karuk Tribe</t>
  </si>
  <si>
    <t xml:space="preserve">  Mooretown Rancheria</t>
  </si>
  <si>
    <t xml:space="preserve">  N. Cal. Ind. Devel. Council, Inc.(NCIDC)</t>
  </si>
  <si>
    <t xml:space="preserve">  Pinoleville Rancheria</t>
  </si>
  <si>
    <t xml:space="preserve">  Pit River Tribe</t>
  </si>
  <si>
    <t xml:space="preserve">  Quartz Valley</t>
  </si>
  <si>
    <t xml:space="preserve">  Quechan Tribe (Ariz.)</t>
  </si>
  <si>
    <t xml:space="preserve">  Redding Rancheria</t>
  </si>
  <si>
    <t xml:space="preserve">  Redwood Valley</t>
  </si>
  <si>
    <t xml:space="preserve">  Riverside-San Bernardino Indian Health</t>
  </si>
  <si>
    <t xml:space="preserve">  Round Valley</t>
  </si>
  <si>
    <t xml:space="preserve">  Smith River Rancheria</t>
  </si>
  <si>
    <t xml:space="preserve">  Sherwood Valley Rancheria</t>
  </si>
  <si>
    <t xml:space="preserve">  S. Cal. Tribal Chairmen's Association</t>
  </si>
  <si>
    <t xml:space="preserve">  Southern Indian Health Council</t>
  </si>
  <si>
    <t xml:space="preserve">  Yurok Tribe</t>
  </si>
  <si>
    <t>A/$</t>
  </si>
  <si>
    <t xml:space="preserve">  Poarch Band of Creek Indians (Ala.)</t>
  </si>
  <si>
    <t xml:space="preserve">  Coeur d'Alene Tribe</t>
  </si>
  <si>
    <t xml:space="preserve">  Nez Perce Tribe</t>
  </si>
  <si>
    <t xml:space="preserve">  Shoshone-Bannock Tribes (Fort Hall) </t>
  </si>
  <si>
    <t xml:space="preserve">  Pokagon Band (Mich.)</t>
  </si>
  <si>
    <t xml:space="preserve">  United Tribes of Kansas &amp; SE Nebraska</t>
  </si>
  <si>
    <t xml:space="preserve">  Aroostook Band of Micmac Indians</t>
  </si>
  <si>
    <t xml:space="preserve">  Houlton Band of Maliseet Indians</t>
  </si>
  <si>
    <t xml:space="preserve">  Passamaquoddy Tribe--Indian Township</t>
  </si>
  <si>
    <t xml:space="preserve">  Passamaquoddy Tribe--Pleasant Point</t>
  </si>
  <si>
    <t xml:space="preserve">  Penobscot Tribe</t>
  </si>
  <si>
    <t xml:space="preserve">  Mashpee Wampanoag Tribe</t>
  </si>
  <si>
    <t xml:space="preserve">  Grand Traverse Ottawa/Chippewa Band</t>
  </si>
  <si>
    <t xml:space="preserve">  Inter-Tribal Council of Michigan </t>
  </si>
  <si>
    <t xml:space="preserve">  Little River Band of Ottawa Indians</t>
  </si>
  <si>
    <t xml:space="preserve">  Pokagon Band of Potawatomi Indians</t>
  </si>
  <si>
    <t xml:space="preserve">  Sault Ste. Marie Chippewa Tribe</t>
  </si>
  <si>
    <t xml:space="preserve">  Mississippi Band of Choctaw Indians </t>
  </si>
  <si>
    <t xml:space="preserve">  Assiniboine &amp; Sioux Tribes (Fort Peck)</t>
  </si>
  <si>
    <t xml:space="preserve">  Blackfeet Tribe</t>
  </si>
  <si>
    <t xml:space="preserve">  Chippewa-Cree Tribe</t>
  </si>
  <si>
    <t xml:space="preserve">  Confederated Salish &amp; Kootenai Tribes </t>
  </si>
  <si>
    <t xml:space="preserve">  Fort Belknap Community</t>
  </si>
  <si>
    <t xml:space="preserve">  Northern Cheyenne Tribe</t>
  </si>
  <si>
    <t xml:space="preserve">  United Tribes of Ks. &amp; SE Neb. (Kansas)</t>
  </si>
  <si>
    <t xml:space="preserve">  Powhatan Renape Nation</t>
  </si>
  <si>
    <t xml:space="preserve">  Five Sandoval Indian Pueblos</t>
  </si>
  <si>
    <t xml:space="preserve">  Jicarilla Apache Tribe</t>
  </si>
  <si>
    <t xml:space="preserve">  Navajo Nation (Ariz.)</t>
  </si>
  <si>
    <t xml:space="preserve">  Pueblo of Zuni</t>
  </si>
  <si>
    <t xml:space="preserve">  Seneca Nation</t>
  </si>
  <si>
    <t xml:space="preserve">  St. Regis Mohawk Band</t>
  </si>
  <si>
    <t xml:space="preserve">  Lumbee Tribe</t>
  </si>
  <si>
    <t xml:space="preserve">  Spirit Lake Tribe </t>
  </si>
  <si>
    <t xml:space="preserve">  Standing Rock Sioux Tribe</t>
  </si>
  <si>
    <t xml:space="preserve">  Three Affiliated Tribes (Fort Berthold)</t>
  </si>
  <si>
    <t xml:space="preserve">  Turtle Mountain Chippewa Band</t>
  </si>
  <si>
    <t xml:space="preserve">  Absentee Shawnee Tribe</t>
  </si>
  <si>
    <t xml:space="preserve">  Alabama-Quassarte Tribal Town</t>
  </si>
  <si>
    <t xml:space="preserve">  Apache Tribe of Oklahoma</t>
  </si>
  <si>
    <t xml:space="preserve">  Caddo Indian Tribe</t>
  </si>
  <si>
    <t xml:space="preserve">  Cherokee Nation of Oklahoma</t>
  </si>
  <si>
    <t xml:space="preserve">  Cheyenne-Arapaho Tribes</t>
  </si>
  <si>
    <t xml:space="preserve">  Chickasaw Nation of Oklahoma</t>
  </si>
  <si>
    <t xml:space="preserve">  Choctaw Nation of Oklahoma</t>
  </si>
  <si>
    <t xml:space="preserve">  Citizen Band Potawatomi  </t>
  </si>
  <si>
    <t xml:space="preserve">  Comanche Indian Tribe</t>
  </si>
  <si>
    <t xml:space="preserve">  Delaware Nation of Western Oklahoma</t>
  </si>
  <si>
    <t xml:space="preserve">  Eastern Shawnee Tribe of Oklahoma</t>
  </si>
  <si>
    <t xml:space="preserve">  Kickapoo Tribe of Oklahoma</t>
  </si>
  <si>
    <t xml:space="preserve">  Miami Tribe</t>
  </si>
  <si>
    <t xml:space="preserve">  Modoc Tribe of Oklahoma</t>
  </si>
  <si>
    <t xml:space="preserve">  Muscogee (Creek) Nation</t>
  </si>
  <si>
    <t xml:space="preserve">  Osage Tribe</t>
  </si>
  <si>
    <t xml:space="preserve">  Otoe-Missouria Tribe</t>
  </si>
  <si>
    <t xml:space="preserve">  Ottawa Tribe of Oklahoma</t>
  </si>
  <si>
    <t xml:space="preserve">  Pawnee Tribe</t>
  </si>
  <si>
    <t xml:space="preserve">  Ponca Tribe</t>
  </si>
  <si>
    <t xml:space="preserve">  Quapaw Tribe</t>
  </si>
  <si>
    <t xml:space="preserve">  Sac &amp; Fox Tribe of Oklahoma</t>
  </si>
  <si>
    <t xml:space="preserve">  Seminole Nation of Oklahoma</t>
  </si>
  <si>
    <t xml:space="preserve">  Seneca-Cayuga Tribe</t>
  </si>
  <si>
    <t xml:space="preserve">  Shawnee Tribe</t>
  </si>
  <si>
    <t xml:space="preserve">  Tonkawa Tribe </t>
  </si>
  <si>
    <t xml:space="preserve">  United Keetowah</t>
  </si>
  <si>
    <t xml:space="preserve">  Wichita &amp; Affiliated Tribes</t>
  </si>
  <si>
    <t xml:space="preserve">  Conf. Tribes of Grand Ronde</t>
  </si>
  <si>
    <t xml:space="preserve">  Conf. Tribes of Warm Springs</t>
  </si>
  <si>
    <t xml:space="preserve">  Cow Creek Band of Umpqua Indians</t>
  </si>
  <si>
    <t xml:space="preserve">  Klamath Tribe</t>
  </si>
  <si>
    <t xml:space="preserve">  Narragansett Indian Tribe</t>
  </si>
  <si>
    <t xml:space="preserve">  Cheyenne River Sioux Tribe</t>
  </si>
  <si>
    <t xml:space="preserve">  Lower Brule Sioux Tribe</t>
  </si>
  <si>
    <t xml:space="preserve">  Oglala Sioux Tribe</t>
  </si>
  <si>
    <t xml:space="preserve">  Rosebud Sioux Tribe</t>
  </si>
  <si>
    <t xml:space="preserve">  Sisseton-Wahpeton Sioux Tribe</t>
  </si>
  <si>
    <t xml:space="preserve">  Standing Rock Sioux Tribe (N. Dak.)</t>
  </si>
  <si>
    <t xml:space="preserve">  Yankton Sioux Tribe</t>
  </si>
  <si>
    <t xml:space="preserve">  Paiute Indian Tribe of Utah</t>
  </si>
  <si>
    <t xml:space="preserve">  Ute Tribe (Uintah &amp; Ouray)</t>
  </si>
  <si>
    <t xml:space="preserve">  Colville Confederated Tribes</t>
  </si>
  <si>
    <t xml:space="preserve">  Hoh Tribe</t>
  </si>
  <si>
    <t xml:space="preserve">  Jamestown S'Klallam Tribe</t>
  </si>
  <si>
    <t xml:space="preserve">  Kalispel Indian Community</t>
  </si>
  <si>
    <t xml:space="preserve">  Lower Elwha Klallam Tribe</t>
  </si>
  <si>
    <t xml:space="preserve">  Lummi Indian Tribe</t>
  </si>
  <si>
    <t xml:space="preserve">  Makah Indian Tribe</t>
  </si>
  <si>
    <t xml:space="preserve">  Muckleshoot Indian Tribe</t>
  </si>
  <si>
    <t xml:space="preserve">  Nooksack Indian Tribe</t>
  </si>
  <si>
    <t xml:space="preserve">  Port Gamble S'Klallam Tribe </t>
  </si>
  <si>
    <t xml:space="preserve">  Puyallup Tribe</t>
  </si>
  <si>
    <t xml:space="preserve">  Quileute Tribe</t>
  </si>
  <si>
    <t xml:space="preserve">  Quinault Tribe</t>
  </si>
  <si>
    <t xml:space="preserve">  Samish Tribe</t>
  </si>
  <si>
    <t xml:space="preserve">  Small Tribes Organization of W. Wash.</t>
  </si>
  <si>
    <t xml:space="preserve">  South Puget Intertribal Planning Agency</t>
  </si>
  <si>
    <t xml:space="preserve">  Spokane Tribe</t>
  </si>
  <si>
    <t xml:space="preserve">  Swinomish Indians</t>
  </si>
  <si>
    <t xml:space="preserve">  Yakama Indian Nation</t>
  </si>
  <si>
    <t xml:space="preserve">  Northern Arapaho Nation</t>
  </si>
  <si>
    <t xml:space="preserve"> TOTALS FOR STATES WITH TRIBES FUNDED DIRECTLY BY HHS</t>
  </si>
  <si>
    <t>American Samoa</t>
  </si>
  <si>
    <t>Guam</t>
  </si>
  <si>
    <t>Northern Marianas</t>
  </si>
  <si>
    <t>Puerto Rico</t>
  </si>
  <si>
    <t>Virgin Islands</t>
  </si>
  <si>
    <t>Ratios by Territory</t>
  </si>
  <si>
    <t>Appropriation</t>
  </si>
  <si>
    <t xml:space="preserve">    A=State/Tribe Agreement On:</t>
  </si>
  <si>
    <t xml:space="preserve">      #=Household Numbers</t>
  </si>
  <si>
    <t>D=Documented Tribal Eligible</t>
  </si>
  <si>
    <t xml:space="preserve">  Household Number </t>
  </si>
  <si>
    <t xml:space="preserve">      $=Dollar Amount</t>
  </si>
  <si>
    <t xml:space="preserve">  Shingle Springs Rancheria</t>
  </si>
  <si>
    <t xml:space="preserve">  Keweenaw Bay Indian Community</t>
  </si>
  <si>
    <t xml:space="preserve">  Pueblo of Jemez</t>
  </si>
  <si>
    <t xml:space="preserve">  Conf. Tribes of Siletz Indians</t>
  </si>
  <si>
    <t>STATE HHLD #</t>
  </si>
  <si>
    <t>TRIBAL HHLD #</t>
  </si>
  <si>
    <t xml:space="preserve">  Pueblo of Laguna</t>
  </si>
  <si>
    <t xml:space="preserve">  Kiowa Tribe</t>
  </si>
  <si>
    <t xml:space="preserve">  Wyandotte Nation</t>
  </si>
  <si>
    <t xml:space="preserve">  White Mountain Apache Tribe</t>
  </si>
  <si>
    <t xml:space="preserve">  Tulalip Tribe</t>
  </si>
  <si>
    <t xml:space="preserve">  Yakutat Tlingit Tribe </t>
  </si>
  <si>
    <t xml:space="preserve">  Conf. Tribe of Coos-Lower Umpqua </t>
  </si>
  <si>
    <t xml:space="preserve">  Suquamish Tribe</t>
  </si>
  <si>
    <t xml:space="preserve">  Bishop Paiute</t>
  </si>
  <si>
    <t>Tribal Set-Aside</t>
  </si>
  <si>
    <t>TRIBAL GRANT AMOUNT</t>
  </si>
  <si>
    <t>STATE TRIBAL SET-ASIDE</t>
  </si>
  <si>
    <t>FY 2008 2nd Quarter Request</t>
  </si>
  <si>
    <t>FY 2008 3rd Quarter Request</t>
  </si>
  <si>
    <t>FY 2008 4th Quarter Request</t>
  </si>
  <si>
    <t>7 States</t>
  </si>
  <si>
    <t>Tribal Allocations and State Allocations Net of Tribal Set-asides</t>
  </si>
  <si>
    <t>SOURCE FOR Allocation CALCULATIONS</t>
  </si>
  <si>
    <t xml:space="preserve">      %=Percent of State Allocation</t>
  </si>
  <si>
    <t>STATE GROSS ALLOCATION</t>
  </si>
  <si>
    <t>TRIBAL % OF STATE GROSS ALLOCATION</t>
  </si>
  <si>
    <t>STATE NET ALLOCATION</t>
  </si>
  <si>
    <t>Gross Allocations</t>
  </si>
  <si>
    <t xml:space="preserve"> Net Allocations</t>
  </si>
  <si>
    <t>Leveraging</t>
  </si>
  <si>
    <t xml:space="preserve"> T &amp; TA</t>
  </si>
  <si>
    <t xml:space="preserve">FY 2007 Low Income Home Energy Assistance Program (LIHEAP) Tribal Allocations $25m  </t>
  </si>
  <si>
    <t>Allocation Percents</t>
  </si>
  <si>
    <t>FY 2008 2nd Quarter Allocation</t>
  </si>
  <si>
    <t>FY 2008 3rd Quarter Allocation</t>
  </si>
  <si>
    <t>FY 2008 4th Quarter Allocation</t>
  </si>
  <si>
    <t>Territory Allocation Ratio</t>
  </si>
  <si>
    <t>Territorial Allocations</t>
  </si>
  <si>
    <t xml:space="preserve">FY 2007 Low Income Home Energy Assistance Program (LIHEAP) Tribal Allocations $106.17m  </t>
  </si>
  <si>
    <t>$25 million</t>
  </si>
  <si>
    <t>Allocations to States with at least 30% LIHH Oil heaters and avg. cooling-season temp. under 47 °F by old-formula BG ratios weighted by % LIHH Oil heaters.</t>
  </si>
  <si>
    <t>Allocations to States by old-formula BG ratios.</t>
  </si>
  <si>
    <t>TOTAL</t>
  </si>
  <si>
    <t>State Total</t>
  </si>
  <si>
    <t>State Gross Allocations under the $131.17m Emergency Contingency Release</t>
  </si>
  <si>
    <t xml:space="preserve">$106.17 million </t>
  </si>
  <si>
    <t xml:space="preserve">$131.17 million </t>
  </si>
  <si>
    <t xml:space="preserve">TOTAL                 </t>
  </si>
  <si>
    <t>26-Sep-07</t>
  </si>
  <si>
    <t>Emergency Contingency Release</t>
  </si>
  <si>
    <t>Average Temperature Cutoff</t>
  </si>
  <si>
    <t>Cutoff for % LI HH Using FO</t>
  </si>
  <si>
    <t>Block Grant Allotment Ratios</t>
  </si>
  <si>
    <t>Avg temp (° F)</t>
  </si>
  <si>
    <t>OIL % HH Using fuel for heat</t>
  </si>
  <si>
    <t>OIL % Low Income HH Using fuel for heat</t>
  </si>
  <si>
    <t>Households with Incomes below 150% FPL (2000 Census Special Tab)</t>
  </si>
  <si>
    <t>`</t>
  </si>
  <si>
    <t xml:space="preserve">  Total to States</t>
  </si>
  <si>
    <t xml:space="preserve">  TOTAL to States</t>
  </si>
  <si>
    <t>Territory Allotments</t>
  </si>
  <si>
    <t>Territories will not receive allotments from this portion of the EC release.</t>
  </si>
  <si>
    <t xml:space="preserve">  TOTAL to Territories</t>
  </si>
  <si>
    <t>Source of % Low Income Oil users: 2000 Census Special Tabulations for ACF</t>
  </si>
  <si>
    <t>Allocation made in proportion to old block grant percents, weighted by % of low income fuel oil users in each state</t>
  </si>
  <si>
    <t>States with at least 30% of Low Income HH using oil and with average population-weighted temperature from Oct 1 06 - Mar 31 07 under 47 degrees F.</t>
  </si>
  <si>
    <t>26-Sept-07</t>
  </si>
  <si>
    <t>LIHEAP Contingency Funds</t>
  </si>
  <si>
    <t>FY 2007 Low Income Home Energy Assistance Program (LIHEAP) State Net Allocations</t>
  </si>
  <si>
    <t xml:space="preserve">FY 2007 Low Income Home Energy Assistance Program (LIHEAP) State and Territory Allocations </t>
  </si>
  <si>
    <t>POPULATION-WEIGHTED HEATING DEGREE DAY DATA MONTHLY SUMMARY</t>
  </si>
  <si>
    <t>Start date</t>
  </si>
  <si>
    <t xml:space="preserve">From </t>
  </si>
  <si>
    <t>http://www.cpc.ncep.noaa.gov/products/analysis_monitoring/cdus/degree_days/msahddy.txt</t>
  </si>
  <si>
    <t>End Date</t>
  </si>
  <si>
    <t>Number of Days</t>
  </si>
  <si>
    <t>Jan-07</t>
  </si>
  <si>
    <t>Feb-07</t>
  </si>
  <si>
    <t>Mar-07</t>
  </si>
  <si>
    <t>Oct-06 - Mar-07</t>
  </si>
  <si>
    <t>Cumulative Totals</t>
  </si>
  <si>
    <t>STATE/REGION</t>
  </si>
  <si>
    <t>Monthly TOTAL</t>
  </si>
  <si>
    <t>Monthly DEV FROM NORM</t>
  </si>
  <si>
    <t>Monthly %  DEV FROM NORM</t>
  </si>
  <si>
    <t>Average Temperature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</si>
  <si>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</si>
  <si>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</si>
  <si>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</si>
  <si>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</si>
  <si>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</si>
  <si>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</si>
  <si>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</si>
  <si>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</si>
  <si>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</si>
  <si>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</si>
  <si>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</si>
  <si>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</si>
  <si>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</si>
  <si>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</si>
  <si>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</si>
  <si>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</si>
  <si>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</si>
  <si>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</si>
  <si>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</si>
  <si>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</si>
  <si>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</si>
  <si>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</si>
  <si>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</si>
  <si>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</si>
  <si>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</si>
  <si>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</si>
  <si>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</si>
  <si>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</si>
  <si>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</si>
  <si>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</si>
  <si>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</si>
  <si>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</si>
  <si>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</si>
  <si>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</si>
  <si>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</si>
  <si>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</si>
  <si>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</si>
  <si>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</si>
  <si>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</si>
  <si>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</si>
  <si>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</si>
  <si>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</si>
  <si>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</si>
  <si>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</si>
  <si>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</si>
  <si>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</si>
  <si>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</si>
  <si>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</si>
  <si>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</si>
  <si>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</si>
  <si>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</si>
  <si>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NEW ENGLAND</t>
  </si>
  <si>
    <t>MIDDLE ATLANTIC</t>
  </si>
  <si>
    <t>E N CENTRAL</t>
  </si>
  <si>
    <t>W N CENTRAL</t>
  </si>
  <si>
    <t>SOUTH ATLANTIC</t>
  </si>
  <si>
    <t>E S CENTRAL</t>
  </si>
  <si>
    <t>W S CENTRAL</t>
  </si>
  <si>
    <t>MOUNTAIN</t>
  </si>
  <si>
    <t>PACIFIC</t>
  </si>
  <si>
    <t>DEA/KL&amp;PE 05-Mar-07</t>
  </si>
  <si>
    <r>
      <t xml:space="preserve">Table11I(N).  </t>
    </r>
    <r>
      <rPr>
        <sz val="12"/>
        <color indexed="8"/>
        <rFont val="Arial"/>
        <family val="2"/>
      </rPr>
      <t>Number of Households with Household Income Less Than Or Equal To Greater of 150% of HHS Poverty Guidelines or 60% of HHS State Median Income Guidelines By Type of Heating Fuel</t>
    </r>
  </si>
  <si>
    <t>Geography</t>
  </si>
  <si>
    <t>Total households</t>
  </si>
  <si>
    <t>Heating Fuel</t>
  </si>
  <si>
    <t>Utiliy gas</t>
  </si>
  <si>
    <t>Bottled, tank, or LP gas</t>
  </si>
  <si>
    <t>Electricity</t>
  </si>
  <si>
    <t>Fuel oil, kerosene, etc.</t>
  </si>
  <si>
    <t>Coal or coke</t>
  </si>
  <si>
    <t>Wood</t>
  </si>
  <si>
    <t>Solar energy</t>
  </si>
  <si>
    <t>Other fuel</t>
  </si>
  <si>
    <t>No fuel used</t>
  </si>
  <si>
    <t>United States</t>
  </si>
  <si>
    <t>Northeast Region</t>
  </si>
  <si>
    <t>Midwest Region</t>
  </si>
  <si>
    <t>South Region</t>
  </si>
  <si>
    <t>West Region</t>
  </si>
  <si>
    <t>New England Division</t>
  </si>
  <si>
    <t>Middle Atlantic Division</t>
  </si>
  <si>
    <t>East North Central Division</t>
  </si>
  <si>
    <t>West North Central Division</t>
  </si>
  <si>
    <t>South Atlantic Division</t>
  </si>
  <si>
    <t>East South Central Division</t>
  </si>
  <si>
    <t>West South Central Division</t>
  </si>
  <si>
    <t>Mountain Division</t>
  </si>
  <si>
    <t>Pacific Division</t>
  </si>
  <si>
    <t>See technical notes for definitions.</t>
  </si>
  <si>
    <t>Weighted estimates compiled from 2000 Decennial Census Sample Edited Detail File by the U.S. Bureau of the Census for the U.S. Administration for Children and Families/HHS, February 2005.</t>
  </si>
  <si>
    <t>Data are based on the FY 2000 state median income estimates published in the Federal Register on February 26, 1999 (Volume 64, Number 38, pages 9513-9514), the 1999 HHS Poverty Guidelines published in the Federal Register on March 18, 1999 (Volume 64, Number 52, pages 13428-13430); and State-level household population as of April 2000 and household income for calendar year 19999 from the 2000 Decennial Census Sample Edited Detail File.</t>
  </si>
  <si>
    <t>Percent distributions may not sum to 100 percent due to rounding.</t>
  </si>
  <si>
    <t>Percent of Total Households with Household Income Less Than Or Equal To Greater of 150% of HHS Poverty Guidelines or 60% of HHS State Median Income Guidelines By Type of Heating Fuel</t>
  </si>
  <si>
    <t>Total LIHEAP Contigency Funds Released</t>
  </si>
  <si>
    <t>Total Tribal Set-Asides</t>
  </si>
  <si>
    <t>Total Net State Allocations</t>
  </si>
  <si>
    <t>Total Territorial Allocations</t>
  </si>
  <si>
    <t>DEA/PE 25-Sep-07</t>
  </si>
  <si>
    <t>LIHEAP Contigency Funds</t>
  </si>
  <si>
    <t>Total Tribal Grant Amount</t>
  </si>
  <si>
    <t>Gross State Allocations at $106.17 Million</t>
  </si>
  <si>
    <t>Total Gross State Allocations at $131.17 Million</t>
  </si>
  <si>
    <t>Tribal Grant Amount at $106.17 Million</t>
  </si>
  <si>
    <t>Gross State Allocations at $25 Million</t>
  </si>
  <si>
    <t>Tribal Grant Amount at $25 Million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</si>
</sst>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_)"/>
    <numFmt numFmtId="165" formatCode="0_)"/>
    <numFmt numFmtId="166" formatCode="&quot;$&quot;#,##0.00000000_);\(&quot;$&quot;#,##0.00000000\)"/>
    <numFmt numFmtId="167" formatCode="&quot;$&quot;#,##0"/>
    <numFmt numFmtId="168" formatCode="0.00000000"/>
    <numFmt numFmtId="169" formatCode="0.000%"/>
    <numFmt numFmtId="170" formatCode="0.0000%"/>
    <numFmt numFmtId="171" formatCode="#,##0.0000000000"/>
    <numFmt numFmtId="172" formatCode="0.0%"/>
    <numFmt numFmtId="173" formatCode="0.000000000"/>
    <numFmt numFmtId="174" formatCode="&quot;$&quot;#,##0.000000000_);\(&quot;$&quot;#,##0.000000000\)"/>
    <numFmt numFmtId="175" formatCode="0.000_)"/>
    <numFmt numFmtId="176" formatCode="0.00_)"/>
    <numFmt numFmtId="177" formatCode="0.0000_)"/>
    <numFmt numFmtId="178" formatCode="0.00000_)"/>
    <numFmt numFmtId="179" formatCode="&quot;$&quot;#,##0.000_);\(&quot;$&quot;#,##0.000\)"/>
    <numFmt numFmtId="180" formatCode="00000"/>
    <numFmt numFmtId="181" formatCode="dd\-mmm\-yy"/>
    <numFmt numFmtId="182" formatCode="0.000000000%"/>
    <numFmt numFmtId="183" formatCode="0.00000%"/>
    <numFmt numFmtId="184" formatCode="0.000000%"/>
    <numFmt numFmtId="185" formatCode="dd\-mmm\-yy_)"/>
    <numFmt numFmtId="186" formatCode="General_)"/>
    <numFmt numFmtId="187" formatCode="0.00000000%"/>
    <numFmt numFmtId="188" formatCode="_(* #,##0.0_);_(* \(#,##0.0\);_(* &quot;-&quot;??_);_(@_)"/>
    <numFmt numFmtId="189" formatCode="_(* #,##0_);_(* \(#,##0\);_(* &quot;-&quot;??_);_(@_)"/>
    <numFmt numFmtId="190" formatCode="0.0000000%"/>
    <numFmt numFmtId="191" formatCode="#,##0.00000000_);\(#,##0.00000000\)"/>
    <numFmt numFmtId="192" formatCode="&quot;$&quot;#,##0.0_);\(&quot;$&quot;#,##0.0\)"/>
    <numFmt numFmtId="193" formatCode="&quot;$&quot;#,##0.0000_);\(&quot;$&quot;#,##0.0000\)"/>
    <numFmt numFmtId="194" formatCode="#,##0.0_);\(#,##0.0\)"/>
    <numFmt numFmtId="195" formatCode="#,##0.000_);\(#,##0.000\)"/>
    <numFmt numFmtId="196" formatCode="#,##0.0000_);\(#,##0.0000\)"/>
    <numFmt numFmtId="197" formatCode="#,##0.00000_);\(#,##0.00000\)"/>
    <numFmt numFmtId="198" formatCode="#,##0.000000_);\(#,##0.000000\)"/>
    <numFmt numFmtId="199" formatCode="#,##0.0000000_);\(#,##0.00000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(* #,##0.000_);_(* \(#,##0.000\);_(* &quot;-&quot;??_);_(@_)"/>
    <numFmt numFmtId="205" formatCode="&quot;$&quot;#,##0.000000_);\(&quot;$&quot;#,##0.000000\)"/>
    <numFmt numFmtId="206" formatCode="0.0000000"/>
    <numFmt numFmtId="207" formatCode="0.0"/>
    <numFmt numFmtId="208" formatCode="0\ \°\ \F"/>
    <numFmt numFmtId="209" formatCode="0.0\ \°\ \F"/>
    <numFmt numFmtId="210" formatCode="0\ \d\e\g\r\e\e\s"/>
    <numFmt numFmtId="211" formatCode="#,##0.00000000"/>
    <numFmt numFmtId="212" formatCode="&quot;$&quot;#,##0.00000000"/>
    <numFmt numFmtId="213" formatCode="&quot;$&quot;#,##0.0000000"/>
    <numFmt numFmtId="214" formatCode="&quot;$&quot;#,##0.0"/>
    <numFmt numFmtId="215" formatCode="&quot;$&quot;#,##0.00"/>
  </numFmts>
  <fonts count="25">
    <font>
      <sz val="10"/>
      <name val="Courier"/>
      <family val="0"/>
    </font>
    <font>
      <sz val="12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8"/>
      <name val="Courie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Times New Roman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7" fontId="0" fillId="0" borderId="0">
      <alignment/>
      <protection/>
    </xf>
    <xf numFmtId="0" fontId="11" fillId="0" borderId="0">
      <alignment/>
      <protection/>
    </xf>
    <xf numFmtId="37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37" fontId="6" fillId="0" borderId="0" xfId="30" applyNumberFormat="1" applyFont="1" applyFill="1" applyAlignment="1" applyProtection="1">
      <alignment horizontal="left"/>
      <protection/>
    </xf>
    <xf numFmtId="37" fontId="6" fillId="0" borderId="0" xfId="30" applyNumberFormat="1" applyFont="1" applyFill="1" applyProtection="1">
      <alignment/>
      <protection/>
    </xf>
    <xf numFmtId="37" fontId="6" fillId="0" borderId="0" xfId="30" applyNumberFormat="1" applyFont="1" applyFill="1" applyAlignment="1" applyProtection="1">
      <alignment horizontal="center"/>
      <protection/>
    </xf>
    <xf numFmtId="5" fontId="6" fillId="0" borderId="0" xfId="30" applyNumberFormat="1" applyFont="1" applyFill="1" applyProtection="1">
      <alignment/>
      <protection/>
    </xf>
    <xf numFmtId="37" fontId="5" fillId="0" borderId="0" xfId="28" applyFont="1" applyFill="1">
      <alignment/>
      <protection/>
    </xf>
    <xf numFmtId="0" fontId="9" fillId="0" borderId="0" xfId="25" applyFont="1" applyFill="1" applyAlignment="1" applyProtection="1">
      <alignment horizontal="center" vertical="top"/>
      <protection/>
    </xf>
    <xf numFmtId="0" fontId="6" fillId="0" borderId="0" xfId="0" applyFont="1" applyFill="1" applyAlignment="1">
      <alignment/>
    </xf>
    <xf numFmtId="184" fontId="6" fillId="0" borderId="0" xfId="30" applyNumberFormat="1" applyFont="1" applyFill="1" applyProtection="1">
      <alignment/>
      <protection/>
    </xf>
    <xf numFmtId="37" fontId="6" fillId="0" borderId="0" xfId="30" applyFont="1" applyFill="1">
      <alignment/>
      <protection/>
    </xf>
    <xf numFmtId="37" fontId="5" fillId="0" borderId="0" xfId="30" applyNumberFormat="1" applyFont="1" applyFill="1" applyAlignment="1" applyProtection="1">
      <alignment horizontal="left"/>
      <protection/>
    </xf>
    <xf numFmtId="15" fontId="8" fillId="0" borderId="0" xfId="0" applyNumberFormat="1" applyFont="1" applyFill="1" applyAlignment="1">
      <alignment horizontal="left"/>
    </xf>
    <xf numFmtId="37" fontId="5" fillId="0" borderId="0" xfId="30" applyFont="1" applyFill="1">
      <alignment/>
      <protection/>
    </xf>
    <xf numFmtId="37" fontId="6" fillId="0" borderId="0" xfId="30" applyFont="1" applyFill="1" applyBorder="1">
      <alignment/>
      <protection/>
    </xf>
    <xf numFmtId="3" fontId="6" fillId="0" borderId="0" xfId="30" applyNumberFormat="1" applyFont="1" applyFill="1" applyProtection="1">
      <alignment/>
      <protection/>
    </xf>
    <xf numFmtId="37" fontId="6" fillId="0" borderId="0" xfId="30" applyFont="1" applyFill="1" applyAlignment="1">
      <alignment horizontal="right"/>
      <protection/>
    </xf>
    <xf numFmtId="5" fontId="6" fillId="0" borderId="0" xfId="30" applyNumberFormat="1" applyFont="1" applyFill="1">
      <alignment/>
      <protection/>
    </xf>
    <xf numFmtId="0" fontId="6" fillId="0" borderId="0" xfId="0" applyFont="1" applyFill="1" applyAlignment="1">
      <alignment horizontal="center"/>
    </xf>
    <xf numFmtId="170" fontId="6" fillId="0" borderId="0" xfId="30" applyNumberFormat="1" applyFont="1" applyFill="1" applyProtection="1">
      <alignment/>
      <protection/>
    </xf>
    <xf numFmtId="5" fontId="6" fillId="0" borderId="0" xfId="30" applyNumberFormat="1" applyFont="1" applyFill="1" applyAlignment="1" applyProtection="1">
      <alignment horizontal="left"/>
      <protection/>
    </xf>
    <xf numFmtId="37" fontId="6" fillId="0" borderId="0" xfId="30" applyNumberFormat="1" applyFont="1" applyFill="1" applyAlignment="1" applyProtection="1">
      <alignment horizontal="right"/>
      <protection/>
    </xf>
    <xf numFmtId="5" fontId="6" fillId="0" borderId="0" xfId="30" applyNumberFormat="1" applyFont="1" applyFill="1" applyAlignment="1" applyProtection="1">
      <alignment horizontal="right"/>
      <protection/>
    </xf>
    <xf numFmtId="37" fontId="6" fillId="0" borderId="1" xfId="30" applyFont="1" applyFill="1" applyBorder="1">
      <alignment/>
      <protection/>
    </xf>
    <xf numFmtId="5" fontId="6" fillId="0" borderId="1" xfId="30" applyNumberFormat="1" applyFont="1" applyFill="1" applyBorder="1" applyProtection="1">
      <alignment/>
      <protection/>
    </xf>
    <xf numFmtId="37" fontId="6" fillId="0" borderId="0" xfId="28" applyFont="1" applyFill="1">
      <alignment/>
      <protection/>
    </xf>
    <xf numFmtId="164" fontId="6" fillId="0" borderId="0" xfId="30" applyNumberFormat="1" applyFont="1" applyFill="1" applyProtection="1">
      <alignment/>
      <protection/>
    </xf>
    <xf numFmtId="3" fontId="6" fillId="0" borderId="0" xfId="0" applyNumberFormat="1" applyFont="1" applyFill="1" applyAlignment="1">
      <alignment/>
    </xf>
    <xf numFmtId="37" fontId="6" fillId="0" borderId="0" xfId="30" applyFont="1" applyFill="1" applyAlignment="1" quotePrefix="1">
      <alignment horizontal="right"/>
      <protection/>
    </xf>
    <xf numFmtId="5" fontId="6" fillId="0" borderId="0" xfId="28" applyNumberFormat="1" applyFont="1" applyFill="1" applyProtection="1">
      <alignment/>
      <protection/>
    </xf>
    <xf numFmtId="5" fontId="6" fillId="0" borderId="0" xfId="28" applyNumberFormat="1" applyFont="1" applyFill="1" applyBorder="1" applyProtection="1">
      <alignment/>
      <protection/>
    </xf>
    <xf numFmtId="37" fontId="6" fillId="0" borderId="0" xfId="28" applyFont="1" applyFill="1" applyBorder="1" applyAlignment="1">
      <alignment horizontal="left"/>
      <protection/>
    </xf>
    <xf numFmtId="37" fontId="6" fillId="0" borderId="0" xfId="28" applyFont="1" applyFill="1" applyBorder="1">
      <alignment/>
      <protection/>
    </xf>
    <xf numFmtId="0" fontId="5" fillId="0" borderId="0" xfId="0" applyFont="1" applyFill="1" applyAlignment="1">
      <alignment wrapText="1"/>
    </xf>
    <xf numFmtId="167" fontId="6" fillId="0" borderId="0" xfId="28" applyNumberFormat="1" applyFont="1" applyFill="1" applyProtection="1">
      <alignment/>
      <protection/>
    </xf>
    <xf numFmtId="37" fontId="6" fillId="0" borderId="0" xfId="28" applyNumberFormat="1" applyFont="1" applyFill="1" applyAlignment="1" applyProtection="1">
      <alignment horizontal="left"/>
      <protection/>
    </xf>
    <xf numFmtId="37" fontId="7" fillId="0" borderId="0" xfId="28" applyFont="1" applyFill="1">
      <alignment/>
      <protection/>
    </xf>
    <xf numFmtId="37" fontId="5" fillId="0" borderId="0" xfId="28" applyFont="1" applyFill="1" applyAlignment="1">
      <alignment horizontal="right"/>
      <protection/>
    </xf>
    <xf numFmtId="37" fontId="6" fillId="0" borderId="2" xfId="28" applyNumberFormat="1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64" fontId="6" fillId="0" borderId="0" xfId="28" applyNumberFormat="1" applyFont="1" applyFill="1" applyProtection="1">
      <alignment/>
      <protection/>
    </xf>
    <xf numFmtId="5" fontId="5" fillId="0" borderId="0" xfId="28" applyNumberFormat="1" applyFont="1" applyFill="1" applyProtection="1">
      <alignment/>
      <protection/>
    </xf>
    <xf numFmtId="37" fontId="6" fillId="0" borderId="3" xfId="28" applyNumberFormat="1" applyFont="1" applyFill="1" applyBorder="1" applyAlignment="1" applyProtection="1">
      <alignment horizontal="left"/>
      <protection/>
    </xf>
    <xf numFmtId="164" fontId="6" fillId="0" borderId="3" xfId="28" applyNumberFormat="1" applyFont="1" applyFill="1" applyBorder="1" applyProtection="1">
      <alignment/>
      <protection/>
    </xf>
    <xf numFmtId="5" fontId="6" fillId="0" borderId="3" xfId="28" applyNumberFormat="1" applyFont="1" applyFill="1" applyBorder="1" applyProtection="1">
      <alignment/>
      <protection/>
    </xf>
    <xf numFmtId="37" fontId="6" fillId="0" borderId="0" xfId="28" applyNumberFormat="1" applyFont="1" applyFill="1" applyAlignment="1" applyProtection="1">
      <alignment horizontal="center"/>
      <protection/>
    </xf>
    <xf numFmtId="37" fontId="6" fillId="0" borderId="0" xfId="28" applyNumberFormat="1" applyFont="1" applyFill="1" applyBorder="1" applyAlignment="1" applyProtection="1">
      <alignment horizontal="left" wrapText="1"/>
      <protection/>
    </xf>
    <xf numFmtId="37" fontId="5" fillId="0" borderId="2" xfId="28" applyNumberFormat="1" applyFont="1" applyFill="1" applyBorder="1" applyAlignment="1" applyProtection="1">
      <alignment horizontal="center" wrapText="1"/>
      <protection/>
    </xf>
    <xf numFmtId="37" fontId="6" fillId="0" borderId="0" xfId="28" applyNumberFormat="1" applyFont="1" applyFill="1" applyBorder="1" applyAlignment="1" applyProtection="1">
      <alignment/>
      <protection/>
    </xf>
    <xf numFmtId="37" fontId="6" fillId="0" borderId="0" xfId="28" applyNumberFormat="1" applyFont="1" applyFill="1" applyBorder="1" applyAlignment="1" applyProtection="1">
      <alignment horizontal="left"/>
      <protection/>
    </xf>
    <xf numFmtId="191" fontId="6" fillId="0" borderId="0" xfId="28" applyNumberFormat="1" applyFont="1" applyFill="1" applyBorder="1" applyProtection="1">
      <alignment/>
      <protection/>
    </xf>
    <xf numFmtId="37" fontId="6" fillId="0" borderId="0" xfId="28" applyNumberFormat="1" applyFont="1" applyFill="1" applyBorder="1" applyAlignment="1" applyProtection="1">
      <alignment horizontal="left" indent="1"/>
      <protection/>
    </xf>
    <xf numFmtId="37" fontId="6" fillId="0" borderId="0" xfId="28" applyNumberFormat="1" applyFont="1" applyFill="1" applyBorder="1" applyAlignment="1" applyProtection="1">
      <alignment horizontal="left" wrapText="1" indent="2"/>
      <protection/>
    </xf>
    <xf numFmtId="37" fontId="6" fillId="0" borderId="0" xfId="28" applyNumberFormat="1" applyFont="1" applyFill="1" applyBorder="1" applyAlignment="1" applyProtection="1">
      <alignment wrapText="1"/>
      <protection/>
    </xf>
    <xf numFmtId="37" fontId="6" fillId="0" borderId="1" xfId="28" applyNumberFormat="1" applyFont="1" applyFill="1" applyBorder="1" applyAlignment="1" applyProtection="1">
      <alignment horizontal="center"/>
      <protection/>
    </xf>
    <xf numFmtId="37" fontId="6" fillId="0" borderId="1" xfId="28" applyNumberFormat="1" applyFont="1" applyFill="1" applyBorder="1" applyAlignment="1" applyProtection="1">
      <alignment horizontal="left"/>
      <protection/>
    </xf>
    <xf numFmtId="5" fontId="5" fillId="0" borderId="1" xfId="28" applyNumberFormat="1" applyFont="1" applyFill="1" applyBorder="1" applyProtection="1">
      <alignment/>
      <protection/>
    </xf>
    <xf numFmtId="37" fontId="6" fillId="0" borderId="0" xfId="30" applyNumberFormat="1" applyFont="1" applyFill="1" applyBorder="1" applyAlignment="1" applyProtection="1">
      <alignment horizontal="center" wrapText="1"/>
      <protection/>
    </xf>
    <xf numFmtId="167" fontId="5" fillId="0" borderId="0" xfId="28" applyNumberFormat="1" applyFont="1" applyFill="1" applyProtection="1">
      <alignment/>
      <protection/>
    </xf>
    <xf numFmtId="37" fontId="5" fillId="0" borderId="0" xfId="28" applyFont="1" applyFill="1" applyBorder="1">
      <alignment/>
      <protection/>
    </xf>
    <xf numFmtId="5" fontId="6" fillId="0" borderId="1" xfId="28" applyNumberFormat="1" applyFont="1" applyFill="1" applyBorder="1" applyProtection="1">
      <alignment/>
      <protection/>
    </xf>
    <xf numFmtId="9" fontId="6" fillId="0" borderId="0" xfId="28" applyNumberFormat="1" applyFont="1" applyFill="1">
      <alignment/>
      <protection/>
    </xf>
    <xf numFmtId="167" fontId="6" fillId="0" borderId="3" xfId="28" applyNumberFormat="1" applyFont="1" applyFill="1" applyBorder="1" applyProtection="1">
      <alignment/>
      <protection/>
    </xf>
    <xf numFmtId="5" fontId="5" fillId="0" borderId="0" xfId="28" applyNumberFormat="1" applyFont="1" applyFill="1" applyAlignment="1" applyProtection="1">
      <alignment horizontal="center"/>
      <protection/>
    </xf>
    <xf numFmtId="0" fontId="5" fillId="0" borderId="0" xfId="29" applyFont="1" applyFill="1" applyAlignment="1">
      <alignment wrapText="1"/>
      <protection/>
    </xf>
    <xf numFmtId="0" fontId="6" fillId="0" borderId="0" xfId="32" applyFont="1" applyFill="1">
      <alignment/>
      <protection/>
    </xf>
    <xf numFmtId="37" fontId="6" fillId="0" borderId="1" xfId="30" applyNumberFormat="1" applyFont="1" applyFill="1" applyBorder="1" applyAlignment="1" applyProtection="1">
      <alignment/>
      <protection/>
    </xf>
    <xf numFmtId="0" fontId="6" fillId="0" borderId="0" xfId="26" applyFont="1" applyFill="1" applyBorder="1">
      <alignment/>
      <protection/>
    </xf>
    <xf numFmtId="37" fontId="6" fillId="0" borderId="0" xfId="30" applyFont="1" applyFill="1" quotePrefix="1">
      <alignment/>
      <protection/>
    </xf>
    <xf numFmtId="37" fontId="6" fillId="0" borderId="0" xfId="28" applyNumberFormat="1" applyFont="1" applyFill="1" applyBorder="1" applyAlignment="1" applyProtection="1">
      <alignment horizontal="center"/>
      <protection/>
    </xf>
    <xf numFmtId="37" fontId="5" fillId="0" borderId="0" xfId="28" applyNumberFormat="1" applyFont="1" applyFill="1" applyBorder="1" applyAlignment="1" applyProtection="1">
      <alignment horizontal="center" wrapText="1"/>
      <protection/>
    </xf>
    <xf numFmtId="5" fontId="5" fillId="0" borderId="0" xfId="28" applyNumberFormat="1" applyFont="1" applyFill="1" applyBorder="1" applyProtection="1">
      <alignment/>
      <protection/>
    </xf>
    <xf numFmtId="0" fontId="10" fillId="0" borderId="0" xfId="0" applyFont="1" applyFill="1" applyAlignment="1">
      <alignment horizontal="left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7" fontId="6" fillId="0" borderId="0" xfId="0" applyNumberFormat="1" applyFont="1" applyFill="1" applyAlignment="1">
      <alignment/>
    </xf>
    <xf numFmtId="167" fontId="5" fillId="0" borderId="0" xfId="0" applyNumberFormat="1" applyFont="1" applyAlignment="1">
      <alignment/>
    </xf>
    <xf numFmtId="0" fontId="6" fillId="0" borderId="4" xfId="31" applyFill="1" applyBorder="1">
      <alignment/>
      <protection/>
    </xf>
    <xf numFmtId="0" fontId="6" fillId="0" borderId="1" xfId="0" applyFont="1" applyFill="1" applyBorder="1" applyAlignment="1">
      <alignment horizontal="center"/>
    </xf>
    <xf numFmtId="167" fontId="5" fillId="0" borderId="1" xfId="0" applyNumberFormat="1" applyFont="1" applyBorder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Alignment="1">
      <alignment/>
    </xf>
    <xf numFmtId="0" fontId="6" fillId="0" borderId="0" xfId="0" applyFont="1" applyAlignment="1">
      <alignment/>
    </xf>
    <xf numFmtId="167" fontId="6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167" fontId="5" fillId="0" borderId="0" xfId="28" applyNumberFormat="1" applyFont="1" applyFill="1" applyAlignment="1" applyProtection="1" quotePrefix="1">
      <alignment horizontal="right"/>
      <protection/>
    </xf>
    <xf numFmtId="0" fontId="5" fillId="0" borderId="0" xfId="0" applyFont="1" applyFill="1" applyAlignment="1">
      <alignment horizontal="center"/>
    </xf>
    <xf numFmtId="15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206" fontId="10" fillId="0" borderId="0" xfId="0" applyNumberFormat="1" applyFont="1" applyFill="1" applyAlignment="1">
      <alignment horizontal="left" wrapText="1"/>
    </xf>
    <xf numFmtId="167" fontId="5" fillId="0" borderId="0" xfId="0" applyNumberFormat="1" applyFont="1" applyFill="1" applyAlignment="1">
      <alignment/>
    </xf>
    <xf numFmtId="210" fontId="5" fillId="0" borderId="0" xfId="0" applyNumberFormat="1" applyFont="1" applyFill="1" applyAlignment="1">
      <alignment horizontal="center"/>
    </xf>
    <xf numFmtId="9" fontId="5" fillId="0" borderId="0" xfId="34" applyFont="1" applyFill="1" applyAlignment="1">
      <alignment horizontal="center"/>
    </xf>
    <xf numFmtId="206" fontId="5" fillId="0" borderId="0" xfId="34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9" fontId="12" fillId="0" borderId="0" xfId="0" applyNumberFormat="1" applyFont="1" applyFill="1" applyAlignment="1">
      <alignment horizontal="center"/>
    </xf>
    <xf numFmtId="206" fontId="6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206" fontId="1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64" fontId="6" fillId="0" borderId="0" xfId="0" applyNumberFormat="1" applyFont="1" applyFill="1" applyAlignment="1" applyProtection="1">
      <alignment/>
      <protection/>
    </xf>
    <xf numFmtId="208" fontId="6" fillId="0" borderId="0" xfId="27" applyNumberFormat="1" applyFont="1" applyBorder="1">
      <alignment/>
      <protection/>
    </xf>
    <xf numFmtId="10" fontId="6" fillId="0" borderId="0" xfId="0" applyNumberFormat="1" applyFont="1" applyFill="1" applyAlignment="1">
      <alignment/>
    </xf>
    <xf numFmtId="3" fontId="6" fillId="0" borderId="0" xfId="0" applyNumberFormat="1" applyFont="1" applyFill="1" applyAlignment="1" applyProtection="1">
      <alignment/>
      <protection/>
    </xf>
    <xf numFmtId="206" fontId="6" fillId="0" borderId="0" xfId="0" applyNumberFormat="1" applyFont="1" applyFill="1" applyAlignment="1" applyProtection="1">
      <alignment/>
      <protection/>
    </xf>
    <xf numFmtId="164" fontId="16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211" fontId="6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87" fontId="6" fillId="0" borderId="0" xfId="0" applyNumberFormat="1" applyFont="1" applyFill="1" applyAlignment="1">
      <alignment/>
    </xf>
    <xf numFmtId="167" fontId="5" fillId="0" borderId="0" xfId="0" applyNumberFormat="1" applyFont="1" applyFill="1" applyAlignment="1" quotePrefix="1">
      <alignment/>
    </xf>
    <xf numFmtId="0" fontId="5" fillId="0" borderId="1" xfId="0" applyFont="1" applyFill="1" applyBorder="1" applyAlignment="1">
      <alignment/>
    </xf>
    <xf numFmtId="167" fontId="5" fillId="0" borderId="1" xfId="0" applyNumberFormat="1" applyFont="1" applyFill="1" applyBorder="1" applyAlignment="1">
      <alignment/>
    </xf>
    <xf numFmtId="37" fontId="10" fillId="0" borderId="0" xfId="28" applyNumberFormat="1" applyFont="1" applyBorder="1" applyAlignment="1" applyProtection="1">
      <alignment horizontal="center" wrapText="1"/>
      <protection/>
    </xf>
    <xf numFmtId="0" fontId="5" fillId="0" borderId="1" xfId="29" applyFont="1" applyFill="1" applyBorder="1">
      <alignment/>
      <protection/>
    </xf>
    <xf numFmtId="0" fontId="5" fillId="0" borderId="1" xfId="29" applyFont="1" applyFill="1" applyBorder="1" applyAlignment="1">
      <alignment horizontal="center"/>
      <protection/>
    </xf>
    <xf numFmtId="167" fontId="5" fillId="0" borderId="1" xfId="29" applyNumberFormat="1" applyFont="1" applyFill="1" applyBorder="1">
      <alignment/>
      <protection/>
    </xf>
    <xf numFmtId="0" fontId="5" fillId="0" borderId="0" xfId="29" applyFont="1" applyFill="1" applyBorder="1">
      <alignment/>
      <protection/>
    </xf>
    <xf numFmtId="0" fontId="5" fillId="0" borderId="0" xfId="0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9" fontId="19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206" fontId="13" fillId="0" borderId="0" xfId="0" applyNumberFormat="1" applyFont="1" applyFill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 quotePrefix="1">
      <alignment horizontal="center"/>
    </xf>
    <xf numFmtId="0" fontId="5" fillId="0" borderId="0" xfId="0" applyFont="1" applyFill="1" applyAlignment="1">
      <alignment horizontal="left" wrapText="1"/>
    </xf>
    <xf numFmtId="0" fontId="6" fillId="0" borderId="0" xfId="27" applyFont="1" applyAlignment="1">
      <alignment/>
      <protection/>
    </xf>
    <xf numFmtId="0" fontId="6" fillId="0" borderId="0" xfId="27" applyFont="1">
      <alignment/>
      <protection/>
    </xf>
    <xf numFmtId="14" fontId="6" fillId="0" borderId="0" xfId="27" applyNumberFormat="1" applyFont="1">
      <alignment/>
      <protection/>
    </xf>
    <xf numFmtId="0" fontId="20" fillId="0" borderId="0" xfId="24" applyFont="1" applyAlignment="1">
      <alignment horizontal="left"/>
    </xf>
    <xf numFmtId="0" fontId="20" fillId="0" borderId="0" xfId="24" applyFont="1" applyAlignment="1">
      <alignment horizontal="left" wrapText="1"/>
    </xf>
    <xf numFmtId="0" fontId="6" fillId="0" borderId="0" xfId="27" applyFont="1" applyBorder="1">
      <alignment/>
      <protection/>
    </xf>
    <xf numFmtId="0" fontId="6" fillId="0" borderId="5" xfId="27" applyFont="1" applyBorder="1">
      <alignment/>
      <protection/>
    </xf>
    <xf numFmtId="1" fontId="6" fillId="0" borderId="0" xfId="27" applyNumberFormat="1" applyFont="1">
      <alignment/>
      <protection/>
    </xf>
    <xf numFmtId="0" fontId="6" fillId="0" borderId="0" xfId="27" applyFont="1" applyAlignment="1">
      <alignment wrapText="1"/>
      <protection/>
    </xf>
    <xf numFmtId="0" fontId="6" fillId="0" borderId="0" xfId="27" applyFont="1" applyBorder="1" applyAlignment="1">
      <alignment horizontal="center"/>
      <protection/>
    </xf>
    <xf numFmtId="0" fontId="6" fillId="0" borderId="0" xfId="27" applyFont="1" applyBorder="1" applyAlignment="1">
      <alignment/>
      <protection/>
    </xf>
    <xf numFmtId="0" fontId="6" fillId="0" borderId="2" xfId="27" applyFont="1" applyBorder="1" applyAlignment="1">
      <alignment wrapText="1"/>
      <protection/>
    </xf>
    <xf numFmtId="0" fontId="6" fillId="0" borderId="2" xfId="27" applyFont="1" applyBorder="1" applyAlignment="1">
      <alignment horizontal="right" wrapText="1"/>
      <protection/>
    </xf>
    <xf numFmtId="0" fontId="6" fillId="0" borderId="6" xfId="27" applyFont="1" applyBorder="1" applyAlignment="1">
      <alignment horizontal="right" wrapText="1"/>
      <protection/>
    </xf>
    <xf numFmtId="0" fontId="6" fillId="0" borderId="7" xfId="27" applyFont="1" applyBorder="1" applyAlignment="1">
      <alignment horizontal="right" wrapText="1"/>
      <protection/>
    </xf>
    <xf numFmtId="0" fontId="6" fillId="0" borderId="5" xfId="27" applyFont="1" applyBorder="1" applyAlignment="1">
      <alignment wrapText="1"/>
      <protection/>
    </xf>
    <xf numFmtId="0" fontId="6" fillId="0" borderId="0" xfId="27" applyNumberFormat="1" applyFont="1" applyFill="1" applyBorder="1">
      <alignment/>
      <protection/>
    </xf>
    <xf numFmtId="9" fontId="6" fillId="0" borderId="5" xfId="27" applyNumberFormat="1" applyFont="1" applyFill="1" applyBorder="1">
      <alignment/>
      <protection/>
    </xf>
    <xf numFmtId="9" fontId="6" fillId="0" borderId="0" xfId="27" applyNumberFormat="1" applyFont="1" applyFill="1" applyBorder="1">
      <alignment/>
      <protection/>
    </xf>
    <xf numFmtId="0" fontId="6" fillId="0" borderId="4" xfId="27" applyNumberFormat="1" applyFont="1" applyFill="1" applyBorder="1">
      <alignment/>
      <protection/>
    </xf>
    <xf numFmtId="208" fontId="6" fillId="0" borderId="5" xfId="27" applyNumberFormat="1" applyFont="1" applyBorder="1">
      <alignment/>
      <protection/>
    </xf>
    <xf numFmtId="209" fontId="6" fillId="0" borderId="5" xfId="27" applyNumberFormat="1" applyFont="1" applyBorder="1">
      <alignment/>
      <protection/>
    </xf>
    <xf numFmtId="0" fontId="6" fillId="0" borderId="0" xfId="27" applyFont="1" applyBorder="1" applyAlignment="1">
      <alignment wrapText="1"/>
      <protection/>
    </xf>
    <xf numFmtId="0" fontId="6" fillId="0" borderId="0" xfId="27" applyFont="1" applyFill="1" applyBorder="1">
      <alignment/>
      <protection/>
    </xf>
    <xf numFmtId="0" fontId="1" fillId="0" borderId="0" xfId="27" applyFont="1" applyAlignment="1">
      <alignment wrapText="1"/>
      <protection/>
    </xf>
    <xf numFmtId="0" fontId="1" fillId="0" borderId="0" xfId="27" applyFont="1">
      <alignment/>
      <protection/>
    </xf>
    <xf numFmtId="0" fontId="1" fillId="0" borderId="0" xfId="27" applyNumberFormat="1" applyFont="1" applyFill="1" applyBorder="1">
      <alignment/>
      <protection/>
    </xf>
    <xf numFmtId="9" fontId="1" fillId="0" borderId="0" xfId="27" applyNumberFormat="1" applyFont="1" applyFill="1" applyBorder="1">
      <alignment/>
      <protection/>
    </xf>
    <xf numFmtId="0" fontId="6" fillId="0" borderId="0" xfId="27">
      <alignment/>
      <protection/>
    </xf>
    <xf numFmtId="0" fontId="6" fillId="0" borderId="0" xfId="27" applyAlignment="1">
      <alignment/>
      <protection/>
    </xf>
    <xf numFmtId="0" fontId="6" fillId="0" borderId="0" xfId="27" applyAlignment="1">
      <alignment wrapText="1"/>
      <protection/>
    </xf>
    <xf numFmtId="0" fontId="23" fillId="0" borderId="0" xfId="33" applyFont="1" applyFill="1" applyAlignment="1">
      <alignment/>
      <protection/>
    </xf>
    <xf numFmtId="0" fontId="24" fillId="0" borderId="0" xfId="33" applyFont="1" applyFill="1">
      <alignment/>
      <protection/>
    </xf>
    <xf numFmtId="0" fontId="24" fillId="0" borderId="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0" fontId="23" fillId="0" borderId="0" xfId="33" applyFont="1" applyFill="1">
      <alignment/>
      <protection/>
    </xf>
    <xf numFmtId="172" fontId="23" fillId="0" borderId="0" xfId="34" applyNumberFormat="1" applyFont="1" applyFill="1" applyAlignment="1">
      <alignment/>
    </xf>
    <xf numFmtId="207" fontId="23" fillId="0" borderId="0" xfId="0" applyNumberFormat="1" applyFont="1" applyFill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37" fontId="5" fillId="0" borderId="0" xfId="28" applyNumberFormat="1" applyFont="1" applyFill="1" applyBorder="1" applyAlignment="1" applyProtection="1">
      <alignment horizontal="left"/>
      <protection/>
    </xf>
    <xf numFmtId="5" fontId="5" fillId="0" borderId="3" xfId="28" applyNumberFormat="1" applyFont="1" applyFill="1" applyBorder="1" applyProtection="1">
      <alignment/>
      <protection/>
    </xf>
    <xf numFmtId="0" fontId="5" fillId="0" borderId="2" xfId="0" applyFont="1" applyBorder="1" applyAlignment="1">
      <alignment wrapText="1"/>
    </xf>
    <xf numFmtId="37" fontId="6" fillId="0" borderId="0" xfId="30" applyNumberFormat="1" applyFont="1" applyFill="1" applyBorder="1" applyAlignment="1" applyProtection="1">
      <alignment horizontal="left" wrapText="1"/>
      <protection/>
    </xf>
    <xf numFmtId="37" fontId="5" fillId="0" borderId="0" xfId="30" applyNumberFormat="1" applyFont="1" applyFill="1" applyBorder="1" applyAlignment="1" applyProtection="1">
      <alignment horizontal="left" wrapText="1"/>
      <protection/>
    </xf>
    <xf numFmtId="5" fontId="5" fillId="0" borderId="0" xfId="30" applyNumberFormat="1" applyFont="1" applyFill="1" applyProtection="1">
      <alignment/>
      <protection/>
    </xf>
    <xf numFmtId="5" fontId="5" fillId="0" borderId="1" xfId="30" applyNumberFormat="1" applyFont="1" applyFill="1" applyBorder="1" applyProtection="1">
      <alignment/>
      <protection/>
    </xf>
    <xf numFmtId="0" fontId="6" fillId="0" borderId="0" xfId="27" applyFont="1" applyBorder="1" applyAlignment="1">
      <alignment horizontal="right" wrapText="1"/>
      <protection/>
    </xf>
    <xf numFmtId="0" fontId="6" fillId="0" borderId="5" xfId="27" applyFont="1" applyBorder="1" applyAlignment="1">
      <alignment horizontal="right" wrapText="1"/>
      <protection/>
    </xf>
    <xf numFmtId="0" fontId="6" fillId="0" borderId="4" xfId="27" applyFont="1" applyBorder="1" applyAlignment="1">
      <alignment horizontal="right" wrapText="1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5" fillId="0" borderId="0" xfId="0" applyFont="1" applyFill="1" applyAlignment="1" quotePrefix="1">
      <alignment horizontal="center" wrapText="1"/>
    </xf>
    <xf numFmtId="0" fontId="9" fillId="0" borderId="0" xfId="0" applyFont="1" applyFill="1" applyAlignment="1">
      <alignment horizontal="left" wrapText="1"/>
    </xf>
    <xf numFmtId="0" fontId="21" fillId="0" borderId="9" xfId="0" applyFont="1" applyFill="1" applyBorder="1" applyAlignment="1">
      <alignment wrapText="1"/>
    </xf>
    <xf numFmtId="0" fontId="22" fillId="0" borderId="9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4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0" fontId="24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Border="1" applyAlignment="1">
      <alignment wrapText="1"/>
    </xf>
    <xf numFmtId="0" fontId="0" fillId="0" borderId="0" xfId="0" applyAlignment="1">
      <alignment wrapText="1"/>
    </xf>
    <xf numFmtId="17" fontId="6" fillId="0" borderId="0" xfId="27" applyNumberFormat="1" applyFont="1" applyBorder="1" applyAlignment="1">
      <alignment horizontal="center" wrapText="1"/>
      <protection/>
    </xf>
    <xf numFmtId="0" fontId="6" fillId="0" borderId="0" xfId="27" applyFont="1" applyBorder="1" applyAlignment="1">
      <alignment horizontal="center"/>
      <protection/>
    </xf>
    <xf numFmtId="0" fontId="6" fillId="0" borderId="5" xfId="27" applyFont="1" applyBorder="1" applyAlignment="1">
      <alignment horizontal="center"/>
      <protection/>
    </xf>
    <xf numFmtId="17" fontId="6" fillId="0" borderId="0" xfId="27" applyNumberFormat="1" applyFont="1" applyBorder="1" applyAlignment="1" quotePrefix="1">
      <alignment horizontal="center" wrapText="1"/>
      <protection/>
    </xf>
    <xf numFmtId="17" fontId="6" fillId="0" borderId="4" xfId="27" applyNumberFormat="1" applyFont="1" applyBorder="1" applyAlignment="1" quotePrefix="1">
      <alignment horizontal="center" wrapText="1"/>
      <protection/>
    </xf>
    <xf numFmtId="17" fontId="6" fillId="0" borderId="5" xfId="27" applyNumberFormat="1" applyFont="1" applyBorder="1" applyAlignment="1" quotePrefix="1">
      <alignment horizontal="center" wrapText="1"/>
      <protection/>
    </xf>
    <xf numFmtId="0" fontId="6" fillId="0" borderId="4" xfId="27" applyFont="1" applyBorder="1" applyAlignment="1">
      <alignment horizontal="center"/>
      <protection/>
    </xf>
  </cellXfs>
  <cellStyles count="21">
    <cellStyle name="Normal" xfId="0"/>
    <cellStyle name="Book11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Followed Hyperlink" xfId="22"/>
    <cellStyle name="Hyperlink" xfId="23"/>
    <cellStyle name="Hyperlink_06-07HDD_Monthly_10-03" xfId="24"/>
    <cellStyle name="Normal_$0.25B-1B_BG" xfId="25"/>
    <cellStyle name="Normal_$50M_LIHEAP_EC_08Aug28_341CDD&amp;61Dev" xfId="26"/>
    <cellStyle name="Normal_06-07HDD_Monthly_10-03" xfId="27"/>
    <cellStyle name="Normal_2005-LIHEAP Allocations-$1.884B-FINAL" xfId="28"/>
    <cellStyle name="Normal_2006-Contg-9-12-06-FINAL 14 STATES" xfId="29"/>
    <cellStyle name="Normal_2006-LIHEAP Alloc-$2 0B (2)" xfId="30"/>
    <cellStyle name="Normal_LIHEAP - Increases in Block Grant" xfId="31"/>
    <cellStyle name="Normal_LIHEAP FY 07-$1 98B CR_final" xfId="32"/>
    <cellStyle name="Normal_State &amp; Region HTGFUEL 2000 (LI HH)" xfId="33"/>
    <cellStyle name="Percent" xfId="34"/>
  </cellStyles>
  <dxfs count="2">
    <dxf>
      <fill>
        <patternFill>
          <bgColor rgb="FFFF9900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HERRY~2\LOCALS~1\Temp\Updated_tribe_tracking_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dated_trib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pc.ncep.noaa.gov/products/analysis_monitoring/cdus/degree_days/msahddy.txt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62"/>
  <sheetViews>
    <sheetView zoomScale="130" zoomScaleNormal="130" workbookViewId="0" topLeftCell="A1">
      <selection activeCell="A3" sqref="A3"/>
    </sheetView>
  </sheetViews>
  <sheetFormatPr defaultColWidth="9.00390625" defaultRowHeight="12.75"/>
  <cols>
    <col min="1" max="1" width="17.50390625" style="0" customWidth="1"/>
    <col min="2" max="2" width="21.25390625" style="0" customWidth="1"/>
    <col min="3" max="3" width="21.75390625" style="0" customWidth="1"/>
    <col min="4" max="4" width="15.00390625" style="0" customWidth="1"/>
  </cols>
  <sheetData>
    <row r="1" spans="1:4" ht="18" customHeight="1">
      <c r="A1" s="191" t="s">
        <v>263</v>
      </c>
      <c r="B1" s="191"/>
      <c r="C1" s="191"/>
      <c r="D1" s="192"/>
    </row>
    <row r="2" ht="12.75">
      <c r="A2" s="135" t="s">
        <v>285</v>
      </c>
    </row>
    <row r="3" spans="2:4" s="84" customFormat="1" ht="12.75">
      <c r="B3" s="85" t="s">
        <v>258</v>
      </c>
      <c r="C3" s="85" t="s">
        <v>264</v>
      </c>
      <c r="D3" s="85" t="s">
        <v>265</v>
      </c>
    </row>
    <row r="4" spans="1:4" ht="72">
      <c r="A4" s="82" t="s">
        <v>0</v>
      </c>
      <c r="B4" s="134" t="s">
        <v>259</v>
      </c>
      <c r="C4" s="73" t="s">
        <v>260</v>
      </c>
      <c r="D4" s="74" t="s">
        <v>266</v>
      </c>
    </row>
    <row r="5" spans="1:4" ht="9" customHeight="1">
      <c r="A5" s="87"/>
      <c r="B5" s="88"/>
      <c r="C5" s="88"/>
      <c r="D5" s="86"/>
    </row>
    <row r="6" spans="1:4" ht="12.75">
      <c r="A6" s="7" t="s">
        <v>2</v>
      </c>
      <c r="B6" s="75">
        <v>0</v>
      </c>
      <c r="C6" s="75">
        <v>911873</v>
      </c>
      <c r="D6" s="76">
        <f aca="true" t="shared" si="0" ref="D6:D56">C6+B6</f>
        <v>911873</v>
      </c>
    </row>
    <row r="7" spans="1:4" ht="12.75">
      <c r="A7" s="7" t="s">
        <v>3</v>
      </c>
      <c r="B7" s="75">
        <v>1167785</v>
      </c>
      <c r="C7" s="75">
        <v>582069</v>
      </c>
      <c r="D7" s="76">
        <f t="shared" si="0"/>
        <v>1749854</v>
      </c>
    </row>
    <row r="8" spans="1:4" ht="12.75">
      <c r="A8" s="7" t="s">
        <v>4</v>
      </c>
      <c r="B8" s="75">
        <v>0</v>
      </c>
      <c r="C8" s="75">
        <v>440993</v>
      </c>
      <c r="D8" s="76">
        <f t="shared" si="0"/>
        <v>440993</v>
      </c>
    </row>
    <row r="9" spans="1:4" ht="12.75">
      <c r="A9" s="7" t="s">
        <v>5</v>
      </c>
      <c r="B9" s="75">
        <v>0</v>
      </c>
      <c r="C9" s="75">
        <v>695802</v>
      </c>
      <c r="D9" s="76">
        <f t="shared" si="0"/>
        <v>695802</v>
      </c>
    </row>
    <row r="10" spans="1:4" ht="12.75">
      <c r="A10" s="7" t="s">
        <v>6</v>
      </c>
      <c r="B10" s="75">
        <v>0</v>
      </c>
      <c r="C10" s="75">
        <v>4891934</v>
      </c>
      <c r="D10" s="76">
        <f t="shared" si="0"/>
        <v>4891934</v>
      </c>
    </row>
    <row r="11" spans="1:4" ht="12.75">
      <c r="A11" s="7" t="s">
        <v>7</v>
      </c>
      <c r="B11" s="75">
        <v>0</v>
      </c>
      <c r="C11" s="75">
        <v>1705665</v>
      </c>
      <c r="D11" s="76">
        <f t="shared" si="0"/>
        <v>1705665</v>
      </c>
    </row>
    <row r="12" spans="1:4" ht="12.75">
      <c r="A12" s="7" t="s">
        <v>8</v>
      </c>
      <c r="B12" s="75">
        <v>4956918</v>
      </c>
      <c r="C12" s="75">
        <v>2225100</v>
      </c>
      <c r="D12" s="76">
        <f t="shared" si="0"/>
        <v>7182018</v>
      </c>
    </row>
    <row r="13" spans="1:4" ht="12.75">
      <c r="A13" s="7" t="s">
        <v>9</v>
      </c>
      <c r="B13" s="75">
        <v>0</v>
      </c>
      <c r="C13" s="75">
        <v>295339</v>
      </c>
      <c r="D13" s="76">
        <f t="shared" si="0"/>
        <v>295339</v>
      </c>
    </row>
    <row r="14" spans="1:4" ht="12.75">
      <c r="A14" s="77" t="s">
        <v>55</v>
      </c>
      <c r="B14" s="75">
        <v>0</v>
      </c>
      <c r="C14" s="75">
        <v>345562</v>
      </c>
      <c r="D14" s="76">
        <f t="shared" si="0"/>
        <v>345562</v>
      </c>
    </row>
    <row r="15" spans="1:4" ht="12.75">
      <c r="A15" s="7" t="s">
        <v>10</v>
      </c>
      <c r="B15" s="75">
        <v>0</v>
      </c>
      <c r="C15" s="75">
        <v>1442856</v>
      </c>
      <c r="D15" s="76">
        <f t="shared" si="0"/>
        <v>1442856</v>
      </c>
    </row>
    <row r="16" spans="1:4" ht="12.75">
      <c r="A16" s="7" t="s">
        <v>11</v>
      </c>
      <c r="B16" s="75">
        <v>0</v>
      </c>
      <c r="C16" s="75">
        <v>1140799</v>
      </c>
      <c r="D16" s="76">
        <f t="shared" si="0"/>
        <v>1140799</v>
      </c>
    </row>
    <row r="17" spans="1:4" ht="12.75">
      <c r="A17" s="7" t="s">
        <v>12</v>
      </c>
      <c r="B17" s="75">
        <v>0</v>
      </c>
      <c r="C17" s="75">
        <v>114885</v>
      </c>
      <c r="D17" s="76">
        <f t="shared" si="0"/>
        <v>114885</v>
      </c>
    </row>
    <row r="18" spans="1:4" ht="12.75">
      <c r="A18" s="7" t="s">
        <v>13</v>
      </c>
      <c r="B18" s="75">
        <v>0</v>
      </c>
      <c r="C18" s="75">
        <v>665323</v>
      </c>
      <c r="D18" s="76">
        <f t="shared" si="0"/>
        <v>665323</v>
      </c>
    </row>
    <row r="19" spans="1:4" ht="12.75">
      <c r="A19" s="7" t="s">
        <v>14</v>
      </c>
      <c r="B19" s="75">
        <v>0</v>
      </c>
      <c r="C19" s="75">
        <v>6158693</v>
      </c>
      <c r="D19" s="76">
        <f t="shared" si="0"/>
        <v>6158693</v>
      </c>
    </row>
    <row r="20" spans="1:4" ht="12.75">
      <c r="A20" s="7" t="s">
        <v>15</v>
      </c>
      <c r="B20" s="75">
        <v>0</v>
      </c>
      <c r="C20" s="75">
        <v>2788483</v>
      </c>
      <c r="D20" s="76">
        <f t="shared" si="0"/>
        <v>2788483</v>
      </c>
    </row>
    <row r="21" spans="1:4" ht="12.75">
      <c r="A21" s="7" t="s">
        <v>16</v>
      </c>
      <c r="B21" s="75">
        <v>0</v>
      </c>
      <c r="C21" s="75">
        <v>1976235</v>
      </c>
      <c r="D21" s="76">
        <f t="shared" si="0"/>
        <v>1976235</v>
      </c>
    </row>
    <row r="22" spans="1:4" ht="12.75">
      <c r="A22" s="7" t="s">
        <v>17</v>
      </c>
      <c r="B22" s="75">
        <v>0</v>
      </c>
      <c r="C22" s="75">
        <v>907576</v>
      </c>
      <c r="D22" s="76">
        <f t="shared" si="0"/>
        <v>907576</v>
      </c>
    </row>
    <row r="23" spans="1:4" ht="12.75">
      <c r="A23" s="7" t="s">
        <v>18</v>
      </c>
      <c r="B23" s="75">
        <v>0</v>
      </c>
      <c r="C23" s="75">
        <v>1451117</v>
      </c>
      <c r="D23" s="76">
        <f t="shared" si="0"/>
        <v>1451117</v>
      </c>
    </row>
    <row r="24" spans="1:4" ht="12.75">
      <c r="A24" s="7" t="s">
        <v>19</v>
      </c>
      <c r="B24" s="75">
        <v>0</v>
      </c>
      <c r="C24" s="75">
        <v>932250</v>
      </c>
      <c r="D24" s="76">
        <f t="shared" si="0"/>
        <v>932250</v>
      </c>
    </row>
    <row r="25" spans="1:4" ht="12.75">
      <c r="A25" s="7" t="s">
        <v>20</v>
      </c>
      <c r="B25" s="75">
        <v>5768233</v>
      </c>
      <c r="C25" s="75">
        <v>1441510</v>
      </c>
      <c r="D25" s="76">
        <f t="shared" si="0"/>
        <v>7209743</v>
      </c>
    </row>
    <row r="26" spans="1:4" ht="12.75">
      <c r="A26" s="7" t="s">
        <v>21</v>
      </c>
      <c r="B26" s="75">
        <v>0</v>
      </c>
      <c r="C26" s="75">
        <v>1703731</v>
      </c>
      <c r="D26" s="76">
        <f t="shared" si="0"/>
        <v>1703731</v>
      </c>
    </row>
    <row r="27" spans="1:4" ht="12.75">
      <c r="A27" s="7" t="s">
        <v>22</v>
      </c>
      <c r="B27" s="75">
        <v>7490761</v>
      </c>
      <c r="C27" s="75">
        <v>4450937</v>
      </c>
      <c r="D27" s="76">
        <f t="shared" si="0"/>
        <v>11941698</v>
      </c>
    </row>
    <row r="28" spans="1:4" ht="12.75">
      <c r="A28" s="7" t="s">
        <v>23</v>
      </c>
      <c r="B28" s="75">
        <v>0</v>
      </c>
      <c r="C28" s="75">
        <v>5847139</v>
      </c>
      <c r="D28" s="76">
        <f t="shared" si="0"/>
        <v>5847139</v>
      </c>
    </row>
    <row r="29" spans="1:4" ht="12.75">
      <c r="A29" s="7" t="s">
        <v>24</v>
      </c>
      <c r="B29" s="75">
        <v>0</v>
      </c>
      <c r="C29" s="75">
        <v>4212533</v>
      </c>
      <c r="D29" s="76">
        <f t="shared" si="0"/>
        <v>4212533</v>
      </c>
    </row>
    <row r="30" spans="1:4" ht="12.75">
      <c r="A30" s="7" t="s">
        <v>25</v>
      </c>
      <c r="B30" s="75">
        <v>0</v>
      </c>
      <c r="C30" s="75">
        <v>781790</v>
      </c>
      <c r="D30" s="76">
        <f t="shared" si="0"/>
        <v>781790</v>
      </c>
    </row>
    <row r="31" spans="1:4" ht="12.75">
      <c r="A31" s="7" t="s">
        <v>26</v>
      </c>
      <c r="B31" s="75">
        <v>0</v>
      </c>
      <c r="C31" s="75">
        <v>2460022</v>
      </c>
      <c r="D31" s="76">
        <f t="shared" si="0"/>
        <v>2460022</v>
      </c>
    </row>
    <row r="32" spans="1:4" ht="12.75">
      <c r="A32" s="7" t="s">
        <v>27</v>
      </c>
      <c r="B32" s="75">
        <v>0</v>
      </c>
      <c r="C32" s="75">
        <v>780382</v>
      </c>
      <c r="D32" s="76">
        <f t="shared" si="0"/>
        <v>780382</v>
      </c>
    </row>
    <row r="33" spans="1:4" ht="12.75">
      <c r="A33" s="7" t="s">
        <v>28</v>
      </c>
      <c r="B33" s="75">
        <v>0</v>
      </c>
      <c r="C33" s="75">
        <v>977324</v>
      </c>
      <c r="D33" s="76">
        <f t="shared" si="0"/>
        <v>977324</v>
      </c>
    </row>
    <row r="34" spans="1:4" ht="12.75">
      <c r="A34" s="7" t="s">
        <v>29</v>
      </c>
      <c r="B34" s="75">
        <v>0</v>
      </c>
      <c r="C34" s="75">
        <v>207121</v>
      </c>
      <c r="D34" s="76">
        <f t="shared" si="0"/>
        <v>207121</v>
      </c>
    </row>
    <row r="35" spans="1:4" ht="12.75">
      <c r="A35" s="7" t="s">
        <v>30</v>
      </c>
      <c r="B35" s="75">
        <v>2433385</v>
      </c>
      <c r="C35" s="75">
        <v>842472</v>
      </c>
      <c r="D35" s="76">
        <f t="shared" si="0"/>
        <v>3275857</v>
      </c>
    </row>
    <row r="36" spans="1:4" ht="12.75">
      <c r="A36" s="7" t="s">
        <v>31</v>
      </c>
      <c r="B36" s="75">
        <v>0</v>
      </c>
      <c r="C36" s="75">
        <v>4132003</v>
      </c>
      <c r="D36" s="76">
        <f t="shared" si="0"/>
        <v>4132003</v>
      </c>
    </row>
    <row r="37" spans="1:4" ht="12.75">
      <c r="A37" s="7" t="s">
        <v>32</v>
      </c>
      <c r="B37" s="75">
        <v>0</v>
      </c>
      <c r="C37" s="75">
        <v>552092</v>
      </c>
      <c r="D37" s="76">
        <f t="shared" si="0"/>
        <v>552092</v>
      </c>
    </row>
    <row r="38" spans="1:4" ht="12.75">
      <c r="A38" s="7" t="s">
        <v>33</v>
      </c>
      <c r="B38" s="75">
        <v>0</v>
      </c>
      <c r="C38" s="75">
        <v>13491614</v>
      </c>
      <c r="D38" s="76">
        <f t="shared" si="0"/>
        <v>13491614</v>
      </c>
    </row>
    <row r="39" spans="1:4" ht="12.75">
      <c r="A39" s="7" t="s">
        <v>34</v>
      </c>
      <c r="B39" s="75">
        <v>0</v>
      </c>
      <c r="C39" s="75">
        <v>2010660</v>
      </c>
      <c r="D39" s="76">
        <f t="shared" si="0"/>
        <v>2010660</v>
      </c>
    </row>
    <row r="40" spans="1:4" ht="12.75">
      <c r="A40" s="7" t="s">
        <v>35</v>
      </c>
      <c r="B40" s="75">
        <v>0</v>
      </c>
      <c r="C40" s="75">
        <v>847730</v>
      </c>
      <c r="D40" s="76">
        <f t="shared" si="0"/>
        <v>847730</v>
      </c>
    </row>
    <row r="41" spans="1:4" ht="12.75">
      <c r="A41" s="7" t="s">
        <v>36</v>
      </c>
      <c r="B41" s="75">
        <v>0</v>
      </c>
      <c r="C41" s="75">
        <v>5448284</v>
      </c>
      <c r="D41" s="76">
        <f t="shared" si="0"/>
        <v>5448284</v>
      </c>
    </row>
    <row r="42" spans="1:4" ht="12.75">
      <c r="A42" s="7" t="s">
        <v>37</v>
      </c>
      <c r="B42" s="75">
        <v>0</v>
      </c>
      <c r="C42" s="75">
        <v>838199</v>
      </c>
      <c r="D42" s="76">
        <f t="shared" si="0"/>
        <v>838199</v>
      </c>
    </row>
    <row r="43" spans="1:4" ht="12.75">
      <c r="A43" s="7" t="s">
        <v>38</v>
      </c>
      <c r="B43" s="75">
        <v>0</v>
      </c>
      <c r="C43" s="75">
        <v>1321962</v>
      </c>
      <c r="D43" s="76">
        <f t="shared" si="0"/>
        <v>1321962</v>
      </c>
    </row>
    <row r="44" spans="1:4" ht="12.75">
      <c r="A44" s="7" t="s">
        <v>39</v>
      </c>
      <c r="B44" s="75">
        <v>0</v>
      </c>
      <c r="C44" s="75">
        <v>7246987</v>
      </c>
      <c r="D44" s="76">
        <f t="shared" si="0"/>
        <v>7246987</v>
      </c>
    </row>
    <row r="45" spans="1:4" ht="12.75">
      <c r="A45" s="7" t="s">
        <v>40</v>
      </c>
      <c r="B45" s="75">
        <v>1265202</v>
      </c>
      <c r="C45" s="75">
        <v>732650</v>
      </c>
      <c r="D45" s="76">
        <f t="shared" si="0"/>
        <v>1997852</v>
      </c>
    </row>
    <row r="46" spans="1:4" ht="12.75">
      <c r="A46" s="7" t="s">
        <v>41</v>
      </c>
      <c r="B46" s="75">
        <v>0</v>
      </c>
      <c r="C46" s="75">
        <v>724213</v>
      </c>
      <c r="D46" s="76">
        <f t="shared" si="0"/>
        <v>724213</v>
      </c>
    </row>
    <row r="47" spans="1:4" ht="12.75">
      <c r="A47" s="7" t="s">
        <v>42</v>
      </c>
      <c r="B47" s="75">
        <v>0</v>
      </c>
      <c r="C47" s="75">
        <v>688506</v>
      </c>
      <c r="D47" s="76">
        <f t="shared" si="0"/>
        <v>688506</v>
      </c>
    </row>
    <row r="48" spans="1:4" ht="12.75">
      <c r="A48" s="7" t="s">
        <v>43</v>
      </c>
      <c r="B48" s="75">
        <v>0</v>
      </c>
      <c r="C48" s="75">
        <v>1469951</v>
      </c>
      <c r="D48" s="76">
        <f t="shared" si="0"/>
        <v>1469951</v>
      </c>
    </row>
    <row r="49" spans="1:4" ht="12.75">
      <c r="A49" s="7" t="s">
        <v>44</v>
      </c>
      <c r="B49" s="75">
        <v>0</v>
      </c>
      <c r="C49" s="75">
        <v>2400430</v>
      </c>
      <c r="D49" s="76">
        <f t="shared" si="0"/>
        <v>2400430</v>
      </c>
    </row>
    <row r="50" spans="1:4" ht="12.75">
      <c r="A50" s="7" t="s">
        <v>45</v>
      </c>
      <c r="B50" s="75">
        <v>0</v>
      </c>
      <c r="C50" s="75">
        <v>792627</v>
      </c>
      <c r="D50" s="76">
        <f t="shared" si="0"/>
        <v>792627</v>
      </c>
    </row>
    <row r="51" spans="1:4" ht="12.75">
      <c r="A51" s="7" t="s">
        <v>46</v>
      </c>
      <c r="B51" s="75">
        <v>1917716</v>
      </c>
      <c r="C51" s="75">
        <v>631462</v>
      </c>
      <c r="D51" s="76">
        <f t="shared" si="0"/>
        <v>2549178</v>
      </c>
    </row>
    <row r="52" spans="1:4" ht="12.75">
      <c r="A52" s="7" t="s">
        <v>47</v>
      </c>
      <c r="B52" s="75">
        <v>0</v>
      </c>
      <c r="C52" s="75">
        <v>2075335</v>
      </c>
      <c r="D52" s="76">
        <f t="shared" si="0"/>
        <v>2075335</v>
      </c>
    </row>
    <row r="53" spans="1:4" ht="12.75">
      <c r="A53" s="7" t="s">
        <v>48</v>
      </c>
      <c r="B53" s="75">
        <v>0</v>
      </c>
      <c r="C53" s="75">
        <v>2174446</v>
      </c>
      <c r="D53" s="76">
        <f t="shared" si="0"/>
        <v>2174446</v>
      </c>
    </row>
    <row r="54" spans="1:4" ht="12.75">
      <c r="A54" s="7" t="s">
        <v>49</v>
      </c>
      <c r="B54" s="75">
        <v>0</v>
      </c>
      <c r="C54" s="75">
        <v>960314</v>
      </c>
      <c r="D54" s="76">
        <f t="shared" si="0"/>
        <v>960314</v>
      </c>
    </row>
    <row r="55" spans="1:4" ht="12.75">
      <c r="A55" s="7" t="s">
        <v>50</v>
      </c>
      <c r="B55" s="75">
        <v>0</v>
      </c>
      <c r="C55" s="75">
        <v>3791884</v>
      </c>
      <c r="D55" s="76">
        <f t="shared" si="0"/>
        <v>3791884</v>
      </c>
    </row>
    <row r="56" spans="1:4" ht="12.75">
      <c r="A56" s="7" t="s">
        <v>51</v>
      </c>
      <c r="B56" s="75">
        <v>0</v>
      </c>
      <c r="C56" s="75">
        <v>317352</v>
      </c>
      <c r="D56" s="76">
        <f t="shared" si="0"/>
        <v>317352</v>
      </c>
    </row>
    <row r="57" spans="1:4" ht="13.5" thickBot="1">
      <c r="A57" s="7"/>
      <c r="B57" s="75"/>
      <c r="C57" s="75"/>
      <c r="D57" s="76"/>
    </row>
    <row r="58" spans="1:4" s="82" customFormat="1" ht="13.5" thickTop="1">
      <c r="A58" s="78" t="s">
        <v>262</v>
      </c>
      <c r="B58" s="83">
        <f>SUM(B6:B56)</f>
        <v>25000000</v>
      </c>
      <c r="C58" s="83">
        <f>SUM(C6:C56)</f>
        <v>106026216</v>
      </c>
      <c r="D58" s="79">
        <f>B58+C58</f>
        <v>131026216</v>
      </c>
    </row>
    <row r="59" spans="1:4" s="82" customFormat="1" ht="12.75">
      <c r="A59" s="17" t="s">
        <v>52</v>
      </c>
      <c r="B59" s="80">
        <v>0</v>
      </c>
      <c r="C59" s="80">
        <v>143784</v>
      </c>
      <c r="D59" s="76">
        <f>B59+C59</f>
        <v>143784</v>
      </c>
    </row>
    <row r="60" spans="1:4" s="82" customFormat="1" ht="12.75">
      <c r="A60" s="17" t="s">
        <v>261</v>
      </c>
      <c r="B60" s="81">
        <f>B58+B59</f>
        <v>25000000</v>
      </c>
      <c r="C60" s="81">
        <f>C58+C59</f>
        <v>106170000</v>
      </c>
      <c r="D60" s="76">
        <f>D58+D59</f>
        <v>131170000</v>
      </c>
    </row>
    <row r="62" ht="12.75">
      <c r="A62" s="67"/>
    </row>
  </sheetData>
  <mergeCells count="1">
    <mergeCell ref="A1:D1"/>
  </mergeCells>
  <printOptions gridLines="1"/>
  <pageMargins left="0.72" right="0.61" top="0.59" bottom="1" header="0.5" footer="0.5"/>
  <pageSetup horizontalDpi="600" verticalDpi="600" orientation="portrait" scale="12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70"/>
  <sheetViews>
    <sheetView workbookViewId="0" topLeftCell="A1">
      <selection activeCell="A1" sqref="A1"/>
    </sheetView>
  </sheetViews>
  <sheetFormatPr defaultColWidth="9.00390625" defaultRowHeight="12.75"/>
  <cols>
    <col min="1" max="1" width="20.00390625" style="167" customWidth="1"/>
    <col min="2" max="2" width="11.875" style="165" customWidth="1"/>
    <col min="3" max="3" width="11.00390625" style="165" bestFit="1" customWidth="1"/>
    <col min="4" max="4" width="13.125" style="165" bestFit="1" customWidth="1"/>
    <col min="5" max="5" width="11.875" style="165" customWidth="1"/>
    <col min="6" max="6" width="11.00390625" style="165" bestFit="1" customWidth="1"/>
    <col min="7" max="7" width="13.125" style="165" bestFit="1" customWidth="1"/>
    <col min="8" max="8" width="12.25390625" style="165" bestFit="1" customWidth="1"/>
    <col min="9" max="9" width="11.00390625" style="165" bestFit="1" customWidth="1"/>
    <col min="10" max="10" width="13.125" style="165" bestFit="1" customWidth="1"/>
    <col min="11" max="11" width="10.75390625" style="165" customWidth="1"/>
    <col min="12" max="12" width="11.00390625" style="165" bestFit="1" customWidth="1"/>
    <col min="13" max="13" width="13.125" style="165" bestFit="1" customWidth="1"/>
    <col min="14" max="19" width="13.125" style="165" customWidth="1"/>
    <col min="20" max="20" width="3.375" style="165" customWidth="1"/>
    <col min="21" max="21" width="12.25390625" style="165" bestFit="1" customWidth="1"/>
    <col min="22" max="22" width="11.00390625" style="165" bestFit="1" customWidth="1"/>
    <col min="23" max="23" width="13.125" style="165" bestFit="1" customWidth="1"/>
    <col min="24" max="24" width="12.625" style="165" bestFit="1" customWidth="1"/>
    <col min="25" max="25" width="11.625" style="165" customWidth="1"/>
    <col min="26" max="16384" width="19.50390625" style="165" customWidth="1"/>
  </cols>
  <sheetData>
    <row r="1" spans="1:25" s="138" customFormat="1" ht="12.75">
      <c r="A1" s="137" t="s">
        <v>289</v>
      </c>
      <c r="X1" s="138" t="s">
        <v>290</v>
      </c>
      <c r="Y1" s="139">
        <v>38991</v>
      </c>
    </row>
    <row r="2" spans="1:25" s="138" customFormat="1" ht="12.75">
      <c r="A2" s="137" t="s">
        <v>291</v>
      </c>
      <c r="B2" s="140" t="s">
        <v>292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38" t="s">
        <v>293</v>
      </c>
      <c r="Y2" s="139">
        <v>39172</v>
      </c>
    </row>
    <row r="3" spans="1:25" s="138" customFormat="1" ht="12.75">
      <c r="A3" s="137"/>
      <c r="B3" s="142"/>
      <c r="C3" s="142"/>
      <c r="D3" s="143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38" t="s">
        <v>294</v>
      </c>
      <c r="Y3" s="144">
        <f>Y2-Y1+1</f>
        <v>182</v>
      </c>
    </row>
    <row r="4" spans="1:26" s="138" customFormat="1" ht="12.75" customHeight="1">
      <c r="A4" s="145"/>
      <c r="B4" s="211">
        <v>38991</v>
      </c>
      <c r="C4" s="212"/>
      <c r="D4" s="213"/>
      <c r="E4" s="211">
        <v>39022</v>
      </c>
      <c r="F4" s="212"/>
      <c r="G4" s="213"/>
      <c r="H4" s="211">
        <v>39052</v>
      </c>
      <c r="I4" s="212"/>
      <c r="J4" s="213"/>
      <c r="K4" s="214" t="s">
        <v>295</v>
      </c>
      <c r="L4" s="212"/>
      <c r="M4" s="213"/>
      <c r="N4" s="214" t="s">
        <v>296</v>
      </c>
      <c r="O4" s="212"/>
      <c r="P4" s="213"/>
      <c r="Q4" s="214" t="s">
        <v>297</v>
      </c>
      <c r="R4" s="212"/>
      <c r="S4" s="213"/>
      <c r="T4" s="146"/>
      <c r="U4" s="215" t="s">
        <v>298</v>
      </c>
      <c r="V4" s="214"/>
      <c r="W4" s="214"/>
      <c r="X4" s="216"/>
      <c r="Y4" s="147"/>
      <c r="Z4" s="147"/>
    </row>
    <row r="5" spans="1:26" s="138" customFormat="1" ht="12.75">
      <c r="A5" s="145"/>
      <c r="B5" s="142"/>
      <c r="C5" s="142"/>
      <c r="D5" s="143"/>
      <c r="E5" s="142"/>
      <c r="F5" s="142"/>
      <c r="G5" s="143"/>
      <c r="H5" s="142"/>
      <c r="I5" s="142"/>
      <c r="J5" s="143"/>
      <c r="K5" s="142"/>
      <c r="L5" s="142"/>
      <c r="M5" s="143"/>
      <c r="N5" s="142"/>
      <c r="O5" s="142"/>
      <c r="P5" s="143"/>
      <c r="Q5" s="142"/>
      <c r="R5" s="142"/>
      <c r="S5" s="143"/>
      <c r="T5" s="142"/>
      <c r="U5" s="217" t="s">
        <v>299</v>
      </c>
      <c r="V5" s="212"/>
      <c r="W5" s="212"/>
      <c r="X5" s="213"/>
      <c r="Y5" s="147"/>
      <c r="Z5" s="147"/>
    </row>
    <row r="6" spans="1:24" s="145" customFormat="1" ht="25.5">
      <c r="A6" s="148" t="s">
        <v>300</v>
      </c>
      <c r="B6" s="149" t="s">
        <v>301</v>
      </c>
      <c r="C6" s="149" t="s">
        <v>302</v>
      </c>
      <c r="D6" s="150" t="s">
        <v>303</v>
      </c>
      <c r="E6" s="149" t="s">
        <v>301</v>
      </c>
      <c r="F6" s="149" t="s">
        <v>302</v>
      </c>
      <c r="G6" s="150" t="s">
        <v>303</v>
      </c>
      <c r="H6" s="149" t="s">
        <v>301</v>
      </c>
      <c r="I6" s="149" t="s">
        <v>302</v>
      </c>
      <c r="J6" s="150" t="s">
        <v>303</v>
      </c>
      <c r="K6" s="149" t="s">
        <v>301</v>
      </c>
      <c r="L6" s="149" t="s">
        <v>302</v>
      </c>
      <c r="M6" s="150" t="s">
        <v>303</v>
      </c>
      <c r="N6" s="149" t="s">
        <v>301</v>
      </c>
      <c r="O6" s="149" t="s">
        <v>302</v>
      </c>
      <c r="P6" s="150" t="s">
        <v>303</v>
      </c>
      <c r="Q6" s="149" t="s">
        <v>301</v>
      </c>
      <c r="R6" s="149" t="s">
        <v>302</v>
      </c>
      <c r="S6" s="150" t="s">
        <v>303</v>
      </c>
      <c r="T6" s="149"/>
      <c r="U6" s="151" t="s">
        <v>301</v>
      </c>
      <c r="V6" s="149" t="s">
        <v>302</v>
      </c>
      <c r="W6" s="149" t="s">
        <v>303</v>
      </c>
      <c r="X6" s="152" t="s">
        <v>304</v>
      </c>
    </row>
    <row r="7" spans="1:24" s="145" customFormat="1" ht="12.75">
      <c r="A7" s="159"/>
      <c r="B7" s="188"/>
      <c r="C7" s="188"/>
      <c r="D7" s="189"/>
      <c r="E7" s="188"/>
      <c r="F7" s="188"/>
      <c r="G7" s="189"/>
      <c r="H7" s="188"/>
      <c r="I7" s="188"/>
      <c r="J7" s="189"/>
      <c r="K7" s="188"/>
      <c r="L7" s="188"/>
      <c r="M7" s="189"/>
      <c r="N7" s="188"/>
      <c r="O7" s="188"/>
      <c r="P7" s="189"/>
      <c r="Q7" s="188"/>
      <c r="R7" s="188"/>
      <c r="S7" s="189"/>
      <c r="T7" s="188"/>
      <c r="U7" s="190"/>
      <c r="V7" s="188"/>
      <c r="W7" s="188"/>
      <c r="X7" s="152"/>
    </row>
    <row r="8" spans="1:24" s="138" customFormat="1" ht="12.75">
      <c r="A8" s="145" t="s">
        <v>305</v>
      </c>
      <c r="B8" s="153">
        <v>168</v>
      </c>
      <c r="C8" s="153">
        <v>15</v>
      </c>
      <c r="D8" s="154">
        <f>C8/(B8-C8)</f>
        <v>0.09803921568627451</v>
      </c>
      <c r="E8" s="153">
        <v>368</v>
      </c>
      <c r="F8" s="153">
        <v>10</v>
      </c>
      <c r="G8" s="154">
        <f aca="true" t="shared" si="0" ref="G8:G18">F8/(E8-F8)</f>
        <v>0.027932960893854747</v>
      </c>
      <c r="H8" s="153">
        <v>488</v>
      </c>
      <c r="I8" s="153">
        <v>-103</v>
      </c>
      <c r="J8" s="154">
        <f aca="true" t="shared" si="1" ref="J8:J18">I8/(H8-I8)</f>
        <v>-0.17428087986463622</v>
      </c>
      <c r="K8" s="153">
        <v>572</v>
      </c>
      <c r="L8" s="153">
        <v>-108</v>
      </c>
      <c r="M8" s="154">
        <f aca="true" t="shared" si="2" ref="M8:M18">L8/(K8-L8)</f>
        <v>-0.1588235294117647</v>
      </c>
      <c r="N8" s="153">
        <v>577</v>
      </c>
      <c r="O8" s="153">
        <v>74</v>
      </c>
      <c r="P8" s="154">
        <f aca="true" t="shared" si="3" ref="P8:P18">O8/(N8-O8)</f>
        <v>0.147117296222664</v>
      </c>
      <c r="Q8" s="153">
        <v>221</v>
      </c>
      <c r="R8" s="153">
        <v>-125</v>
      </c>
      <c r="S8" s="154">
        <f aca="true" t="shared" si="4" ref="S8:S18">R8/(Q8-R8)</f>
        <v>-0.36127167630057805</v>
      </c>
      <c r="T8" s="155"/>
      <c r="U8" s="156">
        <f aca="true" t="shared" si="5" ref="U8:V27">SUMIF($B$6:$T$6,U$6,$B8:$T8)</f>
        <v>2394</v>
      </c>
      <c r="V8" s="153">
        <f t="shared" si="5"/>
        <v>-237</v>
      </c>
      <c r="W8" s="155">
        <f aca="true" t="shared" si="6" ref="W8:W18">V8/(U8-V8)</f>
        <v>-0.09007981755986318</v>
      </c>
      <c r="X8" s="157">
        <f>65-U8/$Y$3</f>
        <v>51.84615384615385</v>
      </c>
    </row>
    <row r="9" spans="1:24" s="138" customFormat="1" ht="12.75">
      <c r="A9" s="145" t="s">
        <v>306</v>
      </c>
      <c r="B9" s="153">
        <v>829</v>
      </c>
      <c r="C9" s="153">
        <v>-170</v>
      </c>
      <c r="D9" s="154">
        <v>0</v>
      </c>
      <c r="E9" s="153">
        <v>1649</v>
      </c>
      <c r="F9" s="153">
        <v>285</v>
      </c>
      <c r="G9" s="154">
        <f t="shared" si="0"/>
        <v>0.2089442815249267</v>
      </c>
      <c r="H9" s="153">
        <v>1461</v>
      </c>
      <c r="I9" s="153">
        <v>-112</v>
      </c>
      <c r="J9" s="154">
        <f t="shared" si="1"/>
        <v>-0.0712015257469803</v>
      </c>
      <c r="K9" s="153">
        <v>1593</v>
      </c>
      <c r="L9" s="153">
        <v>-50</v>
      </c>
      <c r="M9" s="154">
        <f t="shared" si="2"/>
        <v>-0.030432136335970784</v>
      </c>
      <c r="N9" s="153">
        <v>1413</v>
      </c>
      <c r="O9" s="153">
        <v>15</v>
      </c>
      <c r="P9" s="154">
        <f t="shared" si="3"/>
        <v>0.01072961373390558</v>
      </c>
      <c r="Q9" s="153">
        <v>1656</v>
      </c>
      <c r="R9" s="153">
        <v>349</v>
      </c>
      <c r="S9" s="154">
        <f t="shared" si="4"/>
        <v>0.26702371843917366</v>
      </c>
      <c r="T9" s="155"/>
      <c r="U9" s="156">
        <f t="shared" si="5"/>
        <v>8601</v>
      </c>
      <c r="V9" s="153">
        <f t="shared" si="5"/>
        <v>317</v>
      </c>
      <c r="W9" s="155">
        <f t="shared" si="6"/>
        <v>0.038266537904394014</v>
      </c>
      <c r="X9" s="157">
        <f aca="true" t="shared" si="7" ref="X9:X58">65-U9/$Y$3</f>
        <v>17.74175824175824</v>
      </c>
    </row>
    <row r="10" spans="1:24" s="138" customFormat="1" ht="12.75">
      <c r="A10" s="145" t="s">
        <v>307</v>
      </c>
      <c r="B10" s="153">
        <v>44</v>
      </c>
      <c r="C10" s="153">
        <v>-32</v>
      </c>
      <c r="D10" s="154">
        <f aca="true" t="shared" si="8" ref="D10:D18">C10/(B10-C10)</f>
        <v>-0.42105263157894735</v>
      </c>
      <c r="E10" s="153">
        <v>183</v>
      </c>
      <c r="F10" s="153">
        <v>-107</v>
      </c>
      <c r="G10" s="154">
        <f t="shared" si="0"/>
        <v>-0.3689655172413793</v>
      </c>
      <c r="H10" s="153">
        <v>538</v>
      </c>
      <c r="I10" s="153">
        <v>48</v>
      </c>
      <c r="J10" s="154">
        <f t="shared" si="1"/>
        <v>0.09795918367346938</v>
      </c>
      <c r="K10" s="153">
        <v>589</v>
      </c>
      <c r="L10" s="153">
        <v>97</v>
      </c>
      <c r="M10" s="154">
        <f t="shared" si="2"/>
        <v>0.19715447154471544</v>
      </c>
      <c r="N10" s="153">
        <v>339</v>
      </c>
      <c r="O10" s="153">
        <v>-10</v>
      </c>
      <c r="P10" s="154">
        <f t="shared" si="3"/>
        <v>-0.02865329512893983</v>
      </c>
      <c r="Q10" s="153">
        <v>163</v>
      </c>
      <c r="R10" s="153">
        <v>-112</v>
      </c>
      <c r="S10" s="154">
        <f t="shared" si="4"/>
        <v>-0.4072727272727273</v>
      </c>
      <c r="T10" s="155"/>
      <c r="U10" s="156">
        <f t="shared" si="5"/>
        <v>1856</v>
      </c>
      <c r="V10" s="153">
        <f t="shared" si="5"/>
        <v>-116</v>
      </c>
      <c r="W10" s="155">
        <f t="shared" si="6"/>
        <v>-0.058823529411764705</v>
      </c>
      <c r="X10" s="157">
        <f t="shared" si="7"/>
        <v>54.8021978021978</v>
      </c>
    </row>
    <row r="11" spans="1:24" s="138" customFormat="1" ht="12.75">
      <c r="A11" s="145" t="s">
        <v>308</v>
      </c>
      <c r="B11" s="153">
        <v>223</v>
      </c>
      <c r="C11" s="153">
        <v>50</v>
      </c>
      <c r="D11" s="154">
        <f t="shared" si="8"/>
        <v>0.28901734104046245</v>
      </c>
      <c r="E11" s="153">
        <v>403</v>
      </c>
      <c r="F11" s="153">
        <v>-52</v>
      </c>
      <c r="G11" s="154">
        <f t="shared" si="0"/>
        <v>-0.11428571428571428</v>
      </c>
      <c r="H11" s="153">
        <v>609</v>
      </c>
      <c r="I11" s="153">
        <v>-130</v>
      </c>
      <c r="J11" s="154">
        <f t="shared" si="1"/>
        <v>-0.17591339648173207</v>
      </c>
      <c r="K11" s="153">
        <v>780</v>
      </c>
      <c r="L11" s="153">
        <v>-56</v>
      </c>
      <c r="M11" s="154">
        <f t="shared" si="2"/>
        <v>-0.06698564593301436</v>
      </c>
      <c r="N11" s="153">
        <v>670</v>
      </c>
      <c r="O11" s="153">
        <v>62</v>
      </c>
      <c r="P11" s="154">
        <f t="shared" si="3"/>
        <v>0.10197368421052631</v>
      </c>
      <c r="Q11" s="153">
        <v>231</v>
      </c>
      <c r="R11" s="153">
        <v>-201</v>
      </c>
      <c r="S11" s="154">
        <f t="shared" si="4"/>
        <v>-0.4652777777777778</v>
      </c>
      <c r="T11" s="155"/>
      <c r="U11" s="156">
        <f t="shared" si="5"/>
        <v>2916</v>
      </c>
      <c r="V11" s="153">
        <f t="shared" si="5"/>
        <v>-327</v>
      </c>
      <c r="W11" s="155">
        <f t="shared" si="6"/>
        <v>-0.10083256244218317</v>
      </c>
      <c r="X11" s="157">
        <f t="shared" si="7"/>
        <v>48.97802197802198</v>
      </c>
    </row>
    <row r="12" spans="1:24" s="138" customFormat="1" ht="12.75">
      <c r="A12" s="145" t="s">
        <v>309</v>
      </c>
      <c r="B12" s="153">
        <v>109</v>
      </c>
      <c r="C12" s="153">
        <v>-10</v>
      </c>
      <c r="D12" s="154">
        <f t="shared" si="8"/>
        <v>-0.08403361344537816</v>
      </c>
      <c r="E12" s="153">
        <v>250</v>
      </c>
      <c r="F12" s="153">
        <v>-71</v>
      </c>
      <c r="G12" s="154">
        <f t="shared" si="0"/>
        <v>-0.22118380062305296</v>
      </c>
      <c r="H12" s="153">
        <v>463</v>
      </c>
      <c r="I12" s="153">
        <v>-20</v>
      </c>
      <c r="J12" s="154">
        <f t="shared" si="1"/>
        <v>-0.041407867494824016</v>
      </c>
      <c r="K12" s="153">
        <v>548</v>
      </c>
      <c r="L12" s="153">
        <v>64</v>
      </c>
      <c r="M12" s="154">
        <f t="shared" si="2"/>
        <v>0.1322314049586777</v>
      </c>
      <c r="N12" s="153">
        <v>378</v>
      </c>
      <c r="O12" s="153">
        <v>5</v>
      </c>
      <c r="P12" s="154">
        <f t="shared" si="3"/>
        <v>0.013404825737265416</v>
      </c>
      <c r="Q12" s="153">
        <v>232</v>
      </c>
      <c r="R12" s="153">
        <v>-126</v>
      </c>
      <c r="S12" s="154">
        <f t="shared" si="4"/>
        <v>-0.35195530726256985</v>
      </c>
      <c r="T12" s="155"/>
      <c r="U12" s="156">
        <f t="shared" si="5"/>
        <v>1980</v>
      </c>
      <c r="V12" s="153">
        <f t="shared" si="5"/>
        <v>-158</v>
      </c>
      <c r="W12" s="155">
        <f t="shared" si="6"/>
        <v>-0.07390084190832553</v>
      </c>
      <c r="X12" s="157">
        <f t="shared" si="7"/>
        <v>54.120879120879124</v>
      </c>
    </row>
    <row r="13" spans="1:24" s="138" customFormat="1" ht="12.75">
      <c r="A13" s="145" t="s">
        <v>310</v>
      </c>
      <c r="B13" s="153">
        <v>593</v>
      </c>
      <c r="C13" s="153">
        <v>20</v>
      </c>
      <c r="D13" s="154">
        <f t="shared" si="8"/>
        <v>0.034904013961605584</v>
      </c>
      <c r="E13" s="153">
        <v>828</v>
      </c>
      <c r="F13" s="153">
        <v>-109</v>
      </c>
      <c r="G13" s="154">
        <f t="shared" si="0"/>
        <v>-0.11632870864461047</v>
      </c>
      <c r="H13" s="153">
        <v>1139</v>
      </c>
      <c r="I13" s="153">
        <v>-61</v>
      </c>
      <c r="J13" s="154">
        <f t="shared" si="1"/>
        <v>-0.050833333333333335</v>
      </c>
      <c r="K13" s="153">
        <v>1367</v>
      </c>
      <c r="L13" s="153">
        <v>128</v>
      </c>
      <c r="M13" s="154">
        <f t="shared" si="2"/>
        <v>0.1033091202582728</v>
      </c>
      <c r="N13" s="153">
        <v>1009</v>
      </c>
      <c r="O13" s="153">
        <v>4</v>
      </c>
      <c r="P13" s="154">
        <f t="shared" si="3"/>
        <v>0.003980099502487562</v>
      </c>
      <c r="Q13" s="153">
        <v>713</v>
      </c>
      <c r="R13" s="153">
        <v>-197</v>
      </c>
      <c r="S13" s="154">
        <f t="shared" si="4"/>
        <v>-0.2164835164835165</v>
      </c>
      <c r="T13" s="155"/>
      <c r="U13" s="156">
        <f t="shared" si="5"/>
        <v>5649</v>
      </c>
      <c r="V13" s="153">
        <f t="shared" si="5"/>
        <v>-215</v>
      </c>
      <c r="W13" s="155">
        <f t="shared" si="6"/>
        <v>-0.0366643929058663</v>
      </c>
      <c r="X13" s="157">
        <f t="shared" si="7"/>
        <v>33.96153846153846</v>
      </c>
    </row>
    <row r="14" spans="1:24" s="138" customFormat="1" ht="12.75">
      <c r="A14" s="145" t="s">
        <v>311</v>
      </c>
      <c r="B14" s="153">
        <v>404</v>
      </c>
      <c r="C14" s="153">
        <v>-17</v>
      </c>
      <c r="D14" s="154">
        <f t="shared" si="8"/>
        <v>-0.040380047505938245</v>
      </c>
      <c r="E14" s="153">
        <v>538</v>
      </c>
      <c r="F14" s="153">
        <v>-143</v>
      </c>
      <c r="G14" s="154">
        <f t="shared" si="0"/>
        <v>-0.20998531571218795</v>
      </c>
      <c r="H14" s="153">
        <v>795</v>
      </c>
      <c r="I14" s="153">
        <v>-223</v>
      </c>
      <c r="J14" s="154">
        <f t="shared" si="1"/>
        <v>-0.21905697445972494</v>
      </c>
      <c r="K14" s="153">
        <v>997</v>
      </c>
      <c r="L14" s="153">
        <v>-180</v>
      </c>
      <c r="M14" s="154">
        <f t="shared" si="2"/>
        <v>-0.15293118096856415</v>
      </c>
      <c r="N14" s="153">
        <v>1134</v>
      </c>
      <c r="O14" s="153">
        <v>137</v>
      </c>
      <c r="P14" s="154">
        <f t="shared" si="3"/>
        <v>0.1374122367101304</v>
      </c>
      <c r="Q14" s="153">
        <v>881</v>
      </c>
      <c r="R14" s="153">
        <v>35</v>
      </c>
      <c r="S14" s="154">
        <f t="shared" si="4"/>
        <v>0.041371158392434985</v>
      </c>
      <c r="T14" s="155"/>
      <c r="U14" s="156">
        <f t="shared" si="5"/>
        <v>4749</v>
      </c>
      <c r="V14" s="153">
        <f t="shared" si="5"/>
        <v>-391</v>
      </c>
      <c r="W14" s="155">
        <f t="shared" si="6"/>
        <v>-0.07607003891050583</v>
      </c>
      <c r="X14" s="157">
        <f t="shared" si="7"/>
        <v>38.9065934065934</v>
      </c>
    </row>
    <row r="15" spans="1:24" s="138" customFormat="1" ht="12.75">
      <c r="A15" s="145" t="s">
        <v>312</v>
      </c>
      <c r="B15" s="153">
        <v>283</v>
      </c>
      <c r="C15" s="153">
        <v>-2</v>
      </c>
      <c r="D15" s="154">
        <f t="shared" si="8"/>
        <v>-0.007017543859649123</v>
      </c>
      <c r="E15" s="153">
        <v>446</v>
      </c>
      <c r="F15" s="153">
        <v>-106</v>
      </c>
      <c r="G15" s="154">
        <f t="shared" si="0"/>
        <v>-0.19202898550724637</v>
      </c>
      <c r="H15" s="153">
        <v>676</v>
      </c>
      <c r="I15" s="153">
        <v>-174</v>
      </c>
      <c r="J15" s="154">
        <f t="shared" si="1"/>
        <v>-0.20470588235294118</v>
      </c>
      <c r="K15" s="153">
        <v>790</v>
      </c>
      <c r="L15" s="153">
        <v>-206</v>
      </c>
      <c r="M15" s="154">
        <f t="shared" si="2"/>
        <v>-0.20682730923694778</v>
      </c>
      <c r="N15" s="153">
        <v>1030</v>
      </c>
      <c r="O15" s="153">
        <v>194</v>
      </c>
      <c r="P15" s="154">
        <f t="shared" si="3"/>
        <v>0.23205741626794257</v>
      </c>
      <c r="Q15" s="153">
        <v>643</v>
      </c>
      <c r="R15" s="153">
        <v>-27</v>
      </c>
      <c r="S15" s="154">
        <f t="shared" si="4"/>
        <v>-0.04029850746268657</v>
      </c>
      <c r="T15" s="155"/>
      <c r="U15" s="156">
        <f t="shared" si="5"/>
        <v>3868</v>
      </c>
      <c r="V15" s="153">
        <f t="shared" si="5"/>
        <v>-321</v>
      </c>
      <c r="W15" s="155">
        <f t="shared" si="6"/>
        <v>-0.07662926712819289</v>
      </c>
      <c r="X15" s="157">
        <f t="shared" si="7"/>
        <v>43.747252747252745</v>
      </c>
    </row>
    <row r="16" spans="1:24" s="138" customFormat="1" ht="12.75">
      <c r="A16" s="145" t="s">
        <v>313</v>
      </c>
      <c r="B16" s="153">
        <v>251</v>
      </c>
      <c r="C16" s="153">
        <v>46</v>
      </c>
      <c r="D16" s="154">
        <f t="shared" si="8"/>
        <v>0.22439024390243903</v>
      </c>
      <c r="E16" s="153">
        <v>424</v>
      </c>
      <c r="F16" s="153">
        <v>-53</v>
      </c>
      <c r="G16" s="154">
        <f t="shared" si="0"/>
        <v>-0.1111111111111111</v>
      </c>
      <c r="H16" s="153">
        <v>642</v>
      </c>
      <c r="I16" s="153">
        <v>-133</v>
      </c>
      <c r="J16" s="154">
        <f t="shared" si="1"/>
        <v>-0.17161290322580644</v>
      </c>
      <c r="K16" s="153">
        <v>748</v>
      </c>
      <c r="L16" s="153">
        <v>-169</v>
      </c>
      <c r="M16" s="154">
        <f t="shared" si="2"/>
        <v>-0.18429661941112324</v>
      </c>
      <c r="N16" s="153">
        <v>950</v>
      </c>
      <c r="O16" s="153">
        <v>208</v>
      </c>
      <c r="P16" s="154">
        <f t="shared" si="3"/>
        <v>0.2803234501347709</v>
      </c>
      <c r="Q16" s="153">
        <v>538</v>
      </c>
      <c r="R16" s="153">
        <v>-25</v>
      </c>
      <c r="S16" s="154">
        <f t="shared" si="4"/>
        <v>-0.04440497335701599</v>
      </c>
      <c r="T16" s="155"/>
      <c r="U16" s="156">
        <f t="shared" si="5"/>
        <v>3553</v>
      </c>
      <c r="V16" s="153">
        <f t="shared" si="5"/>
        <v>-126</v>
      </c>
      <c r="W16" s="155">
        <f t="shared" si="6"/>
        <v>-0.034248437075292196</v>
      </c>
      <c r="X16" s="157">
        <f t="shared" si="7"/>
        <v>45.47802197802198</v>
      </c>
    </row>
    <row r="17" spans="1:24" s="138" customFormat="1" ht="12.75">
      <c r="A17" s="145" t="s">
        <v>314</v>
      </c>
      <c r="B17" s="153">
        <v>16</v>
      </c>
      <c r="C17" s="153">
        <v>6</v>
      </c>
      <c r="D17" s="154">
        <f t="shared" si="8"/>
        <v>0.6</v>
      </c>
      <c r="E17" s="153">
        <v>95</v>
      </c>
      <c r="F17" s="153">
        <v>35</v>
      </c>
      <c r="G17" s="154">
        <f t="shared" si="0"/>
        <v>0.5833333333333334</v>
      </c>
      <c r="H17" s="153">
        <v>67</v>
      </c>
      <c r="I17" s="153">
        <v>-93</v>
      </c>
      <c r="J17" s="154">
        <f t="shared" si="1"/>
        <v>-0.58125</v>
      </c>
      <c r="K17" s="153">
        <v>120</v>
      </c>
      <c r="L17" s="153">
        <v>-93</v>
      </c>
      <c r="M17" s="154">
        <f t="shared" si="2"/>
        <v>-0.43661971830985913</v>
      </c>
      <c r="N17" s="153">
        <v>167</v>
      </c>
      <c r="O17" s="153">
        <v>13</v>
      </c>
      <c r="P17" s="154">
        <f t="shared" si="3"/>
        <v>0.08441558441558442</v>
      </c>
      <c r="Q17" s="153">
        <v>56</v>
      </c>
      <c r="R17" s="153">
        <v>-22</v>
      </c>
      <c r="S17" s="154">
        <f t="shared" si="4"/>
        <v>-0.28205128205128205</v>
      </c>
      <c r="T17" s="155"/>
      <c r="U17" s="156">
        <f t="shared" si="5"/>
        <v>521</v>
      </c>
      <c r="V17" s="153">
        <f t="shared" si="5"/>
        <v>-154</v>
      </c>
      <c r="W17" s="155">
        <f t="shared" si="6"/>
        <v>-0.22814814814814816</v>
      </c>
      <c r="X17" s="157">
        <f t="shared" si="7"/>
        <v>62.137362637362635</v>
      </c>
    </row>
    <row r="18" spans="1:24" s="138" customFormat="1" ht="12.75">
      <c r="A18" s="145" t="s">
        <v>315</v>
      </c>
      <c r="B18" s="153">
        <v>193</v>
      </c>
      <c r="C18" s="153">
        <v>39</v>
      </c>
      <c r="D18" s="154">
        <f t="shared" si="8"/>
        <v>0.2532467532467532</v>
      </c>
      <c r="E18" s="153">
        <v>377</v>
      </c>
      <c r="F18" s="153">
        <v>19</v>
      </c>
      <c r="G18" s="154">
        <f t="shared" si="0"/>
        <v>0.05307262569832402</v>
      </c>
      <c r="H18" s="153">
        <v>477</v>
      </c>
      <c r="I18" s="153">
        <v>-121</v>
      </c>
      <c r="J18" s="154">
        <f t="shared" si="1"/>
        <v>-0.20234113712374582</v>
      </c>
      <c r="K18" s="153">
        <v>566</v>
      </c>
      <c r="L18" s="153">
        <v>-114</v>
      </c>
      <c r="M18" s="154">
        <f t="shared" si="2"/>
        <v>-0.1676470588235294</v>
      </c>
      <c r="N18" s="153">
        <v>583</v>
      </c>
      <c r="O18" s="153">
        <v>72</v>
      </c>
      <c r="P18" s="154">
        <f t="shared" si="3"/>
        <v>0.14090019569471623</v>
      </c>
      <c r="Q18" s="153">
        <v>249</v>
      </c>
      <c r="R18" s="153">
        <v>-109</v>
      </c>
      <c r="S18" s="154">
        <f t="shared" si="4"/>
        <v>-0.30446927374301674</v>
      </c>
      <c r="T18" s="155"/>
      <c r="U18" s="156">
        <f t="shared" si="5"/>
        <v>2445</v>
      </c>
      <c r="V18" s="153">
        <f t="shared" si="5"/>
        <v>-214</v>
      </c>
      <c r="W18" s="155">
        <f t="shared" si="6"/>
        <v>-0.08048138397893945</v>
      </c>
      <c r="X18" s="157">
        <f t="shared" si="7"/>
        <v>51.565934065934066</v>
      </c>
    </row>
    <row r="19" spans="1:24" s="138" customFormat="1" ht="12.75">
      <c r="A19" s="145" t="s">
        <v>316</v>
      </c>
      <c r="B19" s="153">
        <v>0</v>
      </c>
      <c r="C19" s="153">
        <v>0</v>
      </c>
      <c r="D19" s="154">
        <v>0</v>
      </c>
      <c r="E19" s="153">
        <v>0</v>
      </c>
      <c r="F19" s="153">
        <v>0</v>
      </c>
      <c r="G19" s="154">
        <v>0</v>
      </c>
      <c r="H19" s="153">
        <v>0</v>
      </c>
      <c r="I19" s="153">
        <v>0</v>
      </c>
      <c r="J19" s="154">
        <v>0</v>
      </c>
      <c r="K19" s="153">
        <v>0</v>
      </c>
      <c r="L19" s="153">
        <v>0</v>
      </c>
      <c r="M19" s="154">
        <v>0</v>
      </c>
      <c r="N19" s="153">
        <v>0</v>
      </c>
      <c r="O19" s="153">
        <v>0</v>
      </c>
      <c r="P19" s="154">
        <v>0</v>
      </c>
      <c r="Q19" s="153">
        <v>0</v>
      </c>
      <c r="R19" s="153">
        <v>0</v>
      </c>
      <c r="S19" s="154">
        <v>0</v>
      </c>
      <c r="T19" s="155"/>
      <c r="U19" s="156">
        <f t="shared" si="5"/>
        <v>0</v>
      </c>
      <c r="V19" s="153">
        <f t="shared" si="5"/>
        <v>0</v>
      </c>
      <c r="W19" s="155">
        <v>0</v>
      </c>
      <c r="X19" s="157">
        <f t="shared" si="7"/>
        <v>65</v>
      </c>
    </row>
    <row r="20" spans="1:24" s="138" customFormat="1" ht="12.75">
      <c r="A20" s="145" t="s">
        <v>317</v>
      </c>
      <c r="B20" s="153">
        <v>575</v>
      </c>
      <c r="C20" s="153">
        <v>43</v>
      </c>
      <c r="D20" s="154">
        <f aca="true" t="shared" si="9" ref="D20:D58">C20/(B20-C20)</f>
        <v>0.08082706766917293</v>
      </c>
      <c r="E20" s="153">
        <v>843</v>
      </c>
      <c r="F20" s="153">
        <v>-48</v>
      </c>
      <c r="G20" s="154">
        <f aca="true" t="shared" si="10" ref="G20:G58">F20/(E20-F20)</f>
        <v>-0.05387205387205387</v>
      </c>
      <c r="H20" s="153">
        <v>1158</v>
      </c>
      <c r="I20" s="153">
        <v>-30</v>
      </c>
      <c r="J20" s="154">
        <f aca="true" t="shared" si="11" ref="J20:J58">I20/(H20-I20)</f>
        <v>-0.025252525252525252</v>
      </c>
      <c r="K20" s="153">
        <v>1288</v>
      </c>
      <c r="L20" s="153">
        <v>76</v>
      </c>
      <c r="M20" s="154">
        <f aca="true" t="shared" si="12" ref="M20:M58">L20/(K20-L20)</f>
        <v>0.0627062706270627</v>
      </c>
      <c r="N20" s="153">
        <v>868</v>
      </c>
      <c r="O20" s="153">
        <v>-73</v>
      </c>
      <c r="P20" s="154">
        <f aca="true" t="shared" si="13" ref="P20:P58">O20/(N20-O20)</f>
        <v>-0.077577045696068</v>
      </c>
      <c r="Q20" s="153">
        <v>697</v>
      </c>
      <c r="R20" s="153">
        <v>-103</v>
      </c>
      <c r="S20" s="154">
        <f aca="true" t="shared" si="14" ref="S20:S58">R20/(Q20-R20)</f>
        <v>-0.12875</v>
      </c>
      <c r="T20" s="155"/>
      <c r="U20" s="156">
        <f t="shared" si="5"/>
        <v>5429</v>
      </c>
      <c r="V20" s="153">
        <f t="shared" si="5"/>
        <v>-135</v>
      </c>
      <c r="W20" s="155">
        <f aca="true" t="shared" si="15" ref="W20:W58">V20/(U20-V20)</f>
        <v>-0.02426312005751258</v>
      </c>
      <c r="X20" s="157">
        <f t="shared" si="7"/>
        <v>35.17032967032967</v>
      </c>
    </row>
    <row r="21" spans="1:24" s="138" customFormat="1" ht="12.75">
      <c r="A21" s="145" t="s">
        <v>318</v>
      </c>
      <c r="B21" s="153">
        <v>486</v>
      </c>
      <c r="C21" s="153">
        <v>91</v>
      </c>
      <c r="D21" s="154">
        <f t="shared" si="9"/>
        <v>0.23037974683544304</v>
      </c>
      <c r="E21" s="153">
        <v>655</v>
      </c>
      <c r="F21" s="153">
        <v>-98</v>
      </c>
      <c r="G21" s="154">
        <f t="shared" si="10"/>
        <v>-0.1301460823373174</v>
      </c>
      <c r="H21" s="153">
        <v>968</v>
      </c>
      <c r="I21" s="153">
        <v>-186</v>
      </c>
      <c r="J21" s="154">
        <f t="shared" si="11"/>
        <v>-0.1611785095320624</v>
      </c>
      <c r="K21" s="153">
        <v>1144</v>
      </c>
      <c r="L21" s="153">
        <v>-181</v>
      </c>
      <c r="M21" s="154">
        <f t="shared" si="12"/>
        <v>-0.13660377358490566</v>
      </c>
      <c r="N21" s="153">
        <v>1317</v>
      </c>
      <c r="O21" s="153">
        <v>272</v>
      </c>
      <c r="P21" s="154">
        <f t="shared" si="13"/>
        <v>0.2602870813397129</v>
      </c>
      <c r="Q21" s="153">
        <v>662</v>
      </c>
      <c r="R21" s="153">
        <v>-168</v>
      </c>
      <c r="S21" s="154">
        <f t="shared" si="14"/>
        <v>-0.20240963855421687</v>
      </c>
      <c r="T21" s="155"/>
      <c r="U21" s="156">
        <f t="shared" si="5"/>
        <v>5232</v>
      </c>
      <c r="V21" s="153">
        <f t="shared" si="5"/>
        <v>-270</v>
      </c>
      <c r="W21" s="155">
        <f t="shared" si="15"/>
        <v>-0.04907306434023991</v>
      </c>
      <c r="X21" s="157">
        <f t="shared" si="7"/>
        <v>36.252747252747255</v>
      </c>
    </row>
    <row r="22" spans="1:24" s="138" customFormat="1" ht="12.75">
      <c r="A22" s="145" t="s">
        <v>319</v>
      </c>
      <c r="B22" s="153">
        <v>443</v>
      </c>
      <c r="C22" s="153">
        <v>67</v>
      </c>
      <c r="D22" s="154">
        <f t="shared" si="9"/>
        <v>0.17819148936170212</v>
      </c>
      <c r="E22" s="153">
        <v>617</v>
      </c>
      <c r="F22" s="153">
        <v>-75</v>
      </c>
      <c r="G22" s="154">
        <f t="shared" si="10"/>
        <v>-0.10838150289017341</v>
      </c>
      <c r="H22" s="153">
        <v>848</v>
      </c>
      <c r="I22" s="153">
        <v>-218</v>
      </c>
      <c r="J22" s="154">
        <f t="shared" si="11"/>
        <v>-0.2045028142589118</v>
      </c>
      <c r="K22" s="153">
        <v>1023</v>
      </c>
      <c r="L22" s="153">
        <v>-204</v>
      </c>
      <c r="M22" s="154">
        <f t="shared" si="12"/>
        <v>-0.16625916870415647</v>
      </c>
      <c r="N22" s="153">
        <v>1279</v>
      </c>
      <c r="O22" s="153">
        <v>297</v>
      </c>
      <c r="P22" s="154">
        <f t="shared" si="13"/>
        <v>0.3024439918533605</v>
      </c>
      <c r="Q22" s="153">
        <v>605</v>
      </c>
      <c r="R22" s="153">
        <v>-166</v>
      </c>
      <c r="S22" s="154">
        <f t="shared" si="14"/>
        <v>-0.21530479896238652</v>
      </c>
      <c r="T22" s="155"/>
      <c r="U22" s="156">
        <f t="shared" si="5"/>
        <v>4815</v>
      </c>
      <c r="V22" s="153">
        <f t="shared" si="5"/>
        <v>-299</v>
      </c>
      <c r="W22" s="155">
        <f t="shared" si="15"/>
        <v>-0.05846695346108721</v>
      </c>
      <c r="X22" s="157">
        <f t="shared" si="7"/>
        <v>38.543956043956044</v>
      </c>
    </row>
    <row r="23" spans="1:24" s="138" customFormat="1" ht="12.75">
      <c r="A23" s="145" t="s">
        <v>320</v>
      </c>
      <c r="B23" s="153">
        <v>560</v>
      </c>
      <c r="C23" s="153">
        <v>115</v>
      </c>
      <c r="D23" s="154">
        <f t="shared" si="9"/>
        <v>0.25842696629213485</v>
      </c>
      <c r="E23" s="153">
        <v>767</v>
      </c>
      <c r="F23" s="153">
        <v>-109</v>
      </c>
      <c r="G23" s="154">
        <f t="shared" si="10"/>
        <v>-0.12442922374429223</v>
      </c>
      <c r="H23" s="153">
        <v>1034</v>
      </c>
      <c r="I23" s="153">
        <v>-274</v>
      </c>
      <c r="J23" s="154">
        <f t="shared" si="11"/>
        <v>-0.20948012232415902</v>
      </c>
      <c r="K23" s="153">
        <v>1339</v>
      </c>
      <c r="L23" s="153">
        <v>-122</v>
      </c>
      <c r="M23" s="154">
        <f t="shared" si="12"/>
        <v>-0.08350444900752908</v>
      </c>
      <c r="N23" s="153">
        <v>1399</v>
      </c>
      <c r="O23" s="153">
        <v>256</v>
      </c>
      <c r="P23" s="154">
        <f t="shared" si="13"/>
        <v>0.22397200349956256</v>
      </c>
      <c r="Q23" s="153">
        <v>749</v>
      </c>
      <c r="R23" s="153">
        <v>-151</v>
      </c>
      <c r="S23" s="154">
        <f t="shared" si="14"/>
        <v>-0.16777777777777778</v>
      </c>
      <c r="T23" s="155"/>
      <c r="U23" s="156">
        <f t="shared" si="5"/>
        <v>5848</v>
      </c>
      <c r="V23" s="153">
        <f t="shared" si="5"/>
        <v>-285</v>
      </c>
      <c r="W23" s="155">
        <f t="shared" si="15"/>
        <v>-0.0464699168433067</v>
      </c>
      <c r="X23" s="157">
        <f t="shared" si="7"/>
        <v>32.86813186813187</v>
      </c>
    </row>
    <row r="24" spans="1:24" s="138" customFormat="1" ht="12.75">
      <c r="A24" s="145" t="s">
        <v>321</v>
      </c>
      <c r="B24" s="153">
        <v>364</v>
      </c>
      <c r="C24" s="153">
        <v>88</v>
      </c>
      <c r="D24" s="154">
        <f t="shared" si="9"/>
        <v>0.3188405797101449</v>
      </c>
      <c r="E24" s="153">
        <v>592</v>
      </c>
      <c r="F24" s="153">
        <v>-73</v>
      </c>
      <c r="G24" s="154">
        <f t="shared" si="10"/>
        <v>-0.10977443609022557</v>
      </c>
      <c r="H24" s="153">
        <v>860</v>
      </c>
      <c r="I24" s="153">
        <v>-154</v>
      </c>
      <c r="J24" s="154">
        <f t="shared" si="11"/>
        <v>-0.15187376725838264</v>
      </c>
      <c r="K24" s="153">
        <v>1130</v>
      </c>
      <c r="L24" s="153">
        <v>5</v>
      </c>
      <c r="M24" s="154">
        <f t="shared" si="12"/>
        <v>0.0044444444444444444</v>
      </c>
      <c r="N24" s="153">
        <v>968</v>
      </c>
      <c r="O24" s="153">
        <v>117</v>
      </c>
      <c r="P24" s="154">
        <f t="shared" si="13"/>
        <v>0.13748531139835488</v>
      </c>
      <c r="Q24" s="153">
        <v>414</v>
      </c>
      <c r="R24" s="153">
        <v>-227</v>
      </c>
      <c r="S24" s="154">
        <f t="shared" si="14"/>
        <v>-0.3541341653666147</v>
      </c>
      <c r="T24" s="155"/>
      <c r="U24" s="156">
        <f t="shared" si="5"/>
        <v>4328</v>
      </c>
      <c r="V24" s="153">
        <f t="shared" si="5"/>
        <v>-244</v>
      </c>
      <c r="W24" s="155">
        <f t="shared" si="15"/>
        <v>-0.05336832895888014</v>
      </c>
      <c r="X24" s="157">
        <f t="shared" si="7"/>
        <v>41.21978021978022</v>
      </c>
    </row>
    <row r="25" spans="1:24" s="138" customFormat="1" ht="12.75">
      <c r="A25" s="145" t="s">
        <v>322</v>
      </c>
      <c r="B25" s="153">
        <v>329</v>
      </c>
      <c r="C25" s="153">
        <v>42</v>
      </c>
      <c r="D25" s="154">
        <f t="shared" si="9"/>
        <v>0.14634146341463414</v>
      </c>
      <c r="E25" s="153">
        <v>529</v>
      </c>
      <c r="F25" s="153">
        <v>-34</v>
      </c>
      <c r="G25" s="154">
        <f t="shared" si="10"/>
        <v>-0.06039076376554174</v>
      </c>
      <c r="H25" s="153">
        <v>709</v>
      </c>
      <c r="I25" s="153">
        <v>-160</v>
      </c>
      <c r="J25" s="154">
        <f t="shared" si="11"/>
        <v>-0.18411967779056387</v>
      </c>
      <c r="K25" s="153">
        <v>833</v>
      </c>
      <c r="L25" s="153">
        <v>-170</v>
      </c>
      <c r="M25" s="154">
        <f t="shared" si="12"/>
        <v>-0.1694915254237288</v>
      </c>
      <c r="N25" s="153">
        <v>1009</v>
      </c>
      <c r="O25" s="153">
        <v>225</v>
      </c>
      <c r="P25" s="154">
        <f t="shared" si="13"/>
        <v>0.2869897959183674</v>
      </c>
      <c r="Q25" s="153">
        <v>390</v>
      </c>
      <c r="R25" s="153">
        <v>-206</v>
      </c>
      <c r="S25" s="154">
        <f t="shared" si="14"/>
        <v>-0.34563758389261745</v>
      </c>
      <c r="T25" s="155"/>
      <c r="U25" s="156">
        <f t="shared" si="5"/>
        <v>3799</v>
      </c>
      <c r="V25" s="153">
        <f t="shared" si="5"/>
        <v>-303</v>
      </c>
      <c r="W25" s="155">
        <f t="shared" si="15"/>
        <v>-0.07386640663091175</v>
      </c>
      <c r="X25" s="157">
        <f t="shared" si="7"/>
        <v>44.12637362637363</v>
      </c>
    </row>
    <row r="26" spans="1:24" s="138" customFormat="1" ht="12.75">
      <c r="A26" s="145" t="s">
        <v>323</v>
      </c>
      <c r="B26" s="153">
        <v>65</v>
      </c>
      <c r="C26" s="153">
        <v>2</v>
      </c>
      <c r="D26" s="154">
        <f t="shared" si="9"/>
        <v>0.031746031746031744</v>
      </c>
      <c r="E26" s="153">
        <v>247</v>
      </c>
      <c r="F26" s="153">
        <v>29</v>
      </c>
      <c r="G26" s="154">
        <f t="shared" si="10"/>
        <v>0.13302752293577982</v>
      </c>
      <c r="H26" s="153">
        <v>389</v>
      </c>
      <c r="I26" s="153">
        <v>-20</v>
      </c>
      <c r="J26" s="154">
        <f t="shared" si="11"/>
        <v>-0.0488997555012225</v>
      </c>
      <c r="K26" s="153">
        <v>458</v>
      </c>
      <c r="L26" s="153">
        <v>-31</v>
      </c>
      <c r="M26" s="154">
        <f t="shared" si="12"/>
        <v>-0.06339468302658487</v>
      </c>
      <c r="N26" s="153">
        <v>399</v>
      </c>
      <c r="O26" s="153">
        <v>62</v>
      </c>
      <c r="P26" s="154">
        <f t="shared" si="13"/>
        <v>0.18397626112759644</v>
      </c>
      <c r="Q26" s="153">
        <v>148</v>
      </c>
      <c r="R26" s="153">
        <v>-54</v>
      </c>
      <c r="S26" s="154">
        <f t="shared" si="14"/>
        <v>-0.26732673267326734</v>
      </c>
      <c r="T26" s="155"/>
      <c r="U26" s="156">
        <f t="shared" si="5"/>
        <v>1706</v>
      </c>
      <c r="V26" s="153">
        <f t="shared" si="5"/>
        <v>-12</v>
      </c>
      <c r="W26" s="155">
        <f t="shared" si="15"/>
        <v>-0.006984866123399301</v>
      </c>
      <c r="X26" s="157">
        <f t="shared" si="7"/>
        <v>55.62637362637363</v>
      </c>
    </row>
    <row r="27" spans="1:24" s="138" customFormat="1" ht="12.75">
      <c r="A27" s="145" t="s">
        <v>324</v>
      </c>
      <c r="B27" s="153">
        <v>566</v>
      </c>
      <c r="C27" s="153">
        <v>-13</v>
      </c>
      <c r="D27" s="154">
        <f t="shared" si="9"/>
        <v>-0.022452504317789293</v>
      </c>
      <c r="E27" s="153">
        <v>726</v>
      </c>
      <c r="F27" s="153">
        <v>-134</v>
      </c>
      <c r="G27" s="154">
        <f t="shared" si="10"/>
        <v>-0.1558139534883721</v>
      </c>
      <c r="H27" s="153">
        <v>1081</v>
      </c>
      <c r="I27" s="153">
        <v>-179</v>
      </c>
      <c r="J27" s="154">
        <f t="shared" si="11"/>
        <v>-0.14206349206349206</v>
      </c>
      <c r="K27" s="153">
        <v>1388</v>
      </c>
      <c r="L27" s="153">
        <v>-68</v>
      </c>
      <c r="M27" s="154">
        <f t="shared" si="12"/>
        <v>-0.046703296703296704</v>
      </c>
      <c r="N27" s="153">
        <v>1406</v>
      </c>
      <c r="O27" s="153">
        <v>172</v>
      </c>
      <c r="P27" s="154">
        <f t="shared" si="13"/>
        <v>0.1393841166936791</v>
      </c>
      <c r="Q27" s="153">
        <v>1139</v>
      </c>
      <c r="R27" s="153">
        <v>68</v>
      </c>
      <c r="S27" s="154">
        <f t="shared" si="14"/>
        <v>0.06349206349206349</v>
      </c>
      <c r="T27" s="155"/>
      <c r="U27" s="156">
        <f t="shared" si="5"/>
        <v>6306</v>
      </c>
      <c r="V27" s="153">
        <f t="shared" si="5"/>
        <v>-154</v>
      </c>
      <c r="W27" s="155">
        <f t="shared" si="15"/>
        <v>-0.023839009287925695</v>
      </c>
      <c r="X27" s="157">
        <f t="shared" si="7"/>
        <v>30.35164835164835</v>
      </c>
    </row>
    <row r="28" spans="1:24" s="138" customFormat="1" ht="12.75">
      <c r="A28" s="145" t="s">
        <v>325</v>
      </c>
      <c r="B28" s="153">
        <v>303</v>
      </c>
      <c r="C28" s="153">
        <v>0</v>
      </c>
      <c r="D28" s="154">
        <f t="shared" si="9"/>
        <v>0</v>
      </c>
      <c r="E28" s="153">
        <v>481</v>
      </c>
      <c r="F28" s="153">
        <v>-98</v>
      </c>
      <c r="G28" s="154">
        <f t="shared" si="10"/>
        <v>-0.1692573402417962</v>
      </c>
      <c r="H28" s="153">
        <v>692</v>
      </c>
      <c r="I28" s="153">
        <v>-187</v>
      </c>
      <c r="J28" s="154">
        <f t="shared" si="11"/>
        <v>-0.21274175199089876</v>
      </c>
      <c r="K28" s="153">
        <v>816</v>
      </c>
      <c r="L28" s="153">
        <v>-203</v>
      </c>
      <c r="M28" s="154">
        <f t="shared" si="12"/>
        <v>-0.19921491658488713</v>
      </c>
      <c r="N28" s="153">
        <v>1044</v>
      </c>
      <c r="O28" s="153">
        <v>204</v>
      </c>
      <c r="P28" s="154">
        <f t="shared" si="13"/>
        <v>0.24285714285714285</v>
      </c>
      <c r="Q28" s="153">
        <v>631</v>
      </c>
      <c r="R28" s="153">
        <v>-38</v>
      </c>
      <c r="S28" s="154">
        <f t="shared" si="14"/>
        <v>-0.05680119581464873</v>
      </c>
      <c r="T28" s="155"/>
      <c r="U28" s="156">
        <f aca="true" t="shared" si="16" ref="U28:V47">SUMIF($B$6:$T$6,U$6,$B28:$T28)</f>
        <v>3967</v>
      </c>
      <c r="V28" s="153">
        <f t="shared" si="16"/>
        <v>-322</v>
      </c>
      <c r="W28" s="155">
        <f t="shared" si="15"/>
        <v>-0.07507577523898344</v>
      </c>
      <c r="X28" s="157">
        <f t="shared" si="7"/>
        <v>43.2032967032967</v>
      </c>
    </row>
    <row r="29" spans="1:24" s="138" customFormat="1" ht="12.75">
      <c r="A29" s="145" t="s">
        <v>326</v>
      </c>
      <c r="B29" s="153">
        <v>450</v>
      </c>
      <c r="C29" s="153">
        <v>0</v>
      </c>
      <c r="D29" s="154">
        <f t="shared" si="9"/>
        <v>0</v>
      </c>
      <c r="E29" s="153">
        <v>565</v>
      </c>
      <c r="F29" s="153">
        <v>-138</v>
      </c>
      <c r="G29" s="154">
        <f t="shared" si="10"/>
        <v>-0.19630156472261737</v>
      </c>
      <c r="H29" s="153">
        <v>847</v>
      </c>
      <c r="I29" s="153">
        <v>-198</v>
      </c>
      <c r="J29" s="154">
        <f t="shared" si="11"/>
        <v>-0.18947368421052632</v>
      </c>
      <c r="K29" s="153">
        <v>1069</v>
      </c>
      <c r="L29" s="153">
        <v>-140</v>
      </c>
      <c r="M29" s="154">
        <f t="shared" si="12"/>
        <v>-0.11579818031430934</v>
      </c>
      <c r="N29" s="153">
        <v>1177</v>
      </c>
      <c r="O29" s="153">
        <v>146</v>
      </c>
      <c r="P29" s="154">
        <f t="shared" si="13"/>
        <v>0.14161008729388944</v>
      </c>
      <c r="Q29" s="153">
        <v>919</v>
      </c>
      <c r="R29" s="153">
        <v>28</v>
      </c>
      <c r="S29" s="154">
        <f t="shared" si="14"/>
        <v>0.031425364758698095</v>
      </c>
      <c r="T29" s="155"/>
      <c r="U29" s="156">
        <f t="shared" si="16"/>
        <v>5027</v>
      </c>
      <c r="V29" s="153">
        <f t="shared" si="16"/>
        <v>-302</v>
      </c>
      <c r="W29" s="155">
        <f t="shared" si="15"/>
        <v>-0.056671045224244695</v>
      </c>
      <c r="X29" s="157">
        <f t="shared" si="7"/>
        <v>37.379120879120876</v>
      </c>
    </row>
    <row r="30" spans="1:24" s="138" customFormat="1" ht="12.75">
      <c r="A30" s="145" t="s">
        <v>327</v>
      </c>
      <c r="B30" s="153">
        <v>545</v>
      </c>
      <c r="C30" s="153">
        <v>75</v>
      </c>
      <c r="D30" s="154">
        <f t="shared" si="9"/>
        <v>0.1595744680851064</v>
      </c>
      <c r="E30" s="153">
        <v>712</v>
      </c>
      <c r="F30" s="153">
        <v>-82</v>
      </c>
      <c r="G30" s="154">
        <f t="shared" si="10"/>
        <v>-0.10327455919395466</v>
      </c>
      <c r="H30" s="153">
        <v>926</v>
      </c>
      <c r="I30" s="153">
        <v>-232</v>
      </c>
      <c r="J30" s="154">
        <f t="shared" si="11"/>
        <v>-0.2003454231433506</v>
      </c>
      <c r="K30" s="153">
        <v>1166</v>
      </c>
      <c r="L30" s="153">
        <v>-159</v>
      </c>
      <c r="M30" s="154">
        <f t="shared" si="12"/>
        <v>-0.12</v>
      </c>
      <c r="N30" s="153">
        <v>1325</v>
      </c>
      <c r="O30" s="153">
        <v>200</v>
      </c>
      <c r="P30" s="154">
        <f t="shared" si="13"/>
        <v>0.17777777777777778</v>
      </c>
      <c r="Q30" s="153">
        <v>847</v>
      </c>
      <c r="R30" s="153">
        <v>-104</v>
      </c>
      <c r="S30" s="154">
        <f t="shared" si="14"/>
        <v>-0.10935856992639327</v>
      </c>
      <c r="T30" s="155"/>
      <c r="U30" s="156">
        <f t="shared" si="16"/>
        <v>5521</v>
      </c>
      <c r="V30" s="153">
        <f t="shared" si="16"/>
        <v>-302</v>
      </c>
      <c r="W30" s="155">
        <f t="shared" si="15"/>
        <v>-0.051863300704104415</v>
      </c>
      <c r="X30" s="157">
        <f t="shared" si="7"/>
        <v>34.66483516483517</v>
      </c>
    </row>
    <row r="31" spans="1:24" s="138" customFormat="1" ht="12.75">
      <c r="A31" s="145" t="s">
        <v>328</v>
      </c>
      <c r="B31" s="153">
        <v>667</v>
      </c>
      <c r="C31" s="153">
        <v>80</v>
      </c>
      <c r="D31" s="154">
        <f t="shared" si="9"/>
        <v>0.1362862010221465</v>
      </c>
      <c r="E31" s="153">
        <v>929</v>
      </c>
      <c r="F31" s="153">
        <v>-133</v>
      </c>
      <c r="G31" s="154">
        <f t="shared" si="10"/>
        <v>-0.12523540489642185</v>
      </c>
      <c r="H31" s="153">
        <v>1200</v>
      </c>
      <c r="I31" s="153">
        <v>-345</v>
      </c>
      <c r="J31" s="154">
        <f t="shared" si="11"/>
        <v>-0.22330097087378642</v>
      </c>
      <c r="K31" s="153">
        <v>1498</v>
      </c>
      <c r="L31" s="153">
        <v>-222</v>
      </c>
      <c r="M31" s="154">
        <f t="shared" si="12"/>
        <v>-0.12906976744186047</v>
      </c>
      <c r="N31" s="153">
        <v>1548</v>
      </c>
      <c r="O31" s="153">
        <v>196</v>
      </c>
      <c r="P31" s="154">
        <f t="shared" si="13"/>
        <v>0.14497041420118342</v>
      </c>
      <c r="Q31" s="153">
        <v>992</v>
      </c>
      <c r="R31" s="153">
        <v>-129</v>
      </c>
      <c r="S31" s="154">
        <f t="shared" si="14"/>
        <v>-0.11507582515611062</v>
      </c>
      <c r="T31" s="155"/>
      <c r="U31" s="156">
        <f t="shared" si="16"/>
        <v>6834</v>
      </c>
      <c r="V31" s="153">
        <f t="shared" si="16"/>
        <v>-553</v>
      </c>
      <c r="W31" s="155">
        <f t="shared" si="15"/>
        <v>-0.0748612427237038</v>
      </c>
      <c r="X31" s="157">
        <f t="shared" si="7"/>
        <v>27.450549450549453</v>
      </c>
    </row>
    <row r="32" spans="1:24" s="138" customFormat="1" ht="12.75">
      <c r="A32" s="145" t="s">
        <v>329</v>
      </c>
      <c r="B32" s="153">
        <v>143</v>
      </c>
      <c r="C32" s="153">
        <v>17</v>
      </c>
      <c r="D32" s="154">
        <f t="shared" si="9"/>
        <v>0.1349206349206349</v>
      </c>
      <c r="E32" s="153">
        <v>350</v>
      </c>
      <c r="F32" s="153">
        <v>27</v>
      </c>
      <c r="G32" s="154">
        <f t="shared" si="10"/>
        <v>0.08359133126934984</v>
      </c>
      <c r="H32" s="153">
        <v>480</v>
      </c>
      <c r="I32" s="153">
        <v>-75</v>
      </c>
      <c r="J32" s="154">
        <f t="shared" si="11"/>
        <v>-0.13513513513513514</v>
      </c>
      <c r="K32" s="153">
        <v>578</v>
      </c>
      <c r="L32" s="153">
        <v>-63</v>
      </c>
      <c r="M32" s="154">
        <f t="shared" si="12"/>
        <v>-0.09828393135725429</v>
      </c>
      <c r="N32" s="153">
        <v>529</v>
      </c>
      <c r="O32" s="153">
        <v>68</v>
      </c>
      <c r="P32" s="154">
        <f t="shared" si="13"/>
        <v>0.1475054229934924</v>
      </c>
      <c r="Q32" s="153">
        <v>196</v>
      </c>
      <c r="R32" s="153">
        <v>-110</v>
      </c>
      <c r="S32" s="154">
        <f t="shared" si="14"/>
        <v>-0.35947712418300654</v>
      </c>
      <c r="T32" s="155"/>
      <c r="U32" s="156">
        <f t="shared" si="16"/>
        <v>2276</v>
      </c>
      <c r="V32" s="153">
        <f t="shared" si="16"/>
        <v>-136</v>
      </c>
      <c r="W32" s="155">
        <f t="shared" si="15"/>
        <v>-0.05638474295190713</v>
      </c>
      <c r="X32" s="157">
        <f t="shared" si="7"/>
        <v>52.494505494505496</v>
      </c>
    </row>
    <row r="33" spans="1:24" s="138" customFormat="1" ht="12.75">
      <c r="A33" s="145" t="s">
        <v>330</v>
      </c>
      <c r="B33" s="153">
        <v>403</v>
      </c>
      <c r="C33" s="153">
        <v>101</v>
      </c>
      <c r="D33" s="154">
        <f t="shared" si="9"/>
        <v>0.3344370860927152</v>
      </c>
      <c r="E33" s="153">
        <v>565</v>
      </c>
      <c r="F33" s="153">
        <v>-82</v>
      </c>
      <c r="G33" s="154">
        <f t="shared" si="10"/>
        <v>-0.1267387944358578</v>
      </c>
      <c r="H33" s="153">
        <v>847</v>
      </c>
      <c r="I33" s="153">
        <v>-167</v>
      </c>
      <c r="J33" s="154">
        <f t="shared" si="11"/>
        <v>-0.16469428007889547</v>
      </c>
      <c r="K33" s="153">
        <v>1064</v>
      </c>
      <c r="L33" s="153">
        <v>-84</v>
      </c>
      <c r="M33" s="154">
        <f t="shared" si="12"/>
        <v>-0.07317073170731707</v>
      </c>
      <c r="N33" s="153">
        <v>1035</v>
      </c>
      <c r="O33" s="153">
        <v>160</v>
      </c>
      <c r="P33" s="154">
        <f t="shared" si="13"/>
        <v>0.18285714285714286</v>
      </c>
      <c r="Q33" s="153">
        <v>451</v>
      </c>
      <c r="R33" s="153">
        <v>-210</v>
      </c>
      <c r="S33" s="154">
        <f t="shared" si="14"/>
        <v>-0.3177004538577912</v>
      </c>
      <c r="T33" s="155"/>
      <c r="U33" s="156">
        <f t="shared" si="16"/>
        <v>4365</v>
      </c>
      <c r="V33" s="153">
        <f t="shared" si="16"/>
        <v>-282</v>
      </c>
      <c r="W33" s="155">
        <f t="shared" si="15"/>
        <v>-0.06068431245965139</v>
      </c>
      <c r="X33" s="157">
        <f t="shared" si="7"/>
        <v>41.01648351648352</v>
      </c>
    </row>
    <row r="34" spans="1:24" s="138" customFormat="1" ht="12.75">
      <c r="A34" s="145" t="s">
        <v>331</v>
      </c>
      <c r="B34" s="153">
        <v>700</v>
      </c>
      <c r="C34" s="153">
        <v>47</v>
      </c>
      <c r="D34" s="154">
        <f t="shared" si="9"/>
        <v>0.07197549770290965</v>
      </c>
      <c r="E34" s="153">
        <v>976</v>
      </c>
      <c r="F34" s="153">
        <v>-65</v>
      </c>
      <c r="G34" s="154">
        <f t="shared" si="10"/>
        <v>-0.06243996157540826</v>
      </c>
      <c r="H34" s="153">
        <v>1169</v>
      </c>
      <c r="I34" s="153">
        <v>-155</v>
      </c>
      <c r="J34" s="154">
        <f t="shared" si="11"/>
        <v>-0.11706948640483383</v>
      </c>
      <c r="K34" s="153">
        <v>1296</v>
      </c>
      <c r="L34" s="153">
        <v>-85</v>
      </c>
      <c r="M34" s="154">
        <f t="shared" si="12"/>
        <v>-0.06154960173787111</v>
      </c>
      <c r="N34" s="153">
        <v>1080</v>
      </c>
      <c r="O34" s="153">
        <v>-15</v>
      </c>
      <c r="P34" s="154">
        <f t="shared" si="13"/>
        <v>-0.0136986301369863</v>
      </c>
      <c r="Q34" s="153">
        <v>765</v>
      </c>
      <c r="R34" s="153">
        <v>-208</v>
      </c>
      <c r="S34" s="154">
        <f t="shared" si="14"/>
        <v>-0.21377183967112023</v>
      </c>
      <c r="T34" s="155"/>
      <c r="U34" s="156">
        <f t="shared" si="16"/>
        <v>5986</v>
      </c>
      <c r="V34" s="153">
        <f t="shared" si="16"/>
        <v>-481</v>
      </c>
      <c r="W34" s="155">
        <f t="shared" si="15"/>
        <v>-0.07437760940157724</v>
      </c>
      <c r="X34" s="157">
        <f t="shared" si="7"/>
        <v>32.10989010989011</v>
      </c>
    </row>
    <row r="35" spans="1:24" s="138" customFormat="1" ht="12.75">
      <c r="A35" s="145" t="s">
        <v>332</v>
      </c>
      <c r="B35" s="153">
        <v>517</v>
      </c>
      <c r="C35" s="153">
        <v>105</v>
      </c>
      <c r="D35" s="154">
        <f t="shared" si="9"/>
        <v>0.25485436893203883</v>
      </c>
      <c r="E35" s="153">
        <v>786</v>
      </c>
      <c r="F35" s="153">
        <v>-65</v>
      </c>
      <c r="G35" s="154">
        <f t="shared" si="10"/>
        <v>-0.07638072855464159</v>
      </c>
      <c r="H35" s="153">
        <v>1023</v>
      </c>
      <c r="I35" s="153">
        <v>-197</v>
      </c>
      <c r="J35" s="154">
        <f t="shared" si="11"/>
        <v>-0.16147540983606556</v>
      </c>
      <c r="K35" s="153">
        <v>1311</v>
      </c>
      <c r="L35" s="153">
        <v>-14</v>
      </c>
      <c r="M35" s="154">
        <f t="shared" si="12"/>
        <v>-0.010566037735849057</v>
      </c>
      <c r="N35" s="153">
        <v>1190</v>
      </c>
      <c r="O35" s="153">
        <v>158</v>
      </c>
      <c r="P35" s="154">
        <f t="shared" si="13"/>
        <v>0.15310077519379844</v>
      </c>
      <c r="Q35" s="153">
        <v>614</v>
      </c>
      <c r="R35" s="153">
        <v>-213</v>
      </c>
      <c r="S35" s="154">
        <f t="shared" si="14"/>
        <v>-0.25755743651753327</v>
      </c>
      <c r="T35" s="155"/>
      <c r="U35" s="156">
        <f t="shared" si="16"/>
        <v>5441</v>
      </c>
      <c r="V35" s="153">
        <f t="shared" si="16"/>
        <v>-226</v>
      </c>
      <c r="W35" s="155">
        <f t="shared" si="15"/>
        <v>-0.03988000705840833</v>
      </c>
      <c r="X35" s="157">
        <f t="shared" si="7"/>
        <v>35.104395604395606</v>
      </c>
    </row>
    <row r="36" spans="1:24" s="138" customFormat="1" ht="12.75">
      <c r="A36" s="145" t="s">
        <v>333</v>
      </c>
      <c r="B36" s="153">
        <v>226</v>
      </c>
      <c r="C36" s="153">
        <v>5</v>
      </c>
      <c r="D36" s="154">
        <f t="shared" si="9"/>
        <v>0.02262443438914027</v>
      </c>
      <c r="E36" s="153">
        <v>451</v>
      </c>
      <c r="F36" s="153">
        <v>-67</v>
      </c>
      <c r="G36" s="154">
        <f t="shared" si="10"/>
        <v>-0.12934362934362933</v>
      </c>
      <c r="H36" s="153">
        <v>780</v>
      </c>
      <c r="I36" s="153">
        <v>19</v>
      </c>
      <c r="J36" s="154">
        <f t="shared" si="11"/>
        <v>0.024967148488830485</v>
      </c>
      <c r="K36" s="153">
        <v>851</v>
      </c>
      <c r="L36" s="153">
        <v>87</v>
      </c>
      <c r="M36" s="154">
        <f t="shared" si="12"/>
        <v>0.11387434554973822</v>
      </c>
      <c r="N36" s="153">
        <v>529</v>
      </c>
      <c r="O36" s="153">
        <v>-25</v>
      </c>
      <c r="P36" s="154">
        <f t="shared" si="13"/>
        <v>-0.04512635379061372</v>
      </c>
      <c r="Q36" s="153">
        <v>314</v>
      </c>
      <c r="R36" s="153">
        <v>-145</v>
      </c>
      <c r="S36" s="154">
        <f t="shared" si="14"/>
        <v>-0.3159041394335512</v>
      </c>
      <c r="T36" s="155"/>
      <c r="U36" s="156">
        <f t="shared" si="16"/>
        <v>3151</v>
      </c>
      <c r="V36" s="153">
        <f t="shared" si="16"/>
        <v>-126</v>
      </c>
      <c r="W36" s="155">
        <f t="shared" si="15"/>
        <v>-0.03844980164784864</v>
      </c>
      <c r="X36" s="157">
        <f t="shared" si="7"/>
        <v>47.68681318681318</v>
      </c>
    </row>
    <row r="37" spans="1:24" s="138" customFormat="1" ht="12.75">
      <c r="A37" s="145" t="s">
        <v>334</v>
      </c>
      <c r="B37" s="153">
        <v>545</v>
      </c>
      <c r="C37" s="153">
        <v>-20</v>
      </c>
      <c r="D37" s="154">
        <f t="shared" si="9"/>
        <v>-0.035398230088495575</v>
      </c>
      <c r="E37" s="153">
        <v>665</v>
      </c>
      <c r="F37" s="153">
        <v>-177</v>
      </c>
      <c r="G37" s="154">
        <f t="shared" si="10"/>
        <v>-0.21021377672209027</v>
      </c>
      <c r="H37" s="153">
        <v>982</v>
      </c>
      <c r="I37" s="153">
        <v>-244</v>
      </c>
      <c r="J37" s="154">
        <f t="shared" si="11"/>
        <v>-0.19902120717781402</v>
      </c>
      <c r="K37" s="153">
        <v>1274</v>
      </c>
      <c r="L37" s="153">
        <v>-131</v>
      </c>
      <c r="M37" s="154">
        <f t="shared" si="12"/>
        <v>-0.09323843416370106</v>
      </c>
      <c r="N37" s="153">
        <v>1338</v>
      </c>
      <c r="O37" s="153">
        <v>152</v>
      </c>
      <c r="P37" s="154">
        <f t="shared" si="13"/>
        <v>0.1281618887015177</v>
      </c>
      <c r="Q37" s="153">
        <v>1069</v>
      </c>
      <c r="R37" s="153">
        <v>51</v>
      </c>
      <c r="S37" s="154">
        <f t="shared" si="14"/>
        <v>0.05009823182711198</v>
      </c>
      <c r="T37" s="155"/>
      <c r="U37" s="156">
        <f t="shared" si="16"/>
        <v>5873</v>
      </c>
      <c r="V37" s="153">
        <f t="shared" si="16"/>
        <v>-369</v>
      </c>
      <c r="W37" s="155">
        <f t="shared" si="15"/>
        <v>-0.059115668055110544</v>
      </c>
      <c r="X37" s="157">
        <f t="shared" si="7"/>
        <v>32.73076923076923</v>
      </c>
    </row>
    <row r="38" spans="1:24" s="138" customFormat="1" ht="12.75">
      <c r="A38" s="145" t="s">
        <v>335</v>
      </c>
      <c r="B38" s="153">
        <v>354</v>
      </c>
      <c r="C38" s="153">
        <v>-12</v>
      </c>
      <c r="D38" s="154">
        <f t="shared" si="9"/>
        <v>-0.03278688524590164</v>
      </c>
      <c r="E38" s="153">
        <v>482</v>
      </c>
      <c r="F38" s="153">
        <v>-140</v>
      </c>
      <c r="G38" s="154">
        <f t="shared" si="10"/>
        <v>-0.22508038585209003</v>
      </c>
      <c r="H38" s="153">
        <v>742</v>
      </c>
      <c r="I38" s="153">
        <v>-200</v>
      </c>
      <c r="J38" s="154">
        <f t="shared" si="11"/>
        <v>-0.21231422505307856</v>
      </c>
      <c r="K38" s="153">
        <v>912</v>
      </c>
      <c r="L38" s="153">
        <v>-179</v>
      </c>
      <c r="M38" s="154">
        <f t="shared" si="12"/>
        <v>-0.16406966086159486</v>
      </c>
      <c r="N38" s="153">
        <v>1105</v>
      </c>
      <c r="O38" s="153">
        <v>185</v>
      </c>
      <c r="P38" s="154">
        <f t="shared" si="13"/>
        <v>0.20108695652173914</v>
      </c>
      <c r="Q38" s="153">
        <v>774</v>
      </c>
      <c r="R38" s="153">
        <v>11</v>
      </c>
      <c r="S38" s="154">
        <f t="shared" si="14"/>
        <v>0.014416775884665793</v>
      </c>
      <c r="T38" s="155"/>
      <c r="U38" s="156">
        <f t="shared" si="16"/>
        <v>4369</v>
      </c>
      <c r="V38" s="153">
        <f t="shared" si="16"/>
        <v>-335</v>
      </c>
      <c r="W38" s="155">
        <f t="shared" si="15"/>
        <v>-0.07121598639455783</v>
      </c>
      <c r="X38" s="157">
        <f t="shared" si="7"/>
        <v>40.99450549450549</v>
      </c>
    </row>
    <row r="39" spans="1:24" s="138" customFormat="1" ht="12.75">
      <c r="A39" s="145" t="s">
        <v>336</v>
      </c>
      <c r="B39" s="153">
        <v>352</v>
      </c>
      <c r="C39" s="153">
        <v>29</v>
      </c>
      <c r="D39" s="154">
        <f t="shared" si="9"/>
        <v>0.08978328173374613</v>
      </c>
      <c r="E39" s="153">
        <v>564</v>
      </c>
      <c r="F39" s="153">
        <v>-102</v>
      </c>
      <c r="G39" s="154">
        <f t="shared" si="10"/>
        <v>-0.15315315315315314</v>
      </c>
      <c r="H39" s="153">
        <v>923</v>
      </c>
      <c r="I39" s="153">
        <v>-2</v>
      </c>
      <c r="J39" s="154">
        <f t="shared" si="11"/>
        <v>-0.002162162162162162</v>
      </c>
      <c r="K39" s="153">
        <v>1027</v>
      </c>
      <c r="L39" s="153">
        <v>87</v>
      </c>
      <c r="M39" s="154">
        <f t="shared" si="12"/>
        <v>0.0925531914893617</v>
      </c>
      <c r="N39" s="153">
        <v>693</v>
      </c>
      <c r="O39" s="153">
        <v>-19</v>
      </c>
      <c r="P39" s="154">
        <f t="shared" si="13"/>
        <v>-0.026685393258426966</v>
      </c>
      <c r="Q39" s="153">
        <v>524</v>
      </c>
      <c r="R39" s="153">
        <v>-76</v>
      </c>
      <c r="S39" s="154">
        <f t="shared" si="14"/>
        <v>-0.12666666666666668</v>
      </c>
      <c r="T39" s="155"/>
      <c r="U39" s="156">
        <f t="shared" si="16"/>
        <v>4083</v>
      </c>
      <c r="V39" s="153">
        <f t="shared" si="16"/>
        <v>-83</v>
      </c>
      <c r="W39" s="155">
        <f t="shared" si="15"/>
        <v>-0.019923187710033607</v>
      </c>
      <c r="X39" s="157">
        <f t="shared" si="7"/>
        <v>42.565934065934066</v>
      </c>
    </row>
    <row r="40" spans="1:24" s="138" customFormat="1" ht="12.75">
      <c r="A40" s="145" t="s">
        <v>337</v>
      </c>
      <c r="B40" s="153">
        <v>379</v>
      </c>
      <c r="C40" s="153">
        <v>-26</v>
      </c>
      <c r="D40" s="154">
        <f t="shared" si="9"/>
        <v>-0.06419753086419754</v>
      </c>
      <c r="E40" s="153">
        <v>517</v>
      </c>
      <c r="F40" s="153">
        <v>-161</v>
      </c>
      <c r="G40" s="154">
        <f t="shared" si="10"/>
        <v>-0.2374631268436578</v>
      </c>
      <c r="H40" s="153">
        <v>776</v>
      </c>
      <c r="I40" s="153">
        <v>-240</v>
      </c>
      <c r="J40" s="154">
        <f t="shared" si="11"/>
        <v>-0.23622047244094488</v>
      </c>
      <c r="K40" s="153">
        <v>1008</v>
      </c>
      <c r="L40" s="153">
        <v>-180</v>
      </c>
      <c r="M40" s="154">
        <f t="shared" si="12"/>
        <v>-0.15151515151515152</v>
      </c>
      <c r="N40" s="153">
        <v>1160</v>
      </c>
      <c r="O40" s="153">
        <v>143</v>
      </c>
      <c r="P40" s="154">
        <f t="shared" si="13"/>
        <v>0.14060963618485742</v>
      </c>
      <c r="Q40" s="153">
        <v>872</v>
      </c>
      <c r="R40" s="153">
        <v>5</v>
      </c>
      <c r="S40" s="154">
        <f t="shared" si="14"/>
        <v>0.0057670126874279125</v>
      </c>
      <c r="T40" s="155"/>
      <c r="U40" s="156">
        <f t="shared" si="16"/>
        <v>4712</v>
      </c>
      <c r="V40" s="153">
        <f t="shared" si="16"/>
        <v>-459</v>
      </c>
      <c r="W40" s="155">
        <f t="shared" si="15"/>
        <v>-0.08876426223167666</v>
      </c>
      <c r="X40" s="157">
        <f t="shared" si="7"/>
        <v>39.10989010989011</v>
      </c>
    </row>
    <row r="41" spans="1:24" s="138" customFormat="1" ht="12.75">
      <c r="A41" s="145" t="s">
        <v>338</v>
      </c>
      <c r="B41" s="153">
        <v>257</v>
      </c>
      <c r="C41" s="153">
        <v>42</v>
      </c>
      <c r="D41" s="154">
        <f t="shared" si="9"/>
        <v>0.19534883720930232</v>
      </c>
      <c r="E41" s="153">
        <v>407</v>
      </c>
      <c r="F41" s="153">
        <v>-26</v>
      </c>
      <c r="G41" s="154">
        <f t="shared" si="10"/>
        <v>-0.06004618937644342</v>
      </c>
      <c r="H41" s="153">
        <v>562</v>
      </c>
      <c r="I41" s="153">
        <v>-131</v>
      </c>
      <c r="J41" s="154">
        <f t="shared" si="11"/>
        <v>-0.18903318903318903</v>
      </c>
      <c r="K41" s="153">
        <v>640</v>
      </c>
      <c r="L41" s="153">
        <v>-145</v>
      </c>
      <c r="M41" s="154">
        <f t="shared" si="12"/>
        <v>-0.18471337579617833</v>
      </c>
      <c r="N41" s="153">
        <v>729</v>
      </c>
      <c r="O41" s="153">
        <v>110</v>
      </c>
      <c r="P41" s="154">
        <f t="shared" si="13"/>
        <v>0.1777059773828756</v>
      </c>
      <c r="Q41" s="153">
        <v>352</v>
      </c>
      <c r="R41" s="153">
        <v>-110</v>
      </c>
      <c r="S41" s="154">
        <f t="shared" si="14"/>
        <v>-0.23809523809523808</v>
      </c>
      <c r="T41" s="155"/>
      <c r="U41" s="156">
        <f t="shared" si="16"/>
        <v>2947</v>
      </c>
      <c r="V41" s="153">
        <f t="shared" si="16"/>
        <v>-260</v>
      </c>
      <c r="W41" s="155">
        <f t="shared" si="15"/>
        <v>-0.08107265357031494</v>
      </c>
      <c r="X41" s="157">
        <f t="shared" si="7"/>
        <v>48.80769230769231</v>
      </c>
    </row>
    <row r="42" spans="1:24" s="138" customFormat="1" ht="12.75">
      <c r="A42" s="145" t="s">
        <v>339</v>
      </c>
      <c r="B42" s="153">
        <v>759</v>
      </c>
      <c r="C42" s="153">
        <v>96</v>
      </c>
      <c r="D42" s="154">
        <f t="shared" si="9"/>
        <v>0.14479638009049775</v>
      </c>
      <c r="E42" s="153">
        <v>1068</v>
      </c>
      <c r="F42" s="153">
        <v>-107</v>
      </c>
      <c r="G42" s="154">
        <f t="shared" si="10"/>
        <v>-0.09106382978723404</v>
      </c>
      <c r="H42" s="153">
        <v>1306</v>
      </c>
      <c r="I42" s="153">
        <v>-324</v>
      </c>
      <c r="J42" s="154">
        <f t="shared" si="11"/>
        <v>-0.19877300613496932</v>
      </c>
      <c r="K42" s="153">
        <v>1562</v>
      </c>
      <c r="L42" s="153">
        <v>-233</v>
      </c>
      <c r="M42" s="154">
        <f t="shared" si="12"/>
        <v>-0.1298050139275766</v>
      </c>
      <c r="N42" s="153">
        <v>1579</v>
      </c>
      <c r="O42" s="153">
        <v>169</v>
      </c>
      <c r="P42" s="154">
        <f t="shared" si="13"/>
        <v>0.1198581560283688</v>
      </c>
      <c r="Q42" s="153">
        <v>1018</v>
      </c>
      <c r="R42" s="153">
        <v>-178</v>
      </c>
      <c r="S42" s="154">
        <f t="shared" si="14"/>
        <v>-0.1488294314381271</v>
      </c>
      <c r="T42" s="155"/>
      <c r="U42" s="156">
        <f t="shared" si="16"/>
        <v>7292</v>
      </c>
      <c r="V42" s="153">
        <f t="shared" si="16"/>
        <v>-577</v>
      </c>
      <c r="W42" s="155">
        <f t="shared" si="15"/>
        <v>-0.0733257084762994</v>
      </c>
      <c r="X42" s="157">
        <f t="shared" si="7"/>
        <v>24.934065934065934</v>
      </c>
    </row>
    <row r="43" spans="1:24" s="138" customFormat="1" ht="12.75">
      <c r="A43" s="145" t="s">
        <v>340</v>
      </c>
      <c r="B43" s="153">
        <v>446</v>
      </c>
      <c r="C43" s="153">
        <v>50</v>
      </c>
      <c r="D43" s="154">
        <f t="shared" si="9"/>
        <v>0.12626262626262627</v>
      </c>
      <c r="E43" s="153">
        <v>617</v>
      </c>
      <c r="F43" s="153">
        <v>-76</v>
      </c>
      <c r="G43" s="154">
        <f t="shared" si="10"/>
        <v>-0.10966810966810966</v>
      </c>
      <c r="H43" s="153">
        <v>815</v>
      </c>
      <c r="I43" s="153">
        <v>-222</v>
      </c>
      <c r="J43" s="154">
        <f t="shared" si="11"/>
        <v>-0.21407907425265188</v>
      </c>
      <c r="K43" s="153">
        <v>995</v>
      </c>
      <c r="L43" s="153">
        <v>-204</v>
      </c>
      <c r="M43" s="154">
        <f t="shared" si="12"/>
        <v>-0.1701417848206839</v>
      </c>
      <c r="N43" s="153">
        <v>1284</v>
      </c>
      <c r="O43" s="153">
        <v>295</v>
      </c>
      <c r="P43" s="154">
        <f t="shared" si="13"/>
        <v>0.2982810920121335</v>
      </c>
      <c r="Q43" s="153">
        <v>682</v>
      </c>
      <c r="R43" s="153">
        <v>-118</v>
      </c>
      <c r="S43" s="154">
        <f t="shared" si="14"/>
        <v>-0.1475</v>
      </c>
      <c r="T43" s="155"/>
      <c r="U43" s="156">
        <f t="shared" si="16"/>
        <v>4839</v>
      </c>
      <c r="V43" s="153">
        <f t="shared" si="16"/>
        <v>-275</v>
      </c>
      <c r="W43" s="155">
        <f t="shared" si="15"/>
        <v>-0.053773953852170514</v>
      </c>
      <c r="X43" s="157">
        <f t="shared" si="7"/>
        <v>38.41208791208791</v>
      </c>
    </row>
    <row r="44" spans="1:24" s="138" customFormat="1" ht="12.75">
      <c r="A44" s="145" t="s">
        <v>341</v>
      </c>
      <c r="B44" s="153">
        <v>230</v>
      </c>
      <c r="C44" s="153">
        <v>65</v>
      </c>
      <c r="D44" s="154">
        <f t="shared" si="9"/>
        <v>0.3939393939393939</v>
      </c>
      <c r="E44" s="153">
        <v>424</v>
      </c>
      <c r="F44" s="153">
        <v>-67</v>
      </c>
      <c r="G44" s="154">
        <f t="shared" si="10"/>
        <v>-0.1364562118126273</v>
      </c>
      <c r="H44" s="153">
        <v>717</v>
      </c>
      <c r="I44" s="153">
        <v>-82</v>
      </c>
      <c r="J44" s="154">
        <f t="shared" si="11"/>
        <v>-0.10262828535669587</v>
      </c>
      <c r="K44" s="153">
        <v>918</v>
      </c>
      <c r="L44" s="153">
        <v>22</v>
      </c>
      <c r="M44" s="154">
        <f t="shared" si="12"/>
        <v>0.024553571428571428</v>
      </c>
      <c r="N44" s="153">
        <v>716</v>
      </c>
      <c r="O44" s="153">
        <v>64</v>
      </c>
      <c r="P44" s="154">
        <f t="shared" si="13"/>
        <v>0.09815950920245399</v>
      </c>
      <c r="Q44" s="153">
        <v>261</v>
      </c>
      <c r="R44" s="153">
        <v>-202</v>
      </c>
      <c r="S44" s="154">
        <f t="shared" si="14"/>
        <v>-0.43628509719222464</v>
      </c>
      <c r="T44" s="155"/>
      <c r="U44" s="156">
        <f t="shared" si="16"/>
        <v>3266</v>
      </c>
      <c r="V44" s="153">
        <f t="shared" si="16"/>
        <v>-200</v>
      </c>
      <c r="W44" s="155">
        <f t="shared" si="15"/>
        <v>-0.05770340450086555</v>
      </c>
      <c r="X44" s="158">
        <f t="shared" si="7"/>
        <v>47.05494505494505</v>
      </c>
    </row>
    <row r="45" spans="1:24" s="138" customFormat="1" ht="12.75">
      <c r="A45" s="145" t="s">
        <v>342</v>
      </c>
      <c r="B45" s="153">
        <v>426</v>
      </c>
      <c r="C45" s="153">
        <v>31</v>
      </c>
      <c r="D45" s="154">
        <f t="shared" si="9"/>
        <v>0.07848101265822785</v>
      </c>
      <c r="E45" s="153">
        <v>656</v>
      </c>
      <c r="F45" s="153">
        <v>19</v>
      </c>
      <c r="G45" s="154">
        <f t="shared" si="10"/>
        <v>0.029827315541601257</v>
      </c>
      <c r="H45" s="153">
        <v>808</v>
      </c>
      <c r="I45" s="153">
        <v>-11</v>
      </c>
      <c r="J45" s="154">
        <f t="shared" si="11"/>
        <v>-0.013431013431013432</v>
      </c>
      <c r="K45" s="153">
        <v>877</v>
      </c>
      <c r="L45" s="153">
        <v>61</v>
      </c>
      <c r="M45" s="154">
        <f t="shared" si="12"/>
        <v>0.07475490196078431</v>
      </c>
      <c r="N45" s="153">
        <v>658</v>
      </c>
      <c r="O45" s="153">
        <v>11</v>
      </c>
      <c r="P45" s="154">
        <f t="shared" si="13"/>
        <v>0.017001545595054096</v>
      </c>
      <c r="Q45" s="153">
        <v>561</v>
      </c>
      <c r="R45" s="153">
        <v>-44</v>
      </c>
      <c r="S45" s="154">
        <f t="shared" si="14"/>
        <v>-0.07272727272727272</v>
      </c>
      <c r="T45" s="155"/>
      <c r="U45" s="156">
        <f t="shared" si="16"/>
        <v>3986</v>
      </c>
      <c r="V45" s="153">
        <f t="shared" si="16"/>
        <v>67</v>
      </c>
      <c r="W45" s="155">
        <f t="shared" si="15"/>
        <v>0.01709619800969635</v>
      </c>
      <c r="X45" s="157">
        <f t="shared" si="7"/>
        <v>43.098901098901095</v>
      </c>
    </row>
    <row r="46" spans="1:24" s="138" customFormat="1" ht="12.75">
      <c r="A46" s="145" t="s">
        <v>343</v>
      </c>
      <c r="B46" s="153">
        <v>417</v>
      </c>
      <c r="C46" s="153">
        <v>6</v>
      </c>
      <c r="D46" s="154">
        <f t="shared" si="9"/>
        <v>0.014598540145985401</v>
      </c>
      <c r="E46" s="153">
        <v>567</v>
      </c>
      <c r="F46" s="153">
        <v>-114</v>
      </c>
      <c r="G46" s="154">
        <f t="shared" si="10"/>
        <v>-0.16740088105726872</v>
      </c>
      <c r="H46" s="153">
        <v>804</v>
      </c>
      <c r="I46" s="153">
        <v>-202</v>
      </c>
      <c r="J46" s="154">
        <f t="shared" si="11"/>
        <v>-0.20079522862823063</v>
      </c>
      <c r="K46" s="153">
        <v>982</v>
      </c>
      <c r="L46" s="153">
        <v>-177</v>
      </c>
      <c r="M46" s="154">
        <f t="shared" si="12"/>
        <v>-0.15271786022433131</v>
      </c>
      <c r="N46" s="153">
        <v>1195</v>
      </c>
      <c r="O46" s="153">
        <v>221</v>
      </c>
      <c r="P46" s="154">
        <f t="shared" si="13"/>
        <v>0.2268993839835729</v>
      </c>
      <c r="Q46" s="153">
        <v>791</v>
      </c>
      <c r="R46" s="153">
        <v>-18</v>
      </c>
      <c r="S46" s="154">
        <f t="shared" si="14"/>
        <v>-0.022249690976514216</v>
      </c>
      <c r="T46" s="155"/>
      <c r="U46" s="156">
        <f t="shared" si="16"/>
        <v>4756</v>
      </c>
      <c r="V46" s="153">
        <f t="shared" si="16"/>
        <v>-284</v>
      </c>
      <c r="W46" s="155">
        <f t="shared" si="15"/>
        <v>-0.05634920634920635</v>
      </c>
      <c r="X46" s="157">
        <f t="shared" si="7"/>
        <v>38.86813186813187</v>
      </c>
    </row>
    <row r="47" spans="1:24" s="138" customFormat="1" ht="12.75">
      <c r="A47" s="145" t="s">
        <v>344</v>
      </c>
      <c r="B47" s="153">
        <v>399</v>
      </c>
      <c r="C47" s="153">
        <v>11</v>
      </c>
      <c r="D47" s="154">
        <f t="shared" si="9"/>
        <v>0.028350515463917526</v>
      </c>
      <c r="E47" s="153">
        <v>511</v>
      </c>
      <c r="F47" s="153">
        <v>-124</v>
      </c>
      <c r="G47" s="154">
        <f t="shared" si="10"/>
        <v>-0.1952755905511811</v>
      </c>
      <c r="H47" s="153">
        <v>780</v>
      </c>
      <c r="I47" s="153">
        <v>-175</v>
      </c>
      <c r="J47" s="154">
        <f t="shared" si="11"/>
        <v>-0.18324607329842932</v>
      </c>
      <c r="K47" s="153">
        <v>988</v>
      </c>
      <c r="L47" s="153">
        <v>-125</v>
      </c>
      <c r="M47" s="154">
        <f t="shared" si="12"/>
        <v>-0.11230907457322552</v>
      </c>
      <c r="N47" s="153">
        <v>1109</v>
      </c>
      <c r="O47" s="153">
        <v>151</v>
      </c>
      <c r="P47" s="154">
        <f t="shared" si="13"/>
        <v>0.15762004175365343</v>
      </c>
      <c r="Q47" s="153">
        <v>844</v>
      </c>
      <c r="R47" s="153">
        <v>4</v>
      </c>
      <c r="S47" s="154">
        <f t="shared" si="14"/>
        <v>0.004761904761904762</v>
      </c>
      <c r="T47" s="155"/>
      <c r="U47" s="156">
        <f t="shared" si="16"/>
        <v>4631</v>
      </c>
      <c r="V47" s="153">
        <f t="shared" si="16"/>
        <v>-258</v>
      </c>
      <c r="W47" s="155">
        <f t="shared" si="15"/>
        <v>-0.052771527919820004</v>
      </c>
      <c r="X47" s="157">
        <f t="shared" si="7"/>
        <v>39.55494505494505</v>
      </c>
    </row>
    <row r="48" spans="1:24" s="138" customFormat="1" ht="12.75">
      <c r="A48" s="145" t="s">
        <v>345</v>
      </c>
      <c r="B48" s="153">
        <v>189</v>
      </c>
      <c r="C48" s="153">
        <v>41</v>
      </c>
      <c r="D48" s="154">
        <f t="shared" si="9"/>
        <v>0.27702702702702703</v>
      </c>
      <c r="E48" s="153">
        <v>357</v>
      </c>
      <c r="F48" s="153">
        <v>11</v>
      </c>
      <c r="G48" s="154">
        <f t="shared" si="10"/>
        <v>0.031791907514450865</v>
      </c>
      <c r="H48" s="153">
        <v>456</v>
      </c>
      <c r="I48" s="153">
        <v>-134</v>
      </c>
      <c r="J48" s="154">
        <f t="shared" si="11"/>
        <v>-0.2271186440677966</v>
      </c>
      <c r="K48" s="153">
        <v>543</v>
      </c>
      <c r="L48" s="153">
        <v>-123</v>
      </c>
      <c r="M48" s="154">
        <f t="shared" si="12"/>
        <v>-0.18468468468468469</v>
      </c>
      <c r="N48" s="153">
        <v>585</v>
      </c>
      <c r="O48" s="153">
        <v>79</v>
      </c>
      <c r="P48" s="154">
        <f t="shared" si="13"/>
        <v>0.15612648221343872</v>
      </c>
      <c r="Q48" s="153">
        <v>263</v>
      </c>
      <c r="R48" s="153">
        <v>-91</v>
      </c>
      <c r="S48" s="154">
        <f t="shared" si="14"/>
        <v>-0.2570621468926554</v>
      </c>
      <c r="T48" s="155"/>
      <c r="U48" s="156">
        <f aca="true" t="shared" si="17" ref="U48:V58">SUMIF($B$6:$T$6,U$6,$B48:$T48)</f>
        <v>2393</v>
      </c>
      <c r="V48" s="153">
        <f t="shared" si="17"/>
        <v>-217</v>
      </c>
      <c r="W48" s="155">
        <f t="shared" si="15"/>
        <v>-0.08314176245210728</v>
      </c>
      <c r="X48" s="157">
        <f t="shared" si="7"/>
        <v>51.85164835164835</v>
      </c>
    </row>
    <row r="49" spans="1:24" s="138" customFormat="1" ht="12.75">
      <c r="A49" s="145" t="s">
        <v>346</v>
      </c>
      <c r="B49" s="153">
        <v>620</v>
      </c>
      <c r="C49" s="153">
        <v>87</v>
      </c>
      <c r="D49" s="154">
        <f t="shared" si="9"/>
        <v>0.16322701688555347</v>
      </c>
      <c r="E49" s="153">
        <v>900</v>
      </c>
      <c r="F49" s="153">
        <v>-100</v>
      </c>
      <c r="G49" s="154">
        <f t="shared" si="10"/>
        <v>-0.1</v>
      </c>
      <c r="H49" s="153">
        <v>1132</v>
      </c>
      <c r="I49" s="153">
        <v>-254</v>
      </c>
      <c r="J49" s="154">
        <f t="shared" si="11"/>
        <v>-0.18326118326118326</v>
      </c>
      <c r="K49" s="153">
        <v>1378</v>
      </c>
      <c r="L49" s="153">
        <v>-125</v>
      </c>
      <c r="M49" s="154">
        <f t="shared" si="12"/>
        <v>-0.08316699933466401</v>
      </c>
      <c r="N49" s="153">
        <v>1344</v>
      </c>
      <c r="O49" s="153">
        <v>163</v>
      </c>
      <c r="P49" s="154">
        <f t="shared" si="13"/>
        <v>0.1380186282811177</v>
      </c>
      <c r="Q49" s="153">
        <v>755</v>
      </c>
      <c r="R49" s="153">
        <v>-237</v>
      </c>
      <c r="S49" s="154">
        <f t="shared" si="14"/>
        <v>-0.23891129032258066</v>
      </c>
      <c r="T49" s="155"/>
      <c r="U49" s="156">
        <f t="shared" si="17"/>
        <v>6129</v>
      </c>
      <c r="V49" s="153">
        <f t="shared" si="17"/>
        <v>-466</v>
      </c>
      <c r="W49" s="155">
        <f t="shared" si="15"/>
        <v>-0.07065959059893859</v>
      </c>
      <c r="X49" s="157">
        <f t="shared" si="7"/>
        <v>31.324175824175825</v>
      </c>
    </row>
    <row r="50" spans="1:24" s="138" customFormat="1" ht="12.75">
      <c r="A50" s="145" t="s">
        <v>347</v>
      </c>
      <c r="B50" s="153">
        <v>308</v>
      </c>
      <c r="C50" s="153">
        <v>58</v>
      </c>
      <c r="D50" s="154">
        <f t="shared" si="9"/>
        <v>0.232</v>
      </c>
      <c r="E50" s="153">
        <v>502</v>
      </c>
      <c r="F50" s="153">
        <v>0</v>
      </c>
      <c r="G50" s="154">
        <f t="shared" si="10"/>
        <v>0</v>
      </c>
      <c r="H50" s="153">
        <v>672</v>
      </c>
      <c r="I50" s="153">
        <v>-110</v>
      </c>
      <c r="J50" s="154">
        <f t="shared" si="11"/>
        <v>-0.14066496163682865</v>
      </c>
      <c r="K50" s="153">
        <v>782</v>
      </c>
      <c r="L50" s="153">
        <v>-107</v>
      </c>
      <c r="M50" s="154">
        <f t="shared" si="12"/>
        <v>-0.1203599550056243</v>
      </c>
      <c r="N50" s="153">
        <v>822</v>
      </c>
      <c r="O50" s="153">
        <v>139</v>
      </c>
      <c r="P50" s="154">
        <f t="shared" si="13"/>
        <v>0.20351390922401172</v>
      </c>
      <c r="Q50" s="153">
        <v>329</v>
      </c>
      <c r="R50" s="153">
        <v>-176</v>
      </c>
      <c r="S50" s="154">
        <f t="shared" si="14"/>
        <v>-0.3485148514851485</v>
      </c>
      <c r="T50" s="155"/>
      <c r="U50" s="156">
        <f t="shared" si="17"/>
        <v>3415</v>
      </c>
      <c r="V50" s="153">
        <f t="shared" si="17"/>
        <v>-196</v>
      </c>
      <c r="W50" s="155">
        <f t="shared" si="15"/>
        <v>-0.05427859318748269</v>
      </c>
      <c r="X50" s="157">
        <f t="shared" si="7"/>
        <v>46.23626373626374</v>
      </c>
    </row>
    <row r="51" spans="1:24" s="138" customFormat="1" ht="12.75">
      <c r="A51" s="145" t="s">
        <v>348</v>
      </c>
      <c r="B51" s="153">
        <v>65</v>
      </c>
      <c r="C51" s="153">
        <v>3</v>
      </c>
      <c r="D51" s="154">
        <f t="shared" si="9"/>
        <v>0.04838709677419355</v>
      </c>
      <c r="E51" s="153">
        <v>201</v>
      </c>
      <c r="F51" s="153">
        <v>-54</v>
      </c>
      <c r="G51" s="154">
        <f t="shared" si="10"/>
        <v>-0.21176470588235294</v>
      </c>
      <c r="H51" s="153">
        <v>422</v>
      </c>
      <c r="I51" s="153">
        <v>-48</v>
      </c>
      <c r="J51" s="154">
        <f t="shared" si="11"/>
        <v>-0.10212765957446808</v>
      </c>
      <c r="K51" s="153">
        <v>600</v>
      </c>
      <c r="L51" s="153">
        <v>66</v>
      </c>
      <c r="M51" s="154">
        <f t="shared" si="12"/>
        <v>0.12359550561797752</v>
      </c>
      <c r="N51" s="153">
        <v>391</v>
      </c>
      <c r="O51" s="153">
        <v>24</v>
      </c>
      <c r="P51" s="154">
        <f t="shared" si="13"/>
        <v>0.0653950953678474</v>
      </c>
      <c r="Q51" s="153">
        <v>143</v>
      </c>
      <c r="R51" s="153">
        <v>-78</v>
      </c>
      <c r="S51" s="154">
        <f t="shared" si="14"/>
        <v>-0.35294117647058826</v>
      </c>
      <c r="T51" s="155"/>
      <c r="U51" s="156">
        <f t="shared" si="17"/>
        <v>1822</v>
      </c>
      <c r="V51" s="153">
        <f t="shared" si="17"/>
        <v>-87</v>
      </c>
      <c r="W51" s="155">
        <f t="shared" si="15"/>
        <v>-0.045573598742797275</v>
      </c>
      <c r="X51" s="157">
        <f t="shared" si="7"/>
        <v>54.98901098901099</v>
      </c>
    </row>
    <row r="52" spans="1:24" s="138" customFormat="1" ht="12.75">
      <c r="A52" s="145" t="s">
        <v>349</v>
      </c>
      <c r="B52" s="153">
        <v>526</v>
      </c>
      <c r="C52" s="153">
        <v>48</v>
      </c>
      <c r="D52" s="154">
        <f t="shared" si="9"/>
        <v>0.100418410041841</v>
      </c>
      <c r="E52" s="153">
        <v>780</v>
      </c>
      <c r="F52" s="153">
        <v>-73</v>
      </c>
      <c r="G52" s="154">
        <f t="shared" si="10"/>
        <v>-0.08558030480656506</v>
      </c>
      <c r="H52" s="153">
        <v>1149</v>
      </c>
      <c r="I52" s="153">
        <v>-13</v>
      </c>
      <c r="J52" s="154">
        <f t="shared" si="11"/>
        <v>-0.011187607573149742</v>
      </c>
      <c r="K52" s="153">
        <v>1368</v>
      </c>
      <c r="L52" s="153">
        <v>161</v>
      </c>
      <c r="M52" s="154">
        <f t="shared" si="12"/>
        <v>0.13338856669428334</v>
      </c>
      <c r="N52" s="153">
        <v>861</v>
      </c>
      <c r="O52" s="153">
        <v>-90</v>
      </c>
      <c r="P52" s="154">
        <f t="shared" si="13"/>
        <v>-0.0946372239747634</v>
      </c>
      <c r="Q52" s="153">
        <v>658</v>
      </c>
      <c r="R52" s="153">
        <v>-136</v>
      </c>
      <c r="S52" s="154">
        <f t="shared" si="14"/>
        <v>-0.1712846347607053</v>
      </c>
      <c r="T52" s="155"/>
      <c r="U52" s="156">
        <f t="shared" si="17"/>
        <v>5342</v>
      </c>
      <c r="V52" s="153">
        <f t="shared" si="17"/>
        <v>-103</v>
      </c>
      <c r="W52" s="155">
        <f t="shared" si="15"/>
        <v>-0.01891643709825528</v>
      </c>
      <c r="X52" s="157">
        <f t="shared" si="7"/>
        <v>35.64835164835165</v>
      </c>
    </row>
    <row r="53" spans="1:24" s="138" customFormat="1" ht="12.75">
      <c r="A53" s="145" t="s">
        <v>350</v>
      </c>
      <c r="B53" s="153">
        <v>616</v>
      </c>
      <c r="C53" s="153">
        <v>20</v>
      </c>
      <c r="D53" s="154">
        <f t="shared" si="9"/>
        <v>0.03355704697986577</v>
      </c>
      <c r="E53" s="153">
        <v>702</v>
      </c>
      <c r="F53" s="153">
        <v>-184</v>
      </c>
      <c r="G53" s="154">
        <f t="shared" si="10"/>
        <v>-0.2076749435665914</v>
      </c>
      <c r="H53" s="153">
        <v>1038</v>
      </c>
      <c r="I53" s="153">
        <v>-253</v>
      </c>
      <c r="J53" s="154">
        <f t="shared" si="11"/>
        <v>-0.1959721146398141</v>
      </c>
      <c r="K53" s="153">
        <v>1377</v>
      </c>
      <c r="L53" s="153">
        <v>-110</v>
      </c>
      <c r="M53" s="154">
        <f t="shared" si="12"/>
        <v>-0.07397444519166106</v>
      </c>
      <c r="N53" s="153">
        <v>1437</v>
      </c>
      <c r="O53" s="153">
        <v>160</v>
      </c>
      <c r="P53" s="154">
        <f t="shared" si="13"/>
        <v>0.12529365700861395</v>
      </c>
      <c r="Q53" s="153">
        <v>1184</v>
      </c>
      <c r="R53" s="153">
        <v>87</v>
      </c>
      <c r="S53" s="154">
        <f t="shared" si="14"/>
        <v>0.07930720145852324</v>
      </c>
      <c r="T53" s="155"/>
      <c r="U53" s="156">
        <f t="shared" si="17"/>
        <v>6354</v>
      </c>
      <c r="V53" s="153">
        <f t="shared" si="17"/>
        <v>-280</v>
      </c>
      <c r="W53" s="155">
        <f t="shared" si="15"/>
        <v>-0.04220681338558939</v>
      </c>
      <c r="X53" s="157">
        <f t="shared" si="7"/>
        <v>30.087912087912088</v>
      </c>
    </row>
    <row r="54" spans="1:24" s="138" customFormat="1" ht="12.75">
      <c r="A54" s="145" t="s">
        <v>351</v>
      </c>
      <c r="B54" s="153">
        <v>308</v>
      </c>
      <c r="C54" s="153">
        <v>17</v>
      </c>
      <c r="D54" s="154">
        <f t="shared" si="9"/>
        <v>0.058419243986254296</v>
      </c>
      <c r="E54" s="153">
        <v>469</v>
      </c>
      <c r="F54" s="153">
        <v>-69</v>
      </c>
      <c r="G54" s="154">
        <f t="shared" si="10"/>
        <v>-0.12825278810408922</v>
      </c>
      <c r="H54" s="153">
        <v>665</v>
      </c>
      <c r="I54" s="153">
        <v>-158</v>
      </c>
      <c r="J54" s="154">
        <f t="shared" si="11"/>
        <v>-0.1919805589307412</v>
      </c>
      <c r="K54" s="153">
        <v>764</v>
      </c>
      <c r="L54" s="153">
        <v>-178</v>
      </c>
      <c r="M54" s="154">
        <f t="shared" si="12"/>
        <v>-0.18895966029723993</v>
      </c>
      <c r="N54" s="153">
        <v>954</v>
      </c>
      <c r="O54" s="153">
        <v>187</v>
      </c>
      <c r="P54" s="154">
        <f t="shared" si="13"/>
        <v>0.2438070404172099</v>
      </c>
      <c r="Q54" s="153">
        <v>512</v>
      </c>
      <c r="R54" s="153">
        <v>-96</v>
      </c>
      <c r="S54" s="154">
        <f t="shared" si="14"/>
        <v>-0.15789473684210525</v>
      </c>
      <c r="T54" s="155"/>
      <c r="U54" s="156">
        <f t="shared" si="17"/>
        <v>3672</v>
      </c>
      <c r="V54" s="153">
        <f t="shared" si="17"/>
        <v>-297</v>
      </c>
      <c r="W54" s="155">
        <f t="shared" si="15"/>
        <v>-0.07482993197278912</v>
      </c>
      <c r="X54" s="157">
        <f t="shared" si="7"/>
        <v>44.824175824175825</v>
      </c>
    </row>
    <row r="55" spans="1:24" s="138" customFormat="1" ht="12.75">
      <c r="A55" s="145" t="s">
        <v>352</v>
      </c>
      <c r="B55" s="153">
        <v>471</v>
      </c>
      <c r="C55" s="153">
        <v>21</v>
      </c>
      <c r="D55" s="154">
        <f t="shared" si="9"/>
        <v>0.04666666666666667</v>
      </c>
      <c r="E55" s="153">
        <v>692</v>
      </c>
      <c r="F55" s="153">
        <v>5</v>
      </c>
      <c r="G55" s="154">
        <f t="shared" si="10"/>
        <v>0.00727802037845706</v>
      </c>
      <c r="H55" s="153">
        <v>858</v>
      </c>
      <c r="I55" s="153">
        <v>-15</v>
      </c>
      <c r="J55" s="154">
        <f t="shared" si="11"/>
        <v>-0.01718213058419244</v>
      </c>
      <c r="K55" s="153">
        <v>927</v>
      </c>
      <c r="L55" s="153">
        <v>50</v>
      </c>
      <c r="M55" s="154">
        <f t="shared" si="12"/>
        <v>0.05701254275940707</v>
      </c>
      <c r="N55" s="153">
        <v>673</v>
      </c>
      <c r="O55" s="153">
        <v>-23</v>
      </c>
      <c r="P55" s="154">
        <f t="shared" si="13"/>
        <v>-0.033045977011494254</v>
      </c>
      <c r="Q55" s="153">
        <v>600</v>
      </c>
      <c r="R55" s="153">
        <v>-40</v>
      </c>
      <c r="S55" s="154">
        <f t="shared" si="14"/>
        <v>-0.0625</v>
      </c>
      <c r="T55" s="155"/>
      <c r="U55" s="156">
        <f t="shared" si="17"/>
        <v>4221</v>
      </c>
      <c r="V55" s="153">
        <f t="shared" si="17"/>
        <v>-2</v>
      </c>
      <c r="W55" s="155">
        <f t="shared" si="15"/>
        <v>-0.0004735969689793985</v>
      </c>
      <c r="X55" s="157">
        <f t="shared" si="7"/>
        <v>41.80769230769231</v>
      </c>
    </row>
    <row r="56" spans="1:24" s="138" customFormat="1" ht="12.75">
      <c r="A56" s="145" t="s">
        <v>353</v>
      </c>
      <c r="B56" s="153">
        <v>419</v>
      </c>
      <c r="C56" s="153">
        <v>49</v>
      </c>
      <c r="D56" s="154">
        <f t="shared" si="9"/>
        <v>0.13243243243243244</v>
      </c>
      <c r="E56" s="153">
        <v>590</v>
      </c>
      <c r="F56" s="153">
        <v>-45</v>
      </c>
      <c r="G56" s="154">
        <f t="shared" si="10"/>
        <v>-0.07086614173228346</v>
      </c>
      <c r="H56" s="153">
        <v>786</v>
      </c>
      <c r="I56" s="153">
        <v>-145</v>
      </c>
      <c r="J56" s="154">
        <f t="shared" si="11"/>
        <v>-0.15574650912996776</v>
      </c>
      <c r="K56" s="153">
        <v>914</v>
      </c>
      <c r="L56" s="153">
        <v>-147</v>
      </c>
      <c r="M56" s="154">
        <f t="shared" si="12"/>
        <v>-0.13854853911404336</v>
      </c>
      <c r="N56" s="153">
        <v>1148</v>
      </c>
      <c r="O56" s="153">
        <v>280</v>
      </c>
      <c r="P56" s="154">
        <f t="shared" si="13"/>
        <v>0.3225806451612903</v>
      </c>
      <c r="Q56" s="153">
        <v>573</v>
      </c>
      <c r="R56" s="153">
        <v>-125</v>
      </c>
      <c r="S56" s="154">
        <f t="shared" si="14"/>
        <v>-0.17908309455587393</v>
      </c>
      <c r="T56" s="155"/>
      <c r="U56" s="156">
        <f t="shared" si="17"/>
        <v>4430</v>
      </c>
      <c r="V56" s="153">
        <f t="shared" si="17"/>
        <v>-133</v>
      </c>
      <c r="W56" s="155">
        <f t="shared" si="15"/>
        <v>-0.029147490685952224</v>
      </c>
      <c r="X56" s="157">
        <f t="shared" si="7"/>
        <v>40.65934065934066</v>
      </c>
    </row>
    <row r="57" spans="1:24" s="138" customFormat="1" ht="12.75">
      <c r="A57" s="145" t="s">
        <v>354</v>
      </c>
      <c r="B57" s="153">
        <v>625</v>
      </c>
      <c r="C57" s="153">
        <v>105</v>
      </c>
      <c r="D57" s="154">
        <f t="shared" si="9"/>
        <v>0.20192307692307693</v>
      </c>
      <c r="E57" s="153">
        <v>780</v>
      </c>
      <c r="F57" s="153">
        <v>-127</v>
      </c>
      <c r="G57" s="154">
        <f t="shared" si="10"/>
        <v>-0.14002205071664828</v>
      </c>
      <c r="H57" s="153">
        <v>1093</v>
      </c>
      <c r="I57" s="153">
        <v>-241</v>
      </c>
      <c r="J57" s="154">
        <f t="shared" si="11"/>
        <v>-0.18065967016491755</v>
      </c>
      <c r="K57" s="153">
        <v>1289</v>
      </c>
      <c r="L57" s="153">
        <v>-224</v>
      </c>
      <c r="M57" s="154">
        <f t="shared" si="12"/>
        <v>-0.14805023132848646</v>
      </c>
      <c r="N57" s="153">
        <v>1433</v>
      </c>
      <c r="O57" s="153">
        <v>216</v>
      </c>
      <c r="P57" s="154">
        <f t="shared" si="13"/>
        <v>0.17748562037797863</v>
      </c>
      <c r="Q57" s="153">
        <v>885</v>
      </c>
      <c r="R57" s="153">
        <v>-135</v>
      </c>
      <c r="S57" s="154">
        <f t="shared" si="14"/>
        <v>-0.1323529411764706</v>
      </c>
      <c r="T57" s="155"/>
      <c r="U57" s="156">
        <f t="shared" si="17"/>
        <v>6105</v>
      </c>
      <c r="V57" s="153">
        <f t="shared" si="17"/>
        <v>-406</v>
      </c>
      <c r="W57" s="155">
        <f t="shared" si="15"/>
        <v>-0.06235601290124405</v>
      </c>
      <c r="X57" s="157">
        <f t="shared" si="7"/>
        <v>31.456043956043956</v>
      </c>
    </row>
    <row r="58" spans="1:24" s="138" customFormat="1" ht="12.75">
      <c r="A58" s="145" t="s">
        <v>355</v>
      </c>
      <c r="B58" s="153">
        <v>683</v>
      </c>
      <c r="C58" s="153">
        <v>39</v>
      </c>
      <c r="D58" s="154">
        <f t="shared" si="9"/>
        <v>0.06055900621118013</v>
      </c>
      <c r="E58" s="153">
        <v>926</v>
      </c>
      <c r="F58" s="153">
        <v>-117</v>
      </c>
      <c r="G58" s="154">
        <f t="shared" si="10"/>
        <v>-0.11217641418983701</v>
      </c>
      <c r="H58" s="153">
        <v>1206</v>
      </c>
      <c r="I58" s="153">
        <v>-125</v>
      </c>
      <c r="J58" s="154">
        <f t="shared" si="11"/>
        <v>-0.09391435011269722</v>
      </c>
      <c r="K58" s="153">
        <v>1434</v>
      </c>
      <c r="L58" s="153">
        <v>58</v>
      </c>
      <c r="M58" s="154">
        <f t="shared" si="12"/>
        <v>0.04215116279069767</v>
      </c>
      <c r="N58" s="153">
        <v>1063</v>
      </c>
      <c r="O58" s="153">
        <v>-57</v>
      </c>
      <c r="P58" s="154">
        <f t="shared" si="13"/>
        <v>-0.05089285714285714</v>
      </c>
      <c r="Q58" s="153">
        <v>787</v>
      </c>
      <c r="R58" s="153">
        <v>-207</v>
      </c>
      <c r="S58" s="154">
        <f t="shared" si="14"/>
        <v>-0.20824949698189135</v>
      </c>
      <c r="T58" s="155"/>
      <c r="U58" s="156">
        <f t="shared" si="17"/>
        <v>6099</v>
      </c>
      <c r="V58" s="153">
        <f t="shared" si="17"/>
        <v>-409</v>
      </c>
      <c r="W58" s="155">
        <f t="shared" si="15"/>
        <v>-0.06284572833435771</v>
      </c>
      <c r="X58" s="157">
        <f t="shared" si="7"/>
        <v>31.489010989010985</v>
      </c>
    </row>
    <row r="59" spans="1:23" s="138" customFormat="1" ht="12.75">
      <c r="A59" s="159"/>
      <c r="B59" s="153"/>
      <c r="C59" s="153"/>
      <c r="D59" s="160"/>
      <c r="E59" s="153"/>
      <c r="F59" s="153"/>
      <c r="G59" s="160"/>
      <c r="H59" s="153"/>
      <c r="I59" s="153"/>
      <c r="J59" s="155"/>
      <c r="K59" s="153"/>
      <c r="L59" s="153"/>
      <c r="M59" s="155"/>
      <c r="N59" s="153"/>
      <c r="O59" s="153"/>
      <c r="P59" s="155"/>
      <c r="Q59" s="153"/>
      <c r="R59" s="153"/>
      <c r="S59" s="155"/>
      <c r="T59" s="155"/>
      <c r="U59" s="153"/>
      <c r="V59" s="153"/>
      <c r="W59" s="155"/>
    </row>
    <row r="60" spans="1:23" s="138" customFormat="1" ht="12.75">
      <c r="A60" s="145" t="s">
        <v>356</v>
      </c>
      <c r="B60" s="153">
        <v>461</v>
      </c>
      <c r="C60" s="153">
        <v>-6</v>
      </c>
      <c r="D60" s="154">
        <f aca="true" t="shared" si="18" ref="D60:D68">C60/(B60-C60)</f>
        <v>-0.01284796573875803</v>
      </c>
      <c r="E60" s="153">
        <v>584</v>
      </c>
      <c r="F60" s="153">
        <v>-143</v>
      </c>
      <c r="G60" s="154">
        <f aca="true" t="shared" si="19" ref="G60:G68">F60/(E60-F60)</f>
        <v>-0.19669876203576342</v>
      </c>
      <c r="H60" s="153">
        <v>871</v>
      </c>
      <c r="I60" s="153">
        <v>-207</v>
      </c>
      <c r="J60" s="154">
        <f aca="true" t="shared" si="20" ref="J60:J68">I60/(H60-I60)</f>
        <v>-0.19202226345083487</v>
      </c>
      <c r="K60" s="153">
        <v>1106</v>
      </c>
      <c r="L60" s="153">
        <v>-140</v>
      </c>
      <c r="M60" s="154">
        <f aca="true" t="shared" si="21" ref="M60:M68">L60/(K60-L60)</f>
        <v>-0.11235955056179775</v>
      </c>
      <c r="N60" s="153">
        <v>1208</v>
      </c>
      <c r="O60" s="153">
        <v>148</v>
      </c>
      <c r="P60" s="154">
        <f aca="true" t="shared" si="22" ref="P60:P68">O60/(N60-O60)</f>
        <v>0.13962264150943396</v>
      </c>
      <c r="Q60" s="153">
        <v>949</v>
      </c>
      <c r="R60" s="153">
        <v>36</v>
      </c>
      <c r="S60" s="154">
        <f aca="true" t="shared" si="23" ref="S60:S68">R60/(Q60-R60)</f>
        <v>0.03943044906900329</v>
      </c>
      <c r="T60" s="155"/>
      <c r="U60" s="156">
        <f aca="true" t="shared" si="24" ref="U60:V68">SUMIF($B$6:$T$6,U$6,$B60:$T60)</f>
        <v>5179</v>
      </c>
      <c r="V60" s="153">
        <f t="shared" si="24"/>
        <v>-312</v>
      </c>
      <c r="W60" s="155">
        <f aca="true" t="shared" si="25" ref="W60:W68">V60/(U60-V60)</f>
        <v>-0.05682025132034238</v>
      </c>
    </row>
    <row r="61" spans="1:23" s="138" customFormat="1" ht="12.75">
      <c r="A61" s="145" t="s">
        <v>357</v>
      </c>
      <c r="B61" s="153">
        <v>385</v>
      </c>
      <c r="C61" s="153">
        <v>-14</v>
      </c>
      <c r="D61" s="154">
        <f t="shared" si="18"/>
        <v>-0.03508771929824561</v>
      </c>
      <c r="E61" s="153">
        <v>525</v>
      </c>
      <c r="F61" s="153">
        <v>-142</v>
      </c>
      <c r="G61" s="154">
        <f t="shared" si="19"/>
        <v>-0.2128935532233883</v>
      </c>
      <c r="H61" s="153">
        <v>777</v>
      </c>
      <c r="I61" s="153">
        <v>-221</v>
      </c>
      <c r="J61" s="154">
        <f t="shared" si="20"/>
        <v>-0.22144288577154309</v>
      </c>
      <c r="K61" s="153">
        <v>980</v>
      </c>
      <c r="L61" s="153">
        <v>-178</v>
      </c>
      <c r="M61" s="154">
        <f t="shared" si="21"/>
        <v>-0.153713298791019</v>
      </c>
      <c r="N61" s="153">
        <v>1159</v>
      </c>
      <c r="O61" s="153">
        <v>176</v>
      </c>
      <c r="P61" s="154">
        <f t="shared" si="22"/>
        <v>0.1790437436419125</v>
      </c>
      <c r="Q61" s="153">
        <v>826</v>
      </c>
      <c r="R61" s="153">
        <v>-1</v>
      </c>
      <c r="S61" s="154">
        <f t="shared" si="23"/>
        <v>-0.0012091898428053204</v>
      </c>
      <c r="T61" s="155"/>
      <c r="U61" s="156">
        <f t="shared" si="24"/>
        <v>4652</v>
      </c>
      <c r="V61" s="153">
        <f t="shared" si="24"/>
        <v>-380</v>
      </c>
      <c r="W61" s="155">
        <f t="shared" si="25"/>
        <v>-0.075516693163752</v>
      </c>
    </row>
    <row r="62" spans="1:23" s="138" customFormat="1" ht="12.75">
      <c r="A62" s="145" t="s">
        <v>358</v>
      </c>
      <c r="B62" s="153">
        <v>500</v>
      </c>
      <c r="C62" s="153">
        <v>76</v>
      </c>
      <c r="D62" s="154">
        <f t="shared" si="18"/>
        <v>0.1792452830188679</v>
      </c>
      <c r="E62" s="153">
        <v>668</v>
      </c>
      <c r="F62" s="153">
        <v>-89</v>
      </c>
      <c r="G62" s="154">
        <f t="shared" si="19"/>
        <v>-0.11756935270805813</v>
      </c>
      <c r="H62" s="153">
        <v>919</v>
      </c>
      <c r="I62" s="153">
        <v>-216</v>
      </c>
      <c r="J62" s="154">
        <f t="shared" si="20"/>
        <v>-0.19030837004405288</v>
      </c>
      <c r="K62" s="153">
        <v>1112</v>
      </c>
      <c r="L62" s="153">
        <v>-190</v>
      </c>
      <c r="M62" s="154">
        <f t="shared" si="21"/>
        <v>-0.14592933947772657</v>
      </c>
      <c r="N62" s="153">
        <v>1319</v>
      </c>
      <c r="O62" s="153">
        <v>258</v>
      </c>
      <c r="P62" s="154">
        <f t="shared" si="22"/>
        <v>0.24316682375117812</v>
      </c>
      <c r="Q62" s="153">
        <v>727</v>
      </c>
      <c r="R62" s="153">
        <v>-137</v>
      </c>
      <c r="S62" s="154">
        <f t="shared" si="23"/>
        <v>-0.15856481481481483</v>
      </c>
      <c r="T62" s="155"/>
      <c r="U62" s="156">
        <f t="shared" si="24"/>
        <v>5245</v>
      </c>
      <c r="V62" s="153">
        <f t="shared" si="24"/>
        <v>-298</v>
      </c>
      <c r="W62" s="155">
        <f t="shared" si="25"/>
        <v>-0.053761500992242466</v>
      </c>
    </row>
    <row r="63" spans="1:23" s="138" customFormat="1" ht="12.75">
      <c r="A63" s="145" t="s">
        <v>359</v>
      </c>
      <c r="B63" s="153">
        <v>519</v>
      </c>
      <c r="C63" s="153">
        <v>95</v>
      </c>
      <c r="D63" s="154">
        <f t="shared" si="18"/>
        <v>0.2240566037735849</v>
      </c>
      <c r="E63" s="153">
        <v>742</v>
      </c>
      <c r="F63" s="153">
        <v>-98</v>
      </c>
      <c r="G63" s="154">
        <f t="shared" si="19"/>
        <v>-0.11666666666666667</v>
      </c>
      <c r="H63" s="153">
        <v>1010</v>
      </c>
      <c r="I63" s="153">
        <v>-238</v>
      </c>
      <c r="J63" s="154">
        <f t="shared" si="20"/>
        <v>-0.1907051282051282</v>
      </c>
      <c r="K63" s="153">
        <v>1277</v>
      </c>
      <c r="L63" s="153">
        <v>-113</v>
      </c>
      <c r="M63" s="154">
        <f t="shared" si="21"/>
        <v>-0.08129496402877698</v>
      </c>
      <c r="N63" s="153">
        <v>1256</v>
      </c>
      <c r="O63" s="153">
        <v>178</v>
      </c>
      <c r="P63" s="154">
        <f t="shared" si="22"/>
        <v>0.16512059369202226</v>
      </c>
      <c r="Q63" s="153">
        <v>675</v>
      </c>
      <c r="R63" s="153">
        <v>-183</v>
      </c>
      <c r="S63" s="154">
        <f t="shared" si="23"/>
        <v>-0.21328671328671328</v>
      </c>
      <c r="T63" s="155"/>
      <c r="U63" s="156">
        <f t="shared" si="24"/>
        <v>5479</v>
      </c>
      <c r="V63" s="153">
        <f t="shared" si="24"/>
        <v>-359</v>
      </c>
      <c r="W63" s="155">
        <f t="shared" si="25"/>
        <v>-0.06149366221308667</v>
      </c>
    </row>
    <row r="64" spans="1:23" s="138" customFormat="1" ht="12.75">
      <c r="A64" s="145" t="s">
        <v>360</v>
      </c>
      <c r="B64" s="153">
        <v>185</v>
      </c>
      <c r="C64" s="153">
        <v>21</v>
      </c>
      <c r="D64" s="154">
        <f t="shared" si="18"/>
        <v>0.12804878048780488</v>
      </c>
      <c r="E64" s="153">
        <v>326</v>
      </c>
      <c r="F64" s="153">
        <v>-13</v>
      </c>
      <c r="G64" s="154">
        <f t="shared" si="19"/>
        <v>-0.038348082595870206</v>
      </c>
      <c r="H64" s="153">
        <v>426</v>
      </c>
      <c r="I64" s="153">
        <v>-129</v>
      </c>
      <c r="J64" s="154">
        <f t="shared" si="20"/>
        <v>-0.23243243243243245</v>
      </c>
      <c r="K64" s="153">
        <v>509</v>
      </c>
      <c r="L64" s="153">
        <v>-134</v>
      </c>
      <c r="M64" s="154">
        <f t="shared" si="21"/>
        <v>-0.208398133748056</v>
      </c>
      <c r="N64" s="153">
        <v>607</v>
      </c>
      <c r="O64" s="153">
        <v>100</v>
      </c>
      <c r="P64" s="154">
        <f t="shared" si="22"/>
        <v>0.19723865877712032</v>
      </c>
      <c r="Q64" s="153">
        <v>303</v>
      </c>
      <c r="R64" s="153">
        <v>-70</v>
      </c>
      <c r="S64" s="154">
        <f t="shared" si="23"/>
        <v>-0.1876675603217158</v>
      </c>
      <c r="T64" s="155"/>
      <c r="U64" s="156">
        <f t="shared" si="24"/>
        <v>2356</v>
      </c>
      <c r="V64" s="153">
        <f t="shared" si="24"/>
        <v>-225</v>
      </c>
      <c r="W64" s="155">
        <f t="shared" si="25"/>
        <v>-0.08717551336691205</v>
      </c>
    </row>
    <row r="65" spans="1:23" s="138" customFormat="1" ht="12.75">
      <c r="A65" s="145" t="s">
        <v>361</v>
      </c>
      <c r="B65" s="153">
        <v>249</v>
      </c>
      <c r="C65" s="153">
        <v>36</v>
      </c>
      <c r="D65" s="154">
        <f t="shared" si="18"/>
        <v>0.16901408450704225</v>
      </c>
      <c r="E65" s="153">
        <v>448</v>
      </c>
      <c r="F65" s="153">
        <v>-1</v>
      </c>
      <c r="G65" s="154">
        <f t="shared" si="19"/>
        <v>-0.0022271714922048997</v>
      </c>
      <c r="H65" s="153">
        <v>601</v>
      </c>
      <c r="I65" s="153">
        <v>-114</v>
      </c>
      <c r="J65" s="154">
        <f t="shared" si="20"/>
        <v>-0.15944055944055943</v>
      </c>
      <c r="K65" s="153">
        <v>705</v>
      </c>
      <c r="L65" s="153">
        <v>-115</v>
      </c>
      <c r="M65" s="154">
        <f t="shared" si="21"/>
        <v>-0.1402439024390244</v>
      </c>
      <c r="N65" s="153">
        <v>753</v>
      </c>
      <c r="O65" s="153">
        <v>130</v>
      </c>
      <c r="P65" s="154">
        <f t="shared" si="22"/>
        <v>0.2086677367576244</v>
      </c>
      <c r="Q65" s="153">
        <v>293</v>
      </c>
      <c r="R65" s="153">
        <v>-159</v>
      </c>
      <c r="S65" s="154">
        <f t="shared" si="23"/>
        <v>-0.35176991150442477</v>
      </c>
      <c r="T65" s="155"/>
      <c r="U65" s="156">
        <f t="shared" si="24"/>
        <v>3049</v>
      </c>
      <c r="V65" s="153">
        <f t="shared" si="24"/>
        <v>-223</v>
      </c>
      <c r="W65" s="155">
        <f t="shared" si="25"/>
        <v>-0.06815403422982885</v>
      </c>
    </row>
    <row r="66" spans="1:23" s="138" customFormat="1" ht="12.75">
      <c r="A66" s="145" t="s">
        <v>362</v>
      </c>
      <c r="B66" s="153">
        <v>97</v>
      </c>
      <c r="C66" s="153">
        <v>14</v>
      </c>
      <c r="D66" s="154">
        <f t="shared" si="18"/>
        <v>0.1686746987951807</v>
      </c>
      <c r="E66" s="153">
        <v>249</v>
      </c>
      <c r="F66" s="153">
        <v>-44</v>
      </c>
      <c r="G66" s="154">
        <f t="shared" si="19"/>
        <v>-0.15017064846416384</v>
      </c>
      <c r="H66" s="153">
        <v>466</v>
      </c>
      <c r="I66" s="153">
        <v>-54</v>
      </c>
      <c r="J66" s="154">
        <f t="shared" si="20"/>
        <v>-0.10384615384615385</v>
      </c>
      <c r="K66" s="153">
        <v>630</v>
      </c>
      <c r="L66" s="153">
        <v>37</v>
      </c>
      <c r="M66" s="154">
        <f t="shared" si="21"/>
        <v>0.06239460370994941</v>
      </c>
      <c r="N66" s="153">
        <v>452</v>
      </c>
      <c r="O66" s="153">
        <v>38</v>
      </c>
      <c r="P66" s="154">
        <f t="shared" si="22"/>
        <v>0.09178743961352658</v>
      </c>
      <c r="Q66" s="153">
        <v>164</v>
      </c>
      <c r="R66" s="153">
        <v>-99</v>
      </c>
      <c r="S66" s="154">
        <f t="shared" si="23"/>
        <v>-0.376425855513308</v>
      </c>
      <c r="T66" s="155"/>
      <c r="U66" s="156">
        <f t="shared" si="24"/>
        <v>2058</v>
      </c>
      <c r="V66" s="153">
        <f t="shared" si="24"/>
        <v>-108</v>
      </c>
      <c r="W66" s="155">
        <f t="shared" si="25"/>
        <v>-0.04986149584487535</v>
      </c>
    </row>
    <row r="67" spans="1:23" s="138" customFormat="1" ht="12.75">
      <c r="A67" s="145" t="s">
        <v>363</v>
      </c>
      <c r="B67" s="153">
        <v>372</v>
      </c>
      <c r="C67" s="153">
        <v>12</v>
      </c>
      <c r="D67" s="154">
        <f t="shared" si="18"/>
        <v>0.03333333333333333</v>
      </c>
      <c r="E67" s="153">
        <v>583</v>
      </c>
      <c r="F67" s="153">
        <v>-93</v>
      </c>
      <c r="G67" s="154">
        <f t="shared" si="19"/>
        <v>-0.13757396449704143</v>
      </c>
      <c r="H67" s="153">
        <v>914</v>
      </c>
      <c r="I67" s="153">
        <v>-14</v>
      </c>
      <c r="J67" s="154">
        <f t="shared" si="20"/>
        <v>-0.015086206896551725</v>
      </c>
      <c r="K67" s="153">
        <v>1049</v>
      </c>
      <c r="L67" s="153">
        <v>98</v>
      </c>
      <c r="M67" s="154">
        <f t="shared" si="21"/>
        <v>0.10304942166140904</v>
      </c>
      <c r="N67" s="153">
        <v>712</v>
      </c>
      <c r="O67" s="153">
        <v>-25</v>
      </c>
      <c r="P67" s="154">
        <f t="shared" si="22"/>
        <v>-0.033921302578018994</v>
      </c>
      <c r="Q67" s="153">
        <v>492</v>
      </c>
      <c r="R67" s="153">
        <v>-141</v>
      </c>
      <c r="S67" s="154">
        <f t="shared" si="23"/>
        <v>-0.22274881516587677</v>
      </c>
      <c r="T67" s="155"/>
      <c r="U67" s="156">
        <f t="shared" si="24"/>
        <v>4122</v>
      </c>
      <c r="V67" s="153">
        <f t="shared" si="24"/>
        <v>-163</v>
      </c>
      <c r="W67" s="155">
        <f t="shared" si="25"/>
        <v>-0.03803967327887981</v>
      </c>
    </row>
    <row r="68" spans="1:23" s="138" customFormat="1" ht="12.75">
      <c r="A68" s="145" t="s">
        <v>364</v>
      </c>
      <c r="B68" s="153">
        <v>184</v>
      </c>
      <c r="C68" s="153">
        <v>-2</v>
      </c>
      <c r="D68" s="154">
        <f t="shared" si="18"/>
        <v>-0.010752688172043012</v>
      </c>
      <c r="E68" s="153">
        <v>342</v>
      </c>
      <c r="F68" s="153">
        <v>-54</v>
      </c>
      <c r="G68" s="154">
        <f t="shared" si="19"/>
        <v>-0.13636363636363635</v>
      </c>
      <c r="H68" s="153">
        <v>544</v>
      </c>
      <c r="I68" s="153">
        <v>-19</v>
      </c>
      <c r="J68" s="154">
        <f t="shared" si="20"/>
        <v>-0.03374777975133215</v>
      </c>
      <c r="K68" s="153">
        <v>626</v>
      </c>
      <c r="L68" s="153">
        <v>62</v>
      </c>
      <c r="M68" s="154">
        <f t="shared" si="21"/>
        <v>0.1099290780141844</v>
      </c>
      <c r="N68" s="153">
        <v>440</v>
      </c>
      <c r="O68" s="153">
        <v>1</v>
      </c>
      <c r="P68" s="154">
        <f t="shared" si="22"/>
        <v>0.002277904328018223</v>
      </c>
      <c r="Q68" s="153">
        <v>308</v>
      </c>
      <c r="R68" s="153">
        <v>-108</v>
      </c>
      <c r="S68" s="154">
        <f t="shared" si="23"/>
        <v>-0.25961538461538464</v>
      </c>
      <c r="T68" s="155"/>
      <c r="U68" s="156">
        <f t="shared" si="24"/>
        <v>2444</v>
      </c>
      <c r="V68" s="153">
        <f t="shared" si="24"/>
        <v>-120</v>
      </c>
      <c r="W68" s="155">
        <f t="shared" si="25"/>
        <v>-0.046801872074883</v>
      </c>
    </row>
    <row r="69" spans="1:23" ht="15">
      <c r="A69" s="161"/>
      <c r="B69" s="162"/>
      <c r="C69" s="162"/>
      <c r="D69" s="162"/>
      <c r="E69" s="162"/>
      <c r="F69" s="162"/>
      <c r="G69" s="162"/>
      <c r="H69" s="163"/>
      <c r="I69" s="163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</row>
    <row r="70" spans="1:23" ht="15">
      <c r="A70" s="166" t="s">
        <v>365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</sheetData>
  <mergeCells count="8">
    <mergeCell ref="N4:P4"/>
    <mergeCell ref="Q4:S4"/>
    <mergeCell ref="U4:X4"/>
    <mergeCell ref="U5:X5"/>
    <mergeCell ref="B4:D4"/>
    <mergeCell ref="E4:G4"/>
    <mergeCell ref="H4:J4"/>
    <mergeCell ref="K4:M4"/>
  </mergeCells>
  <hyperlinks>
    <hyperlink ref="B2" r:id="rId1" display="http://www.cpc.ncep.noaa.gov/products/analysis_monitoring/cdus/degree_days/msahddy.txt"/>
  </hyperlinks>
  <printOptions gridLines="1"/>
  <pageMargins left="0.17" right="0.17" top="0.58" bottom="0.64" header="0.33" footer="0.5"/>
  <pageSetup horizontalDpi="600" verticalDpi="600" orientation="landscape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76"/>
  <sheetViews>
    <sheetView workbookViewId="0" topLeftCell="A34">
      <selection activeCell="A2" sqref="A2:E2"/>
    </sheetView>
  </sheetViews>
  <sheetFormatPr defaultColWidth="9.00390625" defaultRowHeight="12.75"/>
  <cols>
    <col min="1" max="1" width="25.125" style="24" customWidth="1"/>
    <col min="2" max="2" width="17.75390625" style="24" customWidth="1"/>
    <col min="3" max="3" width="17.50390625" style="24" customWidth="1"/>
    <col min="4" max="4" width="21.375" style="24" customWidth="1"/>
    <col min="5" max="5" width="13.25390625" style="24" customWidth="1"/>
    <col min="6" max="6" width="20.375" style="24" customWidth="1"/>
    <col min="7" max="7" width="11.25390625" style="24" customWidth="1"/>
    <col min="8" max="16384" width="8.875" style="24" customWidth="1"/>
  </cols>
  <sheetData>
    <row r="1" spans="1:7" s="5" customFormat="1" ht="40.5" customHeight="1">
      <c r="A1" s="193" t="str">
        <f>"FY 2007 Low Income Home Energy Assistance Program (LIHEAP) State and Territory Allocations of "&amp;TEXT(C3/1000000,"$0.00")&amp;" Million Emergency Contingency Funds Reflecting Block Grant Ratios, FY07 Heating Season Temperatures and Low-Income Households Using Fuel Oil."</f>
        <v>FY 2007 Low Income Home Energy Assistance Program (LIHEAP) State and Territory Allocations of $131.17 Million Emergency Contingency Funds Reflecting Block Grant Ratios, FY07 Heating Season Temperatures and Low-Income Households Using Fuel Oil.</v>
      </c>
      <c r="B1" s="193"/>
      <c r="C1" s="193"/>
      <c r="D1" s="193"/>
      <c r="E1" s="193"/>
      <c r="F1" s="193"/>
      <c r="G1" s="136"/>
    </row>
    <row r="2" spans="1:7" ht="14.25" customHeight="1">
      <c r="A2" s="194"/>
      <c r="B2" s="194"/>
      <c r="C2" s="194"/>
      <c r="D2" s="194"/>
      <c r="E2" s="194"/>
      <c r="F2" s="72"/>
      <c r="G2" s="72"/>
    </row>
    <row r="3" spans="1:4" ht="12.75">
      <c r="A3" s="5" t="s">
        <v>398</v>
      </c>
      <c r="C3" s="58">
        <v>131170000</v>
      </c>
      <c r="D3" s="27" t="s">
        <v>267</v>
      </c>
    </row>
    <row r="4" spans="1:4" ht="12.75">
      <c r="A4" s="5"/>
      <c r="C4" s="58"/>
      <c r="D4" s="27"/>
    </row>
    <row r="5" spans="1:6" ht="44.25" customHeight="1">
      <c r="A5" s="37" t="s">
        <v>0</v>
      </c>
      <c r="B5" s="73" t="s">
        <v>408</v>
      </c>
      <c r="C5" s="73" t="s">
        <v>405</v>
      </c>
      <c r="D5" s="179" t="s">
        <v>406</v>
      </c>
      <c r="E5" s="179" t="s">
        <v>399</v>
      </c>
      <c r="F5" s="180" t="s">
        <v>400</v>
      </c>
    </row>
    <row r="6" spans="4:6" ht="12.75">
      <c r="D6" s="49"/>
      <c r="E6" s="49"/>
      <c r="F6" s="181"/>
    </row>
    <row r="7" spans="1:6" ht="12.75">
      <c r="A7" s="34" t="s">
        <v>2</v>
      </c>
      <c r="B7" s="29">
        <v>0</v>
      </c>
      <c r="C7" s="29">
        <v>911873</v>
      </c>
      <c r="D7" s="29">
        <f>B7+C7</f>
        <v>911873</v>
      </c>
      <c r="E7" s="29">
        <v>5266</v>
      </c>
      <c r="F7" s="71">
        <v>906607</v>
      </c>
    </row>
    <row r="8" spans="1:6" ht="12.75">
      <c r="A8" s="34" t="s">
        <v>3</v>
      </c>
      <c r="B8" s="29">
        <v>1167785</v>
      </c>
      <c r="C8" s="29">
        <v>582069</v>
      </c>
      <c r="D8" s="29">
        <f aca="true" t="shared" si="0" ref="D8:D57">B8+C8</f>
        <v>1749854</v>
      </c>
      <c r="E8" s="29">
        <v>537206</v>
      </c>
      <c r="F8" s="71">
        <v>1212648</v>
      </c>
    </row>
    <row r="9" spans="1:6" ht="12.75">
      <c r="A9" s="34" t="s">
        <v>4</v>
      </c>
      <c r="B9" s="29">
        <v>0</v>
      </c>
      <c r="C9" s="29">
        <v>440993</v>
      </c>
      <c r="D9" s="29">
        <f t="shared" si="0"/>
        <v>440993</v>
      </c>
      <c r="E9" s="29">
        <v>35830</v>
      </c>
      <c r="F9" s="71">
        <v>405163</v>
      </c>
    </row>
    <row r="10" spans="1:6" ht="12.75">
      <c r="A10" s="34" t="s">
        <v>5</v>
      </c>
      <c r="B10" s="29">
        <v>0</v>
      </c>
      <c r="C10" s="29">
        <v>695802</v>
      </c>
      <c r="D10" s="29">
        <f t="shared" si="0"/>
        <v>695802</v>
      </c>
      <c r="E10" s="29"/>
      <c r="F10" s="71">
        <v>695802</v>
      </c>
    </row>
    <row r="11" spans="1:6" ht="12.75">
      <c r="A11" s="34" t="s">
        <v>6</v>
      </c>
      <c r="B11" s="29">
        <v>0</v>
      </c>
      <c r="C11" s="29">
        <v>4891934</v>
      </c>
      <c r="D11" s="29">
        <f t="shared" si="0"/>
        <v>4891934</v>
      </c>
      <c r="E11" s="29">
        <v>39523</v>
      </c>
      <c r="F11" s="71">
        <v>4852411</v>
      </c>
    </row>
    <row r="12" spans="1:6" ht="12.75">
      <c r="A12" s="34" t="s">
        <v>7</v>
      </c>
      <c r="B12" s="29">
        <v>0</v>
      </c>
      <c r="C12" s="29">
        <v>1705665</v>
      </c>
      <c r="D12" s="29">
        <f t="shared" si="0"/>
        <v>1705665</v>
      </c>
      <c r="E12" s="29"/>
      <c r="F12" s="71">
        <v>1705665</v>
      </c>
    </row>
    <row r="13" spans="1:6" ht="12.75">
      <c r="A13" s="34" t="s">
        <v>8</v>
      </c>
      <c r="B13" s="29">
        <v>4956918</v>
      </c>
      <c r="C13" s="29">
        <v>2225100</v>
      </c>
      <c r="D13" s="29">
        <f t="shared" si="0"/>
        <v>7182018</v>
      </c>
      <c r="E13" s="29"/>
      <c r="F13" s="71">
        <v>7182018</v>
      </c>
    </row>
    <row r="14" spans="1:6" ht="12.75">
      <c r="A14" s="34" t="s">
        <v>9</v>
      </c>
      <c r="B14" s="29">
        <v>0</v>
      </c>
      <c r="C14" s="29">
        <v>295339</v>
      </c>
      <c r="D14" s="29">
        <f t="shared" si="0"/>
        <v>295339</v>
      </c>
      <c r="E14" s="29"/>
      <c r="F14" s="71">
        <v>295339</v>
      </c>
    </row>
    <row r="15" spans="1:6" ht="12.75">
      <c r="A15" s="34" t="s">
        <v>55</v>
      </c>
      <c r="B15" s="29">
        <v>0</v>
      </c>
      <c r="C15" s="29">
        <v>345562</v>
      </c>
      <c r="D15" s="29">
        <f t="shared" si="0"/>
        <v>345562</v>
      </c>
      <c r="E15" s="29"/>
      <c r="F15" s="71">
        <v>345562</v>
      </c>
    </row>
    <row r="16" spans="1:6" ht="12.75">
      <c r="A16" s="34" t="s">
        <v>10</v>
      </c>
      <c r="B16" s="29">
        <v>0</v>
      </c>
      <c r="C16" s="29">
        <v>1442856</v>
      </c>
      <c r="D16" s="29">
        <f t="shared" si="0"/>
        <v>1442856</v>
      </c>
      <c r="E16" s="29">
        <v>370</v>
      </c>
      <c r="F16" s="71">
        <v>1442486</v>
      </c>
    </row>
    <row r="17" spans="1:6" ht="12.75">
      <c r="A17" s="34" t="s">
        <v>11</v>
      </c>
      <c r="B17" s="29">
        <v>0</v>
      </c>
      <c r="C17" s="29">
        <v>1140799</v>
      </c>
      <c r="D17" s="29">
        <f t="shared" si="0"/>
        <v>1140799</v>
      </c>
      <c r="E17" s="29"/>
      <c r="F17" s="71">
        <v>1140799</v>
      </c>
    </row>
    <row r="18" spans="1:6" ht="12.75">
      <c r="A18" s="34" t="s">
        <v>12</v>
      </c>
      <c r="B18" s="29">
        <v>0</v>
      </c>
      <c r="C18" s="29">
        <v>114885</v>
      </c>
      <c r="D18" s="29">
        <f t="shared" si="0"/>
        <v>114885</v>
      </c>
      <c r="E18" s="29"/>
      <c r="F18" s="71">
        <v>114885</v>
      </c>
    </row>
    <row r="19" spans="1:6" ht="12.75">
      <c r="A19" s="34" t="s">
        <v>13</v>
      </c>
      <c r="B19" s="29">
        <v>0</v>
      </c>
      <c r="C19" s="29">
        <v>665323</v>
      </c>
      <c r="D19" s="29">
        <f t="shared" si="0"/>
        <v>665323</v>
      </c>
      <c r="E19" s="29">
        <v>32285</v>
      </c>
      <c r="F19" s="71">
        <v>633038</v>
      </c>
    </row>
    <row r="20" spans="1:6" ht="12.75">
      <c r="A20" s="34" t="s">
        <v>14</v>
      </c>
      <c r="B20" s="29">
        <v>0</v>
      </c>
      <c r="C20" s="29">
        <v>6158693</v>
      </c>
      <c r="D20" s="29">
        <f t="shared" si="0"/>
        <v>6158693</v>
      </c>
      <c r="E20" s="29"/>
      <c r="F20" s="71">
        <v>6158693</v>
      </c>
    </row>
    <row r="21" spans="1:6" ht="12.75">
      <c r="A21" s="34" t="s">
        <v>15</v>
      </c>
      <c r="B21" s="29">
        <v>0</v>
      </c>
      <c r="C21" s="29">
        <v>2788483</v>
      </c>
      <c r="D21" s="29">
        <f t="shared" si="0"/>
        <v>2788483</v>
      </c>
      <c r="E21" s="29">
        <v>362</v>
      </c>
      <c r="F21" s="71">
        <v>2788121</v>
      </c>
    </row>
    <row r="22" spans="1:6" ht="12.75">
      <c r="A22" s="34" t="s">
        <v>16</v>
      </c>
      <c r="B22" s="29">
        <v>0</v>
      </c>
      <c r="C22" s="29">
        <v>1976235</v>
      </c>
      <c r="D22" s="29">
        <f t="shared" si="0"/>
        <v>1976235</v>
      </c>
      <c r="E22" s="29"/>
      <c r="F22" s="71">
        <v>1976235</v>
      </c>
    </row>
    <row r="23" spans="1:6" ht="12.75">
      <c r="A23" s="34" t="s">
        <v>17</v>
      </c>
      <c r="B23" s="29">
        <v>0</v>
      </c>
      <c r="C23" s="29">
        <v>907576</v>
      </c>
      <c r="D23" s="29">
        <f t="shared" si="0"/>
        <v>907576</v>
      </c>
      <c r="E23" s="29">
        <v>869</v>
      </c>
      <c r="F23" s="71">
        <v>906707</v>
      </c>
    </row>
    <row r="24" spans="1:6" ht="12.75">
      <c r="A24" s="34" t="s">
        <v>18</v>
      </c>
      <c r="B24" s="29">
        <v>0</v>
      </c>
      <c r="C24" s="29">
        <v>1451117</v>
      </c>
      <c r="D24" s="29">
        <f t="shared" si="0"/>
        <v>1451117</v>
      </c>
      <c r="E24" s="29"/>
      <c r="F24" s="71">
        <v>1451117</v>
      </c>
    </row>
    <row r="25" spans="1:6" ht="12.75">
      <c r="A25" s="34" t="s">
        <v>19</v>
      </c>
      <c r="B25" s="29">
        <v>0</v>
      </c>
      <c r="C25" s="29">
        <v>932250</v>
      </c>
      <c r="D25" s="29">
        <f t="shared" si="0"/>
        <v>932250</v>
      </c>
      <c r="E25" s="29"/>
      <c r="F25" s="71">
        <v>932250</v>
      </c>
    </row>
    <row r="26" spans="1:6" ht="12.75">
      <c r="A26" s="34" t="s">
        <v>20</v>
      </c>
      <c r="B26" s="29">
        <v>5768233</v>
      </c>
      <c r="C26" s="29">
        <v>1441510</v>
      </c>
      <c r="D26" s="29">
        <f t="shared" si="0"/>
        <v>7209743</v>
      </c>
      <c r="E26" s="29">
        <v>263518</v>
      </c>
      <c r="F26" s="71">
        <v>6946225</v>
      </c>
    </row>
    <row r="27" spans="1:6" ht="12.75">
      <c r="A27" s="34" t="s">
        <v>21</v>
      </c>
      <c r="B27" s="29">
        <v>0</v>
      </c>
      <c r="C27" s="29">
        <v>1703731</v>
      </c>
      <c r="D27" s="29">
        <f t="shared" si="0"/>
        <v>1703731</v>
      </c>
      <c r="E27" s="29"/>
      <c r="F27" s="71">
        <v>1703731</v>
      </c>
    </row>
    <row r="28" spans="1:6" ht="12.75">
      <c r="A28" s="34" t="s">
        <v>22</v>
      </c>
      <c r="B28" s="29">
        <v>7490761</v>
      </c>
      <c r="C28" s="29">
        <v>4450937</v>
      </c>
      <c r="D28" s="29">
        <f t="shared" si="0"/>
        <v>11941698</v>
      </c>
      <c r="E28" s="29">
        <v>4776</v>
      </c>
      <c r="F28" s="71">
        <v>11936922</v>
      </c>
    </row>
    <row r="29" spans="1:6" ht="12.75">
      <c r="A29" s="34" t="s">
        <v>23</v>
      </c>
      <c r="B29" s="29">
        <v>0</v>
      </c>
      <c r="C29" s="29">
        <v>5847139</v>
      </c>
      <c r="D29" s="29">
        <f t="shared" si="0"/>
        <v>5847139</v>
      </c>
      <c r="E29" s="29">
        <v>44756</v>
      </c>
      <c r="F29" s="71">
        <v>5802383</v>
      </c>
    </row>
    <row r="30" spans="1:6" ht="12.75">
      <c r="A30" s="34" t="s">
        <v>24</v>
      </c>
      <c r="B30" s="29">
        <v>0</v>
      </c>
      <c r="C30" s="29">
        <v>4212533</v>
      </c>
      <c r="D30" s="29">
        <f t="shared" si="0"/>
        <v>4212533</v>
      </c>
      <c r="E30" s="29"/>
      <c r="F30" s="71">
        <v>4212533</v>
      </c>
    </row>
    <row r="31" spans="1:6" ht="12.75">
      <c r="A31" s="34" t="s">
        <v>25</v>
      </c>
      <c r="B31" s="29">
        <v>0</v>
      </c>
      <c r="C31" s="29">
        <v>781790</v>
      </c>
      <c r="D31" s="29">
        <f t="shared" si="0"/>
        <v>781790</v>
      </c>
      <c r="E31" s="29">
        <v>1482</v>
      </c>
      <c r="F31" s="71">
        <v>780308</v>
      </c>
    </row>
    <row r="32" spans="1:6" ht="12.75">
      <c r="A32" s="34" t="s">
        <v>26</v>
      </c>
      <c r="B32" s="29">
        <v>0</v>
      </c>
      <c r="C32" s="29">
        <v>2460022</v>
      </c>
      <c r="D32" s="29">
        <f t="shared" si="0"/>
        <v>2460022</v>
      </c>
      <c r="E32" s="29"/>
      <c r="F32" s="71">
        <v>2460022</v>
      </c>
    </row>
    <row r="33" spans="1:6" ht="12.75">
      <c r="A33" s="34" t="s">
        <v>27</v>
      </c>
      <c r="B33" s="29">
        <v>0</v>
      </c>
      <c r="C33" s="29">
        <v>780382</v>
      </c>
      <c r="D33" s="29">
        <f t="shared" si="0"/>
        <v>780382</v>
      </c>
      <c r="E33" s="29">
        <v>136415</v>
      </c>
      <c r="F33" s="71">
        <v>643967</v>
      </c>
    </row>
    <row r="34" spans="1:6" ht="12.75">
      <c r="A34" s="34" t="s">
        <v>28</v>
      </c>
      <c r="B34" s="29">
        <v>0</v>
      </c>
      <c r="C34" s="29">
        <v>977324</v>
      </c>
      <c r="D34" s="29">
        <f t="shared" si="0"/>
        <v>977324</v>
      </c>
      <c r="E34" s="29">
        <v>544</v>
      </c>
      <c r="F34" s="71">
        <v>976780</v>
      </c>
    </row>
    <row r="35" spans="1:6" ht="12.75">
      <c r="A35" s="34" t="s">
        <v>29</v>
      </c>
      <c r="B35" s="29">
        <v>0</v>
      </c>
      <c r="C35" s="29">
        <v>207121</v>
      </c>
      <c r="D35" s="29">
        <f t="shared" si="0"/>
        <v>207121</v>
      </c>
      <c r="E35" s="29"/>
      <c r="F35" s="71">
        <v>207121</v>
      </c>
    </row>
    <row r="36" spans="1:6" ht="12.75">
      <c r="A36" s="34" t="s">
        <v>30</v>
      </c>
      <c r="B36" s="29">
        <v>2433385</v>
      </c>
      <c r="C36" s="29">
        <v>842472</v>
      </c>
      <c r="D36" s="29">
        <f t="shared" si="0"/>
        <v>3275857</v>
      </c>
      <c r="E36" s="29"/>
      <c r="F36" s="71">
        <v>3275857</v>
      </c>
    </row>
    <row r="37" spans="1:6" ht="12.75">
      <c r="A37" s="34" t="s">
        <v>31</v>
      </c>
      <c r="B37" s="29">
        <v>0</v>
      </c>
      <c r="C37" s="29">
        <v>4132003</v>
      </c>
      <c r="D37" s="29">
        <f t="shared" si="0"/>
        <v>4132003</v>
      </c>
      <c r="E37" s="29">
        <v>10331</v>
      </c>
      <c r="F37" s="71">
        <v>4121672</v>
      </c>
    </row>
    <row r="38" spans="1:6" ht="12.75">
      <c r="A38" s="34" t="s">
        <v>32</v>
      </c>
      <c r="B38" s="29">
        <v>0</v>
      </c>
      <c r="C38" s="29">
        <v>552092</v>
      </c>
      <c r="D38" s="29">
        <f t="shared" si="0"/>
        <v>552092</v>
      </c>
      <c r="E38" s="29">
        <v>43222</v>
      </c>
      <c r="F38" s="71">
        <v>508870</v>
      </c>
    </row>
    <row r="39" spans="1:6" ht="12.75">
      <c r="A39" s="34" t="s">
        <v>33</v>
      </c>
      <c r="B39" s="29">
        <v>0</v>
      </c>
      <c r="C39" s="29">
        <v>13491614</v>
      </c>
      <c r="D39" s="29">
        <f t="shared" si="0"/>
        <v>13491614</v>
      </c>
      <c r="E39" s="29">
        <v>21978</v>
      </c>
      <c r="F39" s="71">
        <v>13469636</v>
      </c>
    </row>
    <row r="40" spans="1:6" ht="12.75">
      <c r="A40" s="34" t="s">
        <v>34</v>
      </c>
      <c r="B40" s="29">
        <v>0</v>
      </c>
      <c r="C40" s="29">
        <v>2010660</v>
      </c>
      <c r="D40" s="29">
        <f t="shared" si="0"/>
        <v>2010660</v>
      </c>
      <c r="E40" s="29">
        <v>35758</v>
      </c>
      <c r="F40" s="71">
        <v>1974902</v>
      </c>
    </row>
    <row r="41" spans="1:6" ht="12.75">
      <c r="A41" s="34" t="s">
        <v>35</v>
      </c>
      <c r="B41" s="29">
        <v>0</v>
      </c>
      <c r="C41" s="29">
        <v>847730</v>
      </c>
      <c r="D41" s="29">
        <f t="shared" si="0"/>
        <v>847730</v>
      </c>
      <c r="E41" s="29">
        <v>154288</v>
      </c>
      <c r="F41" s="71">
        <v>693442</v>
      </c>
    </row>
    <row r="42" spans="1:6" ht="12.75">
      <c r="A42" s="34" t="s">
        <v>36</v>
      </c>
      <c r="B42" s="29">
        <v>0</v>
      </c>
      <c r="C42" s="29">
        <v>5448284</v>
      </c>
      <c r="D42" s="29">
        <f t="shared" si="0"/>
        <v>5448284</v>
      </c>
      <c r="E42" s="29"/>
      <c r="F42" s="71">
        <v>5448284</v>
      </c>
    </row>
    <row r="43" spans="1:6" ht="12.75">
      <c r="A43" s="34" t="s">
        <v>37</v>
      </c>
      <c r="B43" s="29">
        <v>0</v>
      </c>
      <c r="C43" s="29">
        <v>838199</v>
      </c>
      <c r="D43" s="29">
        <f t="shared" si="0"/>
        <v>838199</v>
      </c>
      <c r="E43" s="29">
        <v>76708</v>
      </c>
      <c r="F43" s="71">
        <v>761491</v>
      </c>
    </row>
    <row r="44" spans="1:6" ht="12.75">
      <c r="A44" s="34" t="s">
        <v>38</v>
      </c>
      <c r="B44" s="29">
        <v>0</v>
      </c>
      <c r="C44" s="29">
        <v>1321962</v>
      </c>
      <c r="D44" s="29">
        <f t="shared" si="0"/>
        <v>1321962</v>
      </c>
      <c r="E44" s="29">
        <v>30851</v>
      </c>
      <c r="F44" s="71">
        <v>1291111</v>
      </c>
    </row>
    <row r="45" spans="1:6" ht="12.75">
      <c r="A45" s="34" t="s">
        <v>39</v>
      </c>
      <c r="B45" s="29">
        <v>0</v>
      </c>
      <c r="C45" s="29">
        <v>7246987</v>
      </c>
      <c r="D45" s="29">
        <f t="shared" si="0"/>
        <v>7246987</v>
      </c>
      <c r="E45" s="29"/>
      <c r="F45" s="71">
        <v>7246987</v>
      </c>
    </row>
    <row r="46" spans="1:6" ht="12.75">
      <c r="A46" s="34" t="s">
        <v>40</v>
      </c>
      <c r="B46" s="29">
        <v>1265202</v>
      </c>
      <c r="C46" s="29">
        <v>732650</v>
      </c>
      <c r="D46" s="29">
        <f t="shared" si="0"/>
        <v>1997852</v>
      </c>
      <c r="E46" s="29">
        <v>5661</v>
      </c>
      <c r="F46" s="71">
        <v>1992191</v>
      </c>
    </row>
    <row r="47" spans="1:6" ht="12.75">
      <c r="A47" s="34" t="s">
        <v>41</v>
      </c>
      <c r="B47" s="29">
        <v>0</v>
      </c>
      <c r="C47" s="29">
        <v>724213</v>
      </c>
      <c r="D47" s="29">
        <f t="shared" si="0"/>
        <v>724213</v>
      </c>
      <c r="E47" s="29"/>
      <c r="F47" s="71">
        <v>724213</v>
      </c>
    </row>
    <row r="48" spans="1:6" ht="12.75">
      <c r="A48" s="34" t="s">
        <v>42</v>
      </c>
      <c r="B48" s="29">
        <v>0</v>
      </c>
      <c r="C48" s="29">
        <v>688506</v>
      </c>
      <c r="D48" s="29">
        <f t="shared" si="0"/>
        <v>688506</v>
      </c>
      <c r="E48" s="29">
        <v>122416</v>
      </c>
      <c r="F48" s="71">
        <v>566090</v>
      </c>
    </row>
    <row r="49" spans="1:6" ht="12.75">
      <c r="A49" s="34" t="s">
        <v>43</v>
      </c>
      <c r="B49" s="29">
        <v>0</v>
      </c>
      <c r="C49" s="29">
        <v>1469951</v>
      </c>
      <c r="D49" s="29">
        <f t="shared" si="0"/>
        <v>1469951</v>
      </c>
      <c r="E49" s="29"/>
      <c r="F49" s="71">
        <v>1469951</v>
      </c>
    </row>
    <row r="50" spans="1:6" ht="12.75">
      <c r="A50" s="34" t="s">
        <v>44</v>
      </c>
      <c r="B50" s="29">
        <v>0</v>
      </c>
      <c r="C50" s="29">
        <v>2400430</v>
      </c>
      <c r="D50" s="29">
        <f t="shared" si="0"/>
        <v>2400430</v>
      </c>
      <c r="E50" s="29"/>
      <c r="F50" s="71">
        <v>2400430</v>
      </c>
    </row>
    <row r="51" spans="1:6" ht="12.75">
      <c r="A51" s="34" t="s">
        <v>45</v>
      </c>
      <c r="B51" s="29">
        <v>0</v>
      </c>
      <c r="C51" s="29">
        <v>792627</v>
      </c>
      <c r="D51" s="29">
        <f t="shared" si="0"/>
        <v>792627</v>
      </c>
      <c r="E51" s="29">
        <v>15828</v>
      </c>
      <c r="F51" s="71">
        <v>776799</v>
      </c>
    </row>
    <row r="52" spans="1:6" ht="12.75">
      <c r="A52" s="34" t="s">
        <v>46</v>
      </c>
      <c r="B52" s="29">
        <v>1917716</v>
      </c>
      <c r="C52" s="29">
        <v>631462</v>
      </c>
      <c r="D52" s="29">
        <f t="shared" si="0"/>
        <v>2549178</v>
      </c>
      <c r="E52" s="29"/>
      <c r="F52" s="71">
        <v>2549178</v>
      </c>
    </row>
    <row r="53" spans="1:6" ht="12.75">
      <c r="A53" s="34" t="s">
        <v>47</v>
      </c>
      <c r="B53" s="29">
        <v>0</v>
      </c>
      <c r="C53" s="29">
        <v>2075335</v>
      </c>
      <c r="D53" s="29">
        <f t="shared" si="0"/>
        <v>2075335</v>
      </c>
      <c r="E53" s="29"/>
      <c r="F53" s="71">
        <v>2075335</v>
      </c>
    </row>
    <row r="54" spans="1:6" ht="12.75">
      <c r="A54" s="34" t="s">
        <v>48</v>
      </c>
      <c r="B54" s="29">
        <v>0</v>
      </c>
      <c r="C54" s="29">
        <v>2174446</v>
      </c>
      <c r="D54" s="29">
        <f t="shared" si="0"/>
        <v>2174446</v>
      </c>
      <c r="E54" s="29">
        <v>88684</v>
      </c>
      <c r="F54" s="71">
        <v>2085762</v>
      </c>
    </row>
    <row r="55" spans="1:6" ht="12.75">
      <c r="A55" s="34" t="s">
        <v>49</v>
      </c>
      <c r="B55" s="29">
        <v>0</v>
      </c>
      <c r="C55" s="29">
        <v>960314</v>
      </c>
      <c r="D55" s="29">
        <f t="shared" si="0"/>
        <v>960314</v>
      </c>
      <c r="E55" s="29"/>
      <c r="F55" s="71">
        <v>960314</v>
      </c>
    </row>
    <row r="56" spans="1:6" ht="12.75">
      <c r="A56" s="34" t="s">
        <v>50</v>
      </c>
      <c r="B56" s="29">
        <v>0</v>
      </c>
      <c r="C56" s="29">
        <v>3791884</v>
      </c>
      <c r="D56" s="29">
        <f t="shared" si="0"/>
        <v>3791884</v>
      </c>
      <c r="E56" s="29"/>
      <c r="F56" s="71">
        <v>3791884</v>
      </c>
    </row>
    <row r="57" spans="1:6" ht="13.5" thickBot="1">
      <c r="A57" s="42" t="s">
        <v>51</v>
      </c>
      <c r="B57" s="44">
        <v>0</v>
      </c>
      <c r="C57" s="44">
        <v>317352</v>
      </c>
      <c r="D57" s="44">
        <f t="shared" si="0"/>
        <v>317352</v>
      </c>
      <c r="E57" s="44">
        <v>11419</v>
      </c>
      <c r="F57" s="182">
        <v>305933</v>
      </c>
    </row>
    <row r="58" spans="1:7" ht="13.5" thickTop="1">
      <c r="A58" s="45" t="s">
        <v>54</v>
      </c>
      <c r="B58" s="29">
        <f>SUM(B7:B57)</f>
        <v>25000000</v>
      </c>
      <c r="C58" s="29">
        <f>SUM(C7:C57)</f>
        <v>106026216</v>
      </c>
      <c r="D58" s="29">
        <f>B58+C58</f>
        <v>131026216</v>
      </c>
      <c r="E58" s="29">
        <f>SUM(E7:E57)</f>
        <v>1720346</v>
      </c>
      <c r="F58" s="71">
        <f>SUM(F7:F57)</f>
        <v>129305870</v>
      </c>
      <c r="G58" s="29"/>
    </row>
    <row r="59" ht="12.75">
      <c r="C59" s="45"/>
    </row>
    <row r="60" spans="1:7" ht="12.75">
      <c r="A60" s="46" t="s">
        <v>212</v>
      </c>
      <c r="B60" s="29">
        <f>C3</f>
        <v>131170000</v>
      </c>
      <c r="F60" s="120"/>
      <c r="G60" s="71"/>
    </row>
    <row r="61" spans="1:7" ht="12.75">
      <c r="A61" s="48" t="s">
        <v>248</v>
      </c>
      <c r="B61" s="29">
        <v>0</v>
      </c>
      <c r="F61" s="41"/>
      <c r="G61" s="41"/>
    </row>
    <row r="62" spans="1:7" ht="12.75">
      <c r="A62" s="51" t="s">
        <v>57</v>
      </c>
      <c r="B62" s="29">
        <f>B60-B61</f>
        <v>131170000</v>
      </c>
      <c r="F62" s="41"/>
      <c r="G62" s="41"/>
    </row>
    <row r="63" spans="1:7" ht="12.75">
      <c r="A63" s="48" t="s">
        <v>249</v>
      </c>
      <c r="B63" s="29">
        <v>0</v>
      </c>
      <c r="F63" s="41"/>
      <c r="G63" s="41"/>
    </row>
    <row r="64" spans="1:7" ht="12.75">
      <c r="A64" s="51" t="s">
        <v>57</v>
      </c>
      <c r="B64" s="29">
        <f>B62-B63</f>
        <v>131170000</v>
      </c>
      <c r="F64" s="41"/>
      <c r="G64" s="41"/>
    </row>
    <row r="65" spans="1:7" ht="12.75">
      <c r="A65" s="53" t="s">
        <v>256</v>
      </c>
      <c r="B65" s="29">
        <v>143784</v>
      </c>
      <c r="F65" s="71"/>
      <c r="G65" s="71"/>
    </row>
    <row r="66" spans="1:7" ht="12.75">
      <c r="A66" s="48" t="s">
        <v>53</v>
      </c>
      <c r="B66" s="29">
        <f>ROUND(+B64-B65,0)</f>
        <v>131026216</v>
      </c>
      <c r="C66" s="30"/>
      <c r="D66" s="31"/>
      <c r="E66" s="31"/>
      <c r="F66" s="31"/>
      <c r="G66" s="31"/>
    </row>
    <row r="67" spans="1:5" ht="12.75">
      <c r="A67" s="31"/>
      <c r="B67" s="31"/>
      <c r="C67" s="31"/>
      <c r="D67" s="31"/>
      <c r="E67" s="31"/>
    </row>
    <row r="68" spans="1:2" ht="33" customHeight="1">
      <c r="A68" s="37" t="s">
        <v>52</v>
      </c>
      <c r="B68" s="183" t="s">
        <v>401</v>
      </c>
    </row>
    <row r="69" spans="1:2" ht="12.75">
      <c r="A69" s="49" t="s">
        <v>206</v>
      </c>
      <c r="B69" s="41">
        <v>2379</v>
      </c>
    </row>
    <row r="70" spans="1:2" ht="12.75">
      <c r="A70" s="49" t="s">
        <v>207</v>
      </c>
      <c r="B70" s="41">
        <v>5215</v>
      </c>
    </row>
    <row r="71" spans="1:2" ht="12.75">
      <c r="A71" s="49" t="s">
        <v>208</v>
      </c>
      <c r="B71" s="41">
        <v>1812</v>
      </c>
    </row>
    <row r="72" spans="1:2" ht="12.75">
      <c r="A72" s="49" t="s">
        <v>209</v>
      </c>
      <c r="B72" s="41">
        <v>129447</v>
      </c>
    </row>
    <row r="73" spans="1:2" ht="13.5" thickBot="1">
      <c r="A73" s="49" t="s">
        <v>210</v>
      </c>
      <c r="B73" s="41">
        <v>4931</v>
      </c>
    </row>
    <row r="74" spans="1:2" ht="13.5" thickTop="1">
      <c r="A74" s="54" t="s">
        <v>54</v>
      </c>
      <c r="B74" s="56">
        <f>SUM(B69:B73)</f>
        <v>143784</v>
      </c>
    </row>
    <row r="76" ht="12.75">
      <c r="A76" s="24" t="s">
        <v>402</v>
      </c>
    </row>
  </sheetData>
  <mergeCells count="2">
    <mergeCell ref="A1:F1"/>
    <mergeCell ref="A2:E2"/>
  </mergeCells>
  <printOptions gridLines="1"/>
  <pageMargins left="0.46" right="0.27" top="0.53" bottom="0.58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F217"/>
  <sheetViews>
    <sheetView workbookViewId="0" topLeftCell="A1">
      <selection activeCell="A3" sqref="A3"/>
    </sheetView>
  </sheetViews>
  <sheetFormatPr defaultColWidth="15.625" defaultRowHeight="12.75"/>
  <cols>
    <col min="1" max="1" width="52.125" style="9" bestFit="1" customWidth="1"/>
    <col min="2" max="4" width="20.625" style="9" customWidth="1"/>
    <col min="5" max="5" width="3.125" style="9" customWidth="1"/>
    <col min="6" max="16384" width="10.00390625" style="9" customWidth="1"/>
  </cols>
  <sheetData>
    <row r="1" spans="1:5" ht="12.75">
      <c r="A1" s="193" t="str">
        <f>"FY 2007 Low Income Home Energy Assistance Program (LIHEAP) Tribal Allocations at "&amp;TEXT(B2/1000000,"$0.00")&amp;" Million"</f>
        <v>FY 2007 Low Income Home Energy Assistance Program (LIHEAP) Tribal Allocations at $131.17 Million</v>
      </c>
      <c r="B1" s="193"/>
      <c r="C1" s="193"/>
      <c r="D1" s="193"/>
      <c r="E1" s="193"/>
    </row>
    <row r="2" spans="1:4" ht="12.75">
      <c r="A2" s="5" t="s">
        <v>403</v>
      </c>
      <c r="B2" s="58">
        <v>131170000</v>
      </c>
      <c r="C2" s="58"/>
      <c r="D2" s="68" t="s">
        <v>267</v>
      </c>
    </row>
    <row r="3" spans="1:5" ht="12.75">
      <c r="A3" s="5"/>
      <c r="B3" s="5"/>
      <c r="C3" s="5"/>
      <c r="D3" s="5"/>
      <c r="E3" s="33"/>
    </row>
    <row r="4" spans="1:6" s="13" customFormat="1" ht="25.5">
      <c r="A4" s="57" t="s">
        <v>56</v>
      </c>
      <c r="B4" s="184" t="s">
        <v>409</v>
      </c>
      <c r="C4" s="184" t="s">
        <v>407</v>
      </c>
      <c r="D4" s="185" t="s">
        <v>404</v>
      </c>
      <c r="F4" s="185"/>
    </row>
    <row r="5" ht="12.75">
      <c r="D5" s="12"/>
    </row>
    <row r="6" spans="1:4" ht="12.75">
      <c r="A6" s="10" t="s">
        <v>2</v>
      </c>
      <c r="D6" s="12"/>
    </row>
    <row r="7" spans="1:4" ht="12.75">
      <c r="A7" s="9" t="s">
        <v>60</v>
      </c>
      <c r="B7" s="4">
        <v>0</v>
      </c>
      <c r="C7" s="4">
        <v>195</v>
      </c>
      <c r="D7" s="186">
        <f>B7+C7</f>
        <v>195</v>
      </c>
    </row>
    <row r="8" spans="1:4" ht="12.75">
      <c r="A8" s="1" t="s">
        <v>62</v>
      </c>
      <c r="B8" s="4">
        <v>0</v>
      </c>
      <c r="C8" s="4">
        <v>2891</v>
      </c>
      <c r="D8" s="186">
        <f aca="true" t="shared" si="0" ref="D8:D70">B8+C8</f>
        <v>2891</v>
      </c>
    </row>
    <row r="9" spans="1:4" ht="12.75">
      <c r="A9" s="1" t="s">
        <v>64</v>
      </c>
      <c r="B9" s="4">
        <v>0</v>
      </c>
      <c r="C9" s="4">
        <v>2180</v>
      </c>
      <c r="D9" s="186">
        <f t="shared" si="0"/>
        <v>2180</v>
      </c>
    </row>
    <row r="10" spans="1:4" ht="12.75">
      <c r="A10" s="10" t="s">
        <v>3</v>
      </c>
      <c r="B10" s="4"/>
      <c r="C10" s="4"/>
      <c r="D10" s="186"/>
    </row>
    <row r="11" spans="1:4" ht="12.75">
      <c r="A11" s="1" t="s">
        <v>65</v>
      </c>
      <c r="B11" s="4">
        <v>9973</v>
      </c>
      <c r="C11" s="4">
        <v>4971</v>
      </c>
      <c r="D11" s="186">
        <f t="shared" si="0"/>
        <v>14944</v>
      </c>
    </row>
    <row r="12" spans="1:4" ht="12.75">
      <c r="A12" s="1" t="s">
        <v>66</v>
      </c>
      <c r="B12" s="4">
        <v>161446</v>
      </c>
      <c r="C12" s="4">
        <v>80471</v>
      </c>
      <c r="D12" s="186">
        <f t="shared" si="0"/>
        <v>241917</v>
      </c>
    </row>
    <row r="13" spans="1:4" ht="12.75">
      <c r="A13" s="1" t="s">
        <v>68</v>
      </c>
      <c r="B13" s="4">
        <v>7943</v>
      </c>
      <c r="C13" s="4">
        <v>3959</v>
      </c>
      <c r="D13" s="186">
        <f t="shared" si="0"/>
        <v>11902</v>
      </c>
    </row>
    <row r="14" spans="1:4" ht="12.75">
      <c r="A14" s="1" t="s">
        <v>69</v>
      </c>
      <c r="B14" s="4">
        <v>24220</v>
      </c>
      <c r="C14" s="4">
        <v>12072</v>
      </c>
      <c r="D14" s="186">
        <f t="shared" si="0"/>
        <v>36292</v>
      </c>
    </row>
    <row r="15" spans="1:4" ht="12.75">
      <c r="A15" s="1" t="s">
        <v>70</v>
      </c>
      <c r="B15" s="4">
        <v>9617</v>
      </c>
      <c r="C15" s="4">
        <v>4793</v>
      </c>
      <c r="D15" s="186">
        <f t="shared" si="0"/>
        <v>14410</v>
      </c>
    </row>
    <row r="16" spans="1:4" ht="12.75">
      <c r="A16" s="1" t="s">
        <v>71</v>
      </c>
      <c r="B16" s="4">
        <v>819</v>
      </c>
      <c r="C16" s="4">
        <v>408</v>
      </c>
      <c r="D16" s="186">
        <f t="shared" si="0"/>
        <v>1227</v>
      </c>
    </row>
    <row r="17" spans="1:4" ht="12.75">
      <c r="A17" s="1" t="s">
        <v>72</v>
      </c>
      <c r="B17" s="4">
        <v>90512</v>
      </c>
      <c r="C17" s="4">
        <v>45115</v>
      </c>
      <c r="D17" s="186">
        <f t="shared" si="0"/>
        <v>135627</v>
      </c>
    </row>
    <row r="18" spans="1:4" ht="12.75">
      <c r="A18" s="1" t="s">
        <v>73</v>
      </c>
      <c r="B18" s="4">
        <v>51645</v>
      </c>
      <c r="C18" s="4">
        <v>25742</v>
      </c>
      <c r="D18" s="186">
        <f t="shared" si="0"/>
        <v>77387</v>
      </c>
    </row>
    <row r="19" spans="1:4" ht="12.75">
      <c r="A19" s="65" t="s">
        <v>229</v>
      </c>
      <c r="B19" s="4">
        <v>2336</v>
      </c>
      <c r="C19" s="4">
        <v>1164</v>
      </c>
      <c r="D19" s="186">
        <f t="shared" si="0"/>
        <v>3500</v>
      </c>
    </row>
    <row r="20" spans="1:4" ht="12.75">
      <c r="A20" s="10" t="s">
        <v>4</v>
      </c>
      <c r="B20" s="4"/>
      <c r="C20" s="4"/>
      <c r="D20" s="186"/>
    </row>
    <row r="21" spans="1:4" ht="12.75">
      <c r="A21" s="1" t="s">
        <v>74</v>
      </c>
      <c r="B21" s="4">
        <v>0</v>
      </c>
      <c r="C21" s="4">
        <v>293</v>
      </c>
      <c r="D21" s="186">
        <f t="shared" si="0"/>
        <v>293</v>
      </c>
    </row>
    <row r="22" spans="1:4" ht="12.75">
      <c r="A22" s="1" t="s">
        <v>75</v>
      </c>
      <c r="B22" s="4">
        <v>0</v>
      </c>
      <c r="C22" s="4">
        <v>873</v>
      </c>
      <c r="D22" s="186">
        <f t="shared" si="0"/>
        <v>873</v>
      </c>
    </row>
    <row r="23" spans="1:4" ht="12.75">
      <c r="A23" s="1" t="s">
        <v>76</v>
      </c>
      <c r="B23" s="4">
        <v>0</v>
      </c>
      <c r="C23" s="4">
        <v>2954</v>
      </c>
      <c r="D23" s="186">
        <f t="shared" si="0"/>
        <v>2954</v>
      </c>
    </row>
    <row r="24" spans="1:4" ht="12.75">
      <c r="A24" s="1" t="s">
        <v>77</v>
      </c>
      <c r="B24" s="4">
        <v>0</v>
      </c>
      <c r="C24" s="4">
        <v>25064</v>
      </c>
      <c r="D24" s="186">
        <f t="shared" si="0"/>
        <v>25064</v>
      </c>
    </row>
    <row r="25" spans="1:4" ht="12.75">
      <c r="A25" s="1" t="s">
        <v>78</v>
      </c>
      <c r="B25" s="4">
        <v>0</v>
      </c>
      <c r="C25" s="4">
        <v>1128</v>
      </c>
      <c r="D25" s="186">
        <f t="shared" si="0"/>
        <v>1128</v>
      </c>
    </row>
    <row r="26" spans="1:4" ht="12.75">
      <c r="A26" s="1" t="s">
        <v>79</v>
      </c>
      <c r="B26" s="4">
        <v>0</v>
      </c>
      <c r="C26" s="4">
        <v>64</v>
      </c>
      <c r="D26" s="186">
        <f t="shared" si="0"/>
        <v>64</v>
      </c>
    </row>
    <row r="27" spans="1:4" ht="12.75">
      <c r="A27" s="1" t="s">
        <v>80</v>
      </c>
      <c r="B27" s="4">
        <v>0</v>
      </c>
      <c r="C27" s="4">
        <v>1090</v>
      </c>
      <c r="D27" s="186">
        <f t="shared" si="0"/>
        <v>1090</v>
      </c>
    </row>
    <row r="28" spans="1:4" ht="12.75">
      <c r="A28" s="1" t="s">
        <v>81</v>
      </c>
      <c r="B28" s="4">
        <v>0</v>
      </c>
      <c r="C28" s="4">
        <v>1797</v>
      </c>
      <c r="D28" s="186">
        <f t="shared" si="0"/>
        <v>1797</v>
      </c>
    </row>
    <row r="29" spans="1:4" ht="12.75">
      <c r="A29" s="1" t="s">
        <v>227</v>
      </c>
      <c r="B29" s="4">
        <v>0</v>
      </c>
      <c r="C29" s="4">
        <v>2567</v>
      </c>
      <c r="D29" s="186">
        <f t="shared" si="0"/>
        <v>2567</v>
      </c>
    </row>
    <row r="30" spans="1:4" ht="12.75">
      <c r="A30" s="10" t="s">
        <v>6</v>
      </c>
      <c r="B30" s="4"/>
      <c r="C30" s="4"/>
      <c r="D30" s="186"/>
    </row>
    <row r="31" spans="1:4" ht="12.75">
      <c r="A31" s="1" t="s">
        <v>82</v>
      </c>
      <c r="B31" s="4">
        <v>0</v>
      </c>
      <c r="C31" s="4">
        <v>383</v>
      </c>
      <c r="D31" s="186">
        <f t="shared" si="0"/>
        <v>383</v>
      </c>
    </row>
    <row r="32" spans="1:4" ht="12.75">
      <c r="A32" s="65" t="s">
        <v>232</v>
      </c>
      <c r="B32" s="4">
        <v>0</v>
      </c>
      <c r="C32" s="4">
        <v>1214</v>
      </c>
      <c r="D32" s="186">
        <f t="shared" si="0"/>
        <v>1214</v>
      </c>
    </row>
    <row r="33" spans="1:4" ht="12.75">
      <c r="A33" s="1" t="s">
        <v>83</v>
      </c>
      <c r="B33" s="4">
        <v>0</v>
      </c>
      <c r="C33" s="4">
        <v>71</v>
      </c>
      <c r="D33" s="186">
        <f t="shared" si="0"/>
        <v>71</v>
      </c>
    </row>
    <row r="34" spans="1:4" ht="12.75">
      <c r="A34" s="1" t="s">
        <v>84</v>
      </c>
      <c r="B34" s="4">
        <v>0</v>
      </c>
      <c r="C34" s="4">
        <v>318</v>
      </c>
      <c r="D34" s="186">
        <f t="shared" si="0"/>
        <v>318</v>
      </c>
    </row>
    <row r="35" spans="1:4" ht="12.75">
      <c r="A35" s="1" t="s">
        <v>85</v>
      </c>
      <c r="B35" s="4">
        <v>0</v>
      </c>
      <c r="C35" s="4">
        <v>147</v>
      </c>
      <c r="D35" s="186">
        <f t="shared" si="0"/>
        <v>147</v>
      </c>
    </row>
    <row r="36" spans="1:4" ht="12.75">
      <c r="A36" s="1" t="s">
        <v>86</v>
      </c>
      <c r="B36" s="4">
        <v>0</v>
      </c>
      <c r="C36" s="4">
        <v>2641</v>
      </c>
      <c r="D36" s="186">
        <f t="shared" si="0"/>
        <v>2641</v>
      </c>
    </row>
    <row r="37" spans="1:4" ht="12.75">
      <c r="A37" s="1" t="s">
        <v>87</v>
      </c>
      <c r="B37" s="4">
        <v>0</v>
      </c>
      <c r="C37" s="4">
        <v>401</v>
      </c>
      <c r="D37" s="186">
        <f t="shared" si="0"/>
        <v>401</v>
      </c>
    </row>
    <row r="38" spans="1:4" ht="12.75">
      <c r="A38" s="1" t="s">
        <v>88</v>
      </c>
      <c r="B38" s="4">
        <v>0</v>
      </c>
      <c r="C38" s="4">
        <v>1916</v>
      </c>
      <c r="D38" s="186">
        <f t="shared" si="0"/>
        <v>1916</v>
      </c>
    </row>
    <row r="39" spans="1:4" ht="12.75">
      <c r="A39" s="1" t="s">
        <v>89</v>
      </c>
      <c r="B39" s="4">
        <v>0</v>
      </c>
      <c r="C39" s="4">
        <v>1094</v>
      </c>
      <c r="D39" s="186">
        <f t="shared" si="0"/>
        <v>1094</v>
      </c>
    </row>
    <row r="40" spans="1:4" ht="12.75">
      <c r="A40" s="1" t="s">
        <v>90</v>
      </c>
      <c r="B40" s="4">
        <v>0</v>
      </c>
      <c r="C40" s="4">
        <v>15117</v>
      </c>
      <c r="D40" s="186">
        <f t="shared" si="0"/>
        <v>15117</v>
      </c>
    </row>
    <row r="41" spans="1:4" ht="12.75">
      <c r="A41" s="1" t="s">
        <v>91</v>
      </c>
      <c r="B41" s="4">
        <v>0</v>
      </c>
      <c r="C41" s="4">
        <v>489</v>
      </c>
      <c r="D41" s="186">
        <f t="shared" si="0"/>
        <v>489</v>
      </c>
    </row>
    <row r="42" spans="1:4" ht="12.75">
      <c r="A42" s="1" t="s">
        <v>92</v>
      </c>
      <c r="B42" s="4">
        <v>0</v>
      </c>
      <c r="C42" s="4">
        <v>2296</v>
      </c>
      <c r="D42" s="186">
        <f t="shared" si="0"/>
        <v>2296</v>
      </c>
    </row>
    <row r="43" spans="1:4" ht="12.75">
      <c r="A43" s="1" t="s">
        <v>93</v>
      </c>
      <c r="B43" s="4">
        <v>0</v>
      </c>
      <c r="C43" s="4">
        <v>230</v>
      </c>
      <c r="D43" s="186">
        <f t="shared" si="0"/>
        <v>230</v>
      </c>
    </row>
    <row r="44" spans="1:4" ht="12.75">
      <c r="A44" s="1" t="s">
        <v>94</v>
      </c>
      <c r="B44" s="4">
        <v>0</v>
      </c>
      <c r="C44" s="4">
        <v>1105</v>
      </c>
      <c r="D44" s="186">
        <f t="shared" si="0"/>
        <v>1105</v>
      </c>
    </row>
    <row r="45" spans="1:4" ht="12.75">
      <c r="A45" s="1" t="s">
        <v>95</v>
      </c>
      <c r="B45" s="4">
        <v>0</v>
      </c>
      <c r="C45" s="4">
        <v>2835</v>
      </c>
      <c r="D45" s="186">
        <f t="shared" si="0"/>
        <v>2835</v>
      </c>
    </row>
    <row r="46" spans="1:4" ht="12.75">
      <c r="A46" s="1" t="s">
        <v>96</v>
      </c>
      <c r="B46" s="4">
        <v>0</v>
      </c>
      <c r="C46" s="4">
        <v>130</v>
      </c>
      <c r="D46" s="186">
        <f t="shared" si="0"/>
        <v>130</v>
      </c>
    </row>
    <row r="47" spans="1:4" ht="12.75">
      <c r="A47" s="1" t="s">
        <v>97</v>
      </c>
      <c r="B47" s="4">
        <v>0</v>
      </c>
      <c r="C47" s="4">
        <v>2635</v>
      </c>
      <c r="D47" s="186">
        <f t="shared" si="0"/>
        <v>2635</v>
      </c>
    </row>
    <row r="48" spans="1:4" ht="12.75">
      <c r="A48" s="1" t="s">
        <v>98</v>
      </c>
      <c r="B48" s="4">
        <v>0</v>
      </c>
      <c r="C48" s="4">
        <v>1695</v>
      </c>
      <c r="D48" s="186">
        <f t="shared" si="0"/>
        <v>1695</v>
      </c>
    </row>
    <row r="49" spans="1:4" ht="12.75">
      <c r="A49" s="1" t="s">
        <v>100</v>
      </c>
      <c r="B49" s="4">
        <v>0</v>
      </c>
      <c r="C49" s="4">
        <v>430</v>
      </c>
      <c r="D49" s="186">
        <f t="shared" si="0"/>
        <v>430</v>
      </c>
    </row>
    <row r="50" spans="1:4" ht="12.75">
      <c r="A50" s="9" t="s">
        <v>218</v>
      </c>
      <c r="B50" s="4">
        <v>0</v>
      </c>
      <c r="C50" s="4">
        <v>195</v>
      </c>
      <c r="D50" s="186">
        <f t="shared" si="0"/>
        <v>195</v>
      </c>
    </row>
    <row r="51" spans="1:4" ht="12.75">
      <c r="A51" s="1" t="s">
        <v>99</v>
      </c>
      <c r="B51" s="4">
        <v>0</v>
      </c>
      <c r="C51" s="4">
        <v>195</v>
      </c>
      <c r="D51" s="186">
        <f t="shared" si="0"/>
        <v>195</v>
      </c>
    </row>
    <row r="52" spans="1:4" ht="12.75">
      <c r="A52" s="1" t="s">
        <v>101</v>
      </c>
      <c r="B52" s="4">
        <v>0</v>
      </c>
      <c r="C52" s="4">
        <v>298</v>
      </c>
      <c r="D52" s="186">
        <f t="shared" si="0"/>
        <v>298</v>
      </c>
    </row>
    <row r="53" spans="1:4" ht="12.75">
      <c r="A53" s="1" t="s">
        <v>102</v>
      </c>
      <c r="B53" s="4">
        <v>0</v>
      </c>
      <c r="C53" s="4">
        <v>251</v>
      </c>
      <c r="D53" s="186">
        <f t="shared" si="0"/>
        <v>251</v>
      </c>
    </row>
    <row r="54" spans="1:4" ht="12.75">
      <c r="A54" s="1" t="s">
        <v>103</v>
      </c>
      <c r="B54" s="4">
        <v>0</v>
      </c>
      <c r="C54" s="4">
        <v>3437</v>
      </c>
      <c r="D54" s="186">
        <f t="shared" si="0"/>
        <v>3437</v>
      </c>
    </row>
    <row r="55" spans="1:4" ht="12.75">
      <c r="A55" s="10" t="s">
        <v>10</v>
      </c>
      <c r="B55" s="4"/>
      <c r="C55" s="4"/>
      <c r="D55" s="186"/>
    </row>
    <row r="56" spans="1:4" ht="12.75">
      <c r="A56" s="1" t="s">
        <v>105</v>
      </c>
      <c r="B56" s="4">
        <v>0</v>
      </c>
      <c r="C56" s="4">
        <v>370</v>
      </c>
      <c r="D56" s="186">
        <f t="shared" si="0"/>
        <v>370</v>
      </c>
    </row>
    <row r="57" spans="1:4" ht="12.75">
      <c r="A57" s="10" t="s">
        <v>13</v>
      </c>
      <c r="B57" s="4"/>
      <c r="C57" s="4"/>
      <c r="D57" s="186"/>
    </row>
    <row r="58" spans="1:4" ht="12.75">
      <c r="A58" s="1" t="s">
        <v>106</v>
      </c>
      <c r="B58" s="4">
        <v>0</v>
      </c>
      <c r="C58" s="4">
        <v>2013</v>
      </c>
      <c r="D58" s="186">
        <f t="shared" si="0"/>
        <v>2013</v>
      </c>
    </row>
    <row r="59" spans="1:4" ht="12.75">
      <c r="A59" s="1" t="s">
        <v>107</v>
      </c>
      <c r="B59" s="4">
        <v>0</v>
      </c>
      <c r="C59" s="4">
        <v>4657</v>
      </c>
      <c r="D59" s="186">
        <f t="shared" si="0"/>
        <v>4657</v>
      </c>
    </row>
    <row r="60" spans="1:4" ht="12.75">
      <c r="A60" s="1" t="s">
        <v>108</v>
      </c>
      <c r="B60" s="4">
        <v>0</v>
      </c>
      <c r="C60" s="4">
        <v>25615</v>
      </c>
      <c r="D60" s="186">
        <f t="shared" si="0"/>
        <v>25615</v>
      </c>
    </row>
    <row r="61" spans="1:4" ht="12.75">
      <c r="A61" s="10" t="s">
        <v>15</v>
      </c>
      <c r="B61" s="4"/>
      <c r="C61" s="4"/>
      <c r="D61" s="186"/>
    </row>
    <row r="62" spans="1:4" ht="12.75">
      <c r="A62" s="1" t="s">
        <v>109</v>
      </c>
      <c r="B62" s="4">
        <v>0</v>
      </c>
      <c r="C62" s="4">
        <v>362</v>
      </c>
      <c r="D62" s="186">
        <f t="shared" si="0"/>
        <v>362</v>
      </c>
    </row>
    <row r="63" spans="1:4" ht="12.75">
      <c r="A63" s="10" t="s">
        <v>17</v>
      </c>
      <c r="B63" s="4"/>
      <c r="C63" s="4"/>
      <c r="D63" s="186"/>
    </row>
    <row r="64" spans="1:4" ht="12.75">
      <c r="A64" s="1" t="s">
        <v>110</v>
      </c>
      <c r="B64" s="4">
        <v>0</v>
      </c>
      <c r="C64" s="4">
        <v>869</v>
      </c>
      <c r="D64" s="186">
        <f t="shared" si="0"/>
        <v>869</v>
      </c>
    </row>
    <row r="65" spans="1:4" ht="12.75">
      <c r="A65" s="10" t="s">
        <v>20</v>
      </c>
      <c r="B65" s="4"/>
      <c r="C65" s="4"/>
      <c r="D65" s="186"/>
    </row>
    <row r="66" spans="1:4" ht="12.75">
      <c r="A66" s="1" t="s">
        <v>111</v>
      </c>
      <c r="B66" s="4">
        <v>25092</v>
      </c>
      <c r="C66" s="4">
        <v>6271</v>
      </c>
      <c r="D66" s="186">
        <f t="shared" si="0"/>
        <v>31363</v>
      </c>
    </row>
    <row r="67" spans="1:4" ht="12.75">
      <c r="A67" s="1" t="s">
        <v>112</v>
      </c>
      <c r="B67" s="4">
        <v>25092</v>
      </c>
      <c r="C67" s="4">
        <v>6271</v>
      </c>
      <c r="D67" s="186">
        <f t="shared" si="0"/>
        <v>31363</v>
      </c>
    </row>
    <row r="68" spans="1:4" ht="12.75">
      <c r="A68" s="1" t="s">
        <v>113</v>
      </c>
      <c r="B68" s="4">
        <v>47876</v>
      </c>
      <c r="C68" s="4">
        <v>11965</v>
      </c>
      <c r="D68" s="186">
        <f t="shared" si="0"/>
        <v>59841</v>
      </c>
    </row>
    <row r="69" spans="1:4" ht="12.75">
      <c r="A69" s="1" t="s">
        <v>114</v>
      </c>
      <c r="B69" s="4">
        <v>66796</v>
      </c>
      <c r="C69" s="4">
        <v>16693</v>
      </c>
      <c r="D69" s="186">
        <f t="shared" si="0"/>
        <v>83489</v>
      </c>
    </row>
    <row r="70" spans="1:4" ht="12.75">
      <c r="A70" s="1" t="s">
        <v>115</v>
      </c>
      <c r="B70" s="4">
        <v>45973</v>
      </c>
      <c r="C70" s="4">
        <v>11489</v>
      </c>
      <c r="D70" s="186">
        <f t="shared" si="0"/>
        <v>57462</v>
      </c>
    </row>
    <row r="71" spans="1:4" ht="12.75">
      <c r="A71" s="10" t="s">
        <v>22</v>
      </c>
      <c r="B71" s="4"/>
      <c r="C71" s="4"/>
      <c r="D71" s="186"/>
    </row>
    <row r="72" spans="1:4" ht="12.75">
      <c r="A72" s="1" t="s">
        <v>116</v>
      </c>
      <c r="B72" s="4">
        <v>2996</v>
      </c>
      <c r="C72" s="4">
        <v>1780</v>
      </c>
      <c r="D72" s="186">
        <f aca="true" t="shared" si="1" ref="D72:D135">B72+C72</f>
        <v>4776</v>
      </c>
    </row>
    <row r="73" spans="1:4" ht="12.75">
      <c r="A73" s="10" t="s">
        <v>23</v>
      </c>
      <c r="B73" s="4"/>
      <c r="C73" s="4"/>
      <c r="D73" s="186"/>
    </row>
    <row r="74" spans="1:4" ht="12.75">
      <c r="A74" s="1" t="s">
        <v>117</v>
      </c>
      <c r="B74" s="4">
        <v>0</v>
      </c>
      <c r="C74" s="4">
        <v>2287</v>
      </c>
      <c r="D74" s="186">
        <f t="shared" si="1"/>
        <v>2287</v>
      </c>
    </row>
    <row r="75" spans="1:4" ht="12.75">
      <c r="A75" s="1" t="s">
        <v>118</v>
      </c>
      <c r="B75" s="4">
        <v>0</v>
      </c>
      <c r="C75" s="4">
        <v>4349</v>
      </c>
      <c r="D75" s="186">
        <f t="shared" si="1"/>
        <v>4349</v>
      </c>
    </row>
    <row r="76" spans="1:4" ht="12.75">
      <c r="A76" s="1" t="s">
        <v>219</v>
      </c>
      <c r="B76" s="4">
        <v>0</v>
      </c>
      <c r="C76" s="4">
        <v>6036</v>
      </c>
      <c r="D76" s="186">
        <f t="shared" si="1"/>
        <v>6036</v>
      </c>
    </row>
    <row r="77" spans="1:4" ht="12.75">
      <c r="A77" s="1" t="s">
        <v>119</v>
      </c>
      <c r="B77" s="4">
        <v>0</v>
      </c>
      <c r="C77" s="4">
        <v>1106</v>
      </c>
      <c r="D77" s="186">
        <f t="shared" si="1"/>
        <v>1106</v>
      </c>
    </row>
    <row r="78" spans="1:4" ht="12.75">
      <c r="A78" s="1" t="s">
        <v>120</v>
      </c>
      <c r="B78" s="4">
        <v>0</v>
      </c>
      <c r="C78" s="4">
        <v>3789</v>
      </c>
      <c r="D78" s="186">
        <f t="shared" si="1"/>
        <v>3789</v>
      </c>
    </row>
    <row r="79" spans="1:4" ht="12.75">
      <c r="A79" s="1" t="s">
        <v>121</v>
      </c>
      <c r="B79" s="4">
        <v>0</v>
      </c>
      <c r="C79" s="4">
        <v>27189</v>
      </c>
      <c r="D79" s="186">
        <f t="shared" si="1"/>
        <v>27189</v>
      </c>
    </row>
    <row r="80" spans="1:4" ht="12.75">
      <c r="A80" s="10" t="s">
        <v>25</v>
      </c>
      <c r="B80" s="4"/>
      <c r="C80" s="4"/>
      <c r="D80" s="186"/>
    </row>
    <row r="81" spans="1:4" ht="12.75">
      <c r="A81" s="1" t="s">
        <v>122</v>
      </c>
      <c r="B81" s="4">
        <v>0</v>
      </c>
      <c r="C81" s="4">
        <v>1482</v>
      </c>
      <c r="D81" s="186">
        <f t="shared" si="1"/>
        <v>1482</v>
      </c>
    </row>
    <row r="82" spans="1:4" ht="12.75">
      <c r="A82" s="10" t="s">
        <v>27</v>
      </c>
      <c r="B82" s="4"/>
      <c r="C82" s="4"/>
      <c r="D82" s="186"/>
    </row>
    <row r="83" spans="1:4" ht="12.75">
      <c r="A83" s="1" t="s">
        <v>123</v>
      </c>
      <c r="B83" s="4">
        <v>0</v>
      </c>
      <c r="C83" s="4">
        <v>30434</v>
      </c>
      <c r="D83" s="186">
        <f t="shared" si="1"/>
        <v>30434</v>
      </c>
    </row>
    <row r="84" spans="1:4" ht="12.75">
      <c r="A84" s="1" t="s">
        <v>124</v>
      </c>
      <c r="B84" s="4">
        <v>0</v>
      </c>
      <c r="C84" s="4">
        <v>34743</v>
      </c>
      <c r="D84" s="186">
        <f t="shared" si="1"/>
        <v>34743</v>
      </c>
    </row>
    <row r="85" spans="1:4" ht="12.75">
      <c r="A85" s="1" t="s">
        <v>125</v>
      </c>
      <c r="B85" s="4">
        <v>0</v>
      </c>
      <c r="C85" s="4">
        <v>8889</v>
      </c>
      <c r="D85" s="186">
        <f t="shared" si="1"/>
        <v>8889</v>
      </c>
    </row>
    <row r="86" spans="1:4" ht="12.75">
      <c r="A86" s="1" t="s">
        <v>126</v>
      </c>
      <c r="B86" s="4">
        <v>0</v>
      </c>
      <c r="C86" s="4">
        <v>34070</v>
      </c>
      <c r="D86" s="186">
        <f t="shared" si="1"/>
        <v>34070</v>
      </c>
    </row>
    <row r="87" spans="1:4" ht="12.75">
      <c r="A87" s="1" t="s">
        <v>127</v>
      </c>
      <c r="B87" s="4">
        <v>0</v>
      </c>
      <c r="C87" s="4">
        <v>12254</v>
      </c>
      <c r="D87" s="186">
        <f t="shared" si="1"/>
        <v>12254</v>
      </c>
    </row>
    <row r="88" spans="1:4" ht="12.75">
      <c r="A88" s="1" t="s">
        <v>128</v>
      </c>
      <c r="B88" s="4">
        <v>0</v>
      </c>
      <c r="C88" s="4">
        <v>16025</v>
      </c>
      <c r="D88" s="186">
        <f t="shared" si="1"/>
        <v>16025</v>
      </c>
    </row>
    <row r="89" spans="1:4" ht="12.75">
      <c r="A89" s="10" t="s">
        <v>28</v>
      </c>
      <c r="B89" s="4"/>
      <c r="C89" s="4"/>
      <c r="D89" s="186"/>
    </row>
    <row r="90" spans="1:4" ht="12.75">
      <c r="A90" s="1" t="s">
        <v>129</v>
      </c>
      <c r="B90" s="4">
        <v>0</v>
      </c>
      <c r="C90" s="4">
        <v>544</v>
      </c>
      <c r="D90" s="186">
        <f t="shared" si="1"/>
        <v>544</v>
      </c>
    </row>
    <row r="91" spans="1:4" ht="12.75">
      <c r="A91" s="10" t="s">
        <v>31</v>
      </c>
      <c r="B91" s="4"/>
      <c r="C91" s="4"/>
      <c r="D91" s="186"/>
    </row>
    <row r="92" spans="1:4" ht="12.75">
      <c r="A92" s="1" t="s">
        <v>130</v>
      </c>
      <c r="B92" s="4">
        <v>0</v>
      </c>
      <c r="C92" s="4">
        <v>10331</v>
      </c>
      <c r="D92" s="186">
        <f t="shared" si="1"/>
        <v>10331</v>
      </c>
    </row>
    <row r="93" spans="1:4" ht="12.75">
      <c r="A93" s="10" t="s">
        <v>32</v>
      </c>
      <c r="B93" s="4"/>
      <c r="C93" s="4"/>
      <c r="D93" s="186"/>
    </row>
    <row r="94" spans="1:4" ht="12.75">
      <c r="A94" s="1" t="s">
        <v>131</v>
      </c>
      <c r="B94" s="4">
        <v>0</v>
      </c>
      <c r="C94" s="4">
        <v>933</v>
      </c>
      <c r="D94" s="186">
        <f t="shared" si="1"/>
        <v>933</v>
      </c>
    </row>
    <row r="95" spans="1:4" ht="12.75">
      <c r="A95" s="1" t="s">
        <v>132</v>
      </c>
      <c r="B95" s="4">
        <v>0</v>
      </c>
      <c r="C95" s="4">
        <v>930</v>
      </c>
      <c r="D95" s="186">
        <f t="shared" si="1"/>
        <v>930</v>
      </c>
    </row>
    <row r="96" spans="1:4" ht="12.75">
      <c r="A96" s="1" t="s">
        <v>133</v>
      </c>
      <c r="B96" s="4">
        <v>0</v>
      </c>
      <c r="C96" s="4">
        <v>35404</v>
      </c>
      <c r="D96" s="186">
        <f t="shared" si="1"/>
        <v>35404</v>
      </c>
    </row>
    <row r="97" spans="1:4" ht="12.75">
      <c r="A97" s="1" t="s">
        <v>220</v>
      </c>
      <c r="B97" s="4">
        <v>0</v>
      </c>
      <c r="C97" s="4">
        <v>712</v>
      </c>
      <c r="D97" s="186">
        <f t="shared" si="1"/>
        <v>712</v>
      </c>
    </row>
    <row r="98" spans="1:4" ht="12.75">
      <c r="A98" s="1" t="s">
        <v>224</v>
      </c>
      <c r="B98" s="4">
        <v>0</v>
      </c>
      <c r="C98" s="4">
        <v>1852</v>
      </c>
      <c r="D98" s="186">
        <f t="shared" si="1"/>
        <v>1852</v>
      </c>
    </row>
    <row r="99" spans="1:4" ht="12.75">
      <c r="A99" s="1" t="s">
        <v>134</v>
      </c>
      <c r="B99" s="4">
        <v>0</v>
      </c>
      <c r="C99" s="4">
        <v>3391</v>
      </c>
      <c r="D99" s="186">
        <f t="shared" si="1"/>
        <v>3391</v>
      </c>
    </row>
    <row r="100" spans="1:4" ht="12.75">
      <c r="A100" s="10" t="s">
        <v>33</v>
      </c>
      <c r="B100" s="4"/>
      <c r="C100" s="4"/>
      <c r="D100" s="186"/>
    </row>
    <row r="101" spans="1:4" ht="12.75">
      <c r="A101" s="1" t="s">
        <v>135</v>
      </c>
      <c r="B101" s="4">
        <v>0</v>
      </c>
      <c r="C101" s="4">
        <v>10957</v>
      </c>
      <c r="D101" s="186">
        <f t="shared" si="1"/>
        <v>10957</v>
      </c>
    </row>
    <row r="102" spans="1:4" ht="12.75">
      <c r="A102" s="1" t="s">
        <v>136</v>
      </c>
      <c r="B102" s="4">
        <v>0</v>
      </c>
      <c r="C102" s="4">
        <v>11021</v>
      </c>
      <c r="D102" s="186">
        <f t="shared" si="1"/>
        <v>11021</v>
      </c>
    </row>
    <row r="103" spans="1:4" ht="12.75">
      <c r="A103" s="10" t="s">
        <v>34</v>
      </c>
      <c r="B103" s="4"/>
      <c r="C103" s="4"/>
      <c r="D103" s="186"/>
    </row>
    <row r="104" spans="1:4" ht="12.75">
      <c r="A104" s="1" t="s">
        <v>137</v>
      </c>
      <c r="B104" s="4">
        <v>0</v>
      </c>
      <c r="C104" s="4">
        <v>35758</v>
      </c>
      <c r="D104" s="186">
        <f t="shared" si="1"/>
        <v>35758</v>
      </c>
    </row>
    <row r="105" spans="1:4" ht="12.75">
      <c r="A105" s="10" t="s">
        <v>35</v>
      </c>
      <c r="B105" s="4"/>
      <c r="C105" s="4"/>
      <c r="D105" s="186"/>
    </row>
    <row r="106" spans="1:4" ht="12.75">
      <c r="A106" s="1" t="s">
        <v>138</v>
      </c>
      <c r="B106" s="4">
        <v>0</v>
      </c>
      <c r="C106" s="4">
        <v>34079</v>
      </c>
      <c r="D106" s="186">
        <f t="shared" si="1"/>
        <v>34079</v>
      </c>
    </row>
    <row r="107" spans="1:4" ht="12.75">
      <c r="A107" s="1" t="s">
        <v>139</v>
      </c>
      <c r="B107" s="4">
        <v>0</v>
      </c>
      <c r="C107" s="4">
        <v>26619</v>
      </c>
      <c r="D107" s="186">
        <f t="shared" si="1"/>
        <v>26619</v>
      </c>
    </row>
    <row r="108" spans="1:4" ht="12.75">
      <c r="A108" s="1" t="s">
        <v>140</v>
      </c>
      <c r="B108" s="4">
        <v>0</v>
      </c>
      <c r="C108" s="4">
        <v>25517</v>
      </c>
      <c r="D108" s="186">
        <f t="shared" si="1"/>
        <v>25517</v>
      </c>
    </row>
    <row r="109" spans="1:4" ht="12.75">
      <c r="A109" s="1" t="s">
        <v>141</v>
      </c>
      <c r="B109" s="4">
        <v>0</v>
      </c>
      <c r="C109" s="4">
        <v>68073</v>
      </c>
      <c r="D109" s="186">
        <f t="shared" si="1"/>
        <v>68073</v>
      </c>
    </row>
    <row r="110" spans="1:4" ht="12.75">
      <c r="A110" s="10" t="s">
        <v>37</v>
      </c>
      <c r="B110" s="4"/>
      <c r="C110" s="4"/>
      <c r="D110" s="186"/>
    </row>
    <row r="111" spans="1:4" ht="12.75">
      <c r="A111" s="1" t="s">
        <v>142</v>
      </c>
      <c r="B111" s="4">
        <v>0</v>
      </c>
      <c r="C111" s="4">
        <v>488</v>
      </c>
      <c r="D111" s="186">
        <f t="shared" si="1"/>
        <v>488</v>
      </c>
    </row>
    <row r="112" spans="1:4" ht="12.75">
      <c r="A112" s="1" t="s">
        <v>143</v>
      </c>
      <c r="B112" s="4">
        <v>0</v>
      </c>
      <c r="C112" s="4">
        <v>313</v>
      </c>
      <c r="D112" s="186">
        <f t="shared" si="1"/>
        <v>313</v>
      </c>
    </row>
    <row r="113" spans="1:4" ht="12.75">
      <c r="A113" s="1" t="s">
        <v>144</v>
      </c>
      <c r="B113" s="4">
        <v>0</v>
      </c>
      <c r="C113" s="4">
        <v>421</v>
      </c>
      <c r="D113" s="186">
        <f t="shared" si="1"/>
        <v>421</v>
      </c>
    </row>
    <row r="114" spans="1:4" ht="12.75">
      <c r="A114" s="1" t="s">
        <v>145</v>
      </c>
      <c r="B114" s="4">
        <v>0</v>
      </c>
      <c r="C114" s="4">
        <v>491</v>
      </c>
      <c r="D114" s="186">
        <f t="shared" si="1"/>
        <v>491</v>
      </c>
    </row>
    <row r="115" spans="1:4" ht="12.75">
      <c r="A115" s="1" t="s">
        <v>146</v>
      </c>
      <c r="B115" s="4">
        <v>0</v>
      </c>
      <c r="C115" s="4">
        <v>30338</v>
      </c>
      <c r="D115" s="186">
        <f t="shared" si="1"/>
        <v>30338</v>
      </c>
    </row>
    <row r="116" spans="1:4" ht="12.75">
      <c r="A116" s="1" t="s">
        <v>147</v>
      </c>
      <c r="B116" s="4">
        <v>0</v>
      </c>
      <c r="C116" s="4">
        <v>1590</v>
      </c>
      <c r="D116" s="186">
        <f t="shared" si="1"/>
        <v>1590</v>
      </c>
    </row>
    <row r="117" spans="1:4" ht="12.75">
      <c r="A117" s="1" t="s">
        <v>148</v>
      </c>
      <c r="B117" s="4">
        <v>0</v>
      </c>
      <c r="C117" s="4">
        <v>4084</v>
      </c>
      <c r="D117" s="186">
        <f t="shared" si="1"/>
        <v>4084</v>
      </c>
    </row>
    <row r="118" spans="1:4" ht="12.75">
      <c r="A118" s="1" t="s">
        <v>149</v>
      </c>
      <c r="B118" s="4">
        <v>0</v>
      </c>
      <c r="C118" s="4">
        <v>11467</v>
      </c>
      <c r="D118" s="186">
        <f t="shared" si="1"/>
        <v>11467</v>
      </c>
    </row>
    <row r="119" spans="1:4" ht="12.75">
      <c r="A119" s="1" t="s">
        <v>150</v>
      </c>
      <c r="B119" s="4">
        <v>0</v>
      </c>
      <c r="C119" s="4">
        <v>641</v>
      </c>
      <c r="D119" s="186">
        <f t="shared" si="1"/>
        <v>641</v>
      </c>
    </row>
    <row r="120" spans="1:4" ht="12.75">
      <c r="A120" s="1" t="s">
        <v>151</v>
      </c>
      <c r="B120" s="4">
        <v>0</v>
      </c>
      <c r="C120" s="4">
        <v>1831</v>
      </c>
      <c r="D120" s="186">
        <f t="shared" si="1"/>
        <v>1831</v>
      </c>
    </row>
    <row r="121" spans="1:4" ht="12.75">
      <c r="A121" s="1" t="s">
        <v>152</v>
      </c>
      <c r="B121" s="4">
        <v>0</v>
      </c>
      <c r="C121" s="4">
        <v>218</v>
      </c>
      <c r="D121" s="186">
        <f t="shared" si="1"/>
        <v>218</v>
      </c>
    </row>
    <row r="122" spans="1:4" ht="12.75">
      <c r="A122" s="1" t="s">
        <v>153</v>
      </c>
      <c r="B122" s="4">
        <v>0</v>
      </c>
      <c r="C122" s="4">
        <v>218</v>
      </c>
      <c r="D122" s="186">
        <f t="shared" si="1"/>
        <v>218</v>
      </c>
    </row>
    <row r="123" spans="1:4" ht="12.75">
      <c r="A123" s="1" t="s">
        <v>154</v>
      </c>
      <c r="B123" s="4">
        <v>0</v>
      </c>
      <c r="C123" s="4">
        <v>426</v>
      </c>
      <c r="D123" s="186">
        <f t="shared" si="1"/>
        <v>426</v>
      </c>
    </row>
    <row r="124" spans="1:4" ht="12.75">
      <c r="A124" s="1" t="s">
        <v>225</v>
      </c>
      <c r="B124" s="4">
        <v>0</v>
      </c>
      <c r="C124" s="4">
        <v>1532</v>
      </c>
      <c r="D124" s="186">
        <f t="shared" si="1"/>
        <v>1532</v>
      </c>
    </row>
    <row r="125" spans="1:4" ht="12.75">
      <c r="A125" s="1" t="s">
        <v>155</v>
      </c>
      <c r="B125" s="4">
        <v>0</v>
      </c>
      <c r="C125" s="4">
        <v>250</v>
      </c>
      <c r="D125" s="186">
        <f t="shared" si="1"/>
        <v>250</v>
      </c>
    </row>
    <row r="126" spans="1:4" ht="12.75">
      <c r="A126" s="1" t="s">
        <v>156</v>
      </c>
      <c r="B126" s="4">
        <v>0</v>
      </c>
      <c r="C126" s="4">
        <v>218</v>
      </c>
      <c r="D126" s="186">
        <f t="shared" si="1"/>
        <v>218</v>
      </c>
    </row>
    <row r="127" spans="1:4" ht="12.75">
      <c r="A127" s="1" t="s">
        <v>157</v>
      </c>
      <c r="B127" s="4">
        <v>0</v>
      </c>
      <c r="C127" s="4">
        <v>7654</v>
      </c>
      <c r="D127" s="186">
        <f t="shared" si="1"/>
        <v>7654</v>
      </c>
    </row>
    <row r="128" spans="1:4" ht="12.75">
      <c r="A128" s="1" t="s">
        <v>158</v>
      </c>
      <c r="B128" s="4">
        <v>0</v>
      </c>
      <c r="C128" s="4">
        <v>2899</v>
      </c>
      <c r="D128" s="186">
        <f t="shared" si="1"/>
        <v>2899</v>
      </c>
    </row>
    <row r="129" spans="1:4" ht="12.75">
      <c r="A129" s="1" t="s">
        <v>159</v>
      </c>
      <c r="B129" s="4">
        <v>0</v>
      </c>
      <c r="C129" s="4">
        <v>230</v>
      </c>
      <c r="D129" s="186">
        <f t="shared" si="1"/>
        <v>230</v>
      </c>
    </row>
    <row r="130" spans="1:4" ht="12.75">
      <c r="A130" s="1" t="s">
        <v>160</v>
      </c>
      <c r="B130" s="4">
        <v>0</v>
      </c>
      <c r="C130" s="4">
        <v>218</v>
      </c>
      <c r="D130" s="186">
        <f t="shared" si="1"/>
        <v>218</v>
      </c>
    </row>
    <row r="131" spans="1:4" ht="12.75">
      <c r="A131" s="1" t="s">
        <v>161</v>
      </c>
      <c r="B131" s="4">
        <v>0</v>
      </c>
      <c r="C131" s="4">
        <v>260</v>
      </c>
      <c r="D131" s="186">
        <f t="shared" si="1"/>
        <v>260</v>
      </c>
    </row>
    <row r="132" spans="1:4" ht="12.75">
      <c r="A132" s="1" t="s">
        <v>162</v>
      </c>
      <c r="B132" s="4">
        <v>0</v>
      </c>
      <c r="C132" s="4">
        <v>563</v>
      </c>
      <c r="D132" s="186">
        <f t="shared" si="1"/>
        <v>563</v>
      </c>
    </row>
    <row r="133" spans="1:4" ht="12.75">
      <c r="A133" s="1" t="s">
        <v>163</v>
      </c>
      <c r="B133" s="4">
        <v>0</v>
      </c>
      <c r="C133" s="4">
        <v>616</v>
      </c>
      <c r="D133" s="186">
        <f t="shared" si="1"/>
        <v>616</v>
      </c>
    </row>
    <row r="134" spans="1:4" ht="12.75">
      <c r="A134" s="1" t="s">
        <v>164</v>
      </c>
      <c r="B134" s="4">
        <v>0</v>
      </c>
      <c r="C134" s="4">
        <v>540</v>
      </c>
      <c r="D134" s="186">
        <f t="shared" si="1"/>
        <v>540</v>
      </c>
    </row>
    <row r="135" spans="1:4" ht="12.75">
      <c r="A135" s="1" t="s">
        <v>165</v>
      </c>
      <c r="B135" s="4">
        <v>0</v>
      </c>
      <c r="C135" s="4">
        <v>1517</v>
      </c>
      <c r="D135" s="186">
        <f t="shared" si="1"/>
        <v>1517</v>
      </c>
    </row>
    <row r="136" spans="1:4" ht="12.75">
      <c r="A136" s="1" t="s">
        <v>166</v>
      </c>
      <c r="B136" s="4">
        <v>0</v>
      </c>
      <c r="C136" s="4">
        <v>298</v>
      </c>
      <c r="D136" s="186">
        <f aca="true" t="shared" si="2" ref="D136:D186">B136+C136</f>
        <v>298</v>
      </c>
    </row>
    <row r="137" spans="1:4" ht="12.75">
      <c r="A137" s="1" t="s">
        <v>167</v>
      </c>
      <c r="B137" s="4">
        <v>0</v>
      </c>
      <c r="C137" s="4">
        <v>218</v>
      </c>
      <c r="D137" s="186">
        <f t="shared" si="2"/>
        <v>218</v>
      </c>
    </row>
    <row r="138" spans="1:4" ht="12.75">
      <c r="A138" s="1" t="s">
        <v>168</v>
      </c>
      <c r="B138" s="4">
        <v>0</v>
      </c>
      <c r="C138" s="4">
        <v>218</v>
      </c>
      <c r="D138" s="186">
        <f t="shared" si="2"/>
        <v>218</v>
      </c>
    </row>
    <row r="139" spans="1:4" ht="12.75">
      <c r="A139" s="1" t="s">
        <v>169</v>
      </c>
      <c r="B139" s="4">
        <v>0</v>
      </c>
      <c r="C139" s="4">
        <v>6510</v>
      </c>
      <c r="D139" s="186">
        <f t="shared" si="2"/>
        <v>6510</v>
      </c>
    </row>
    <row r="140" spans="1:4" ht="12.75">
      <c r="A140" s="1" t="s">
        <v>170</v>
      </c>
      <c r="B140" s="4">
        <v>0</v>
      </c>
      <c r="C140" s="4">
        <v>223</v>
      </c>
      <c r="D140" s="186">
        <f t="shared" si="2"/>
        <v>223</v>
      </c>
    </row>
    <row r="141" spans="1:4" ht="12.75">
      <c r="A141" s="1" t="s">
        <v>226</v>
      </c>
      <c r="B141" s="4">
        <v>0</v>
      </c>
      <c r="C141" s="4">
        <v>218</v>
      </c>
      <c r="D141" s="186">
        <f t="shared" si="2"/>
        <v>218</v>
      </c>
    </row>
    <row r="142" spans="1:4" ht="12.75">
      <c r="A142" s="10" t="s">
        <v>38</v>
      </c>
      <c r="B142" s="4"/>
      <c r="C142" s="4"/>
      <c r="D142" s="186"/>
    </row>
    <row r="143" spans="1:4" ht="12.75">
      <c r="A143" s="1" t="s">
        <v>230</v>
      </c>
      <c r="B143" s="4">
        <v>0</v>
      </c>
      <c r="C143" s="4">
        <v>2012</v>
      </c>
      <c r="D143" s="186">
        <f t="shared" si="2"/>
        <v>2012</v>
      </c>
    </row>
    <row r="144" spans="1:4" ht="12.75">
      <c r="A144" s="1" t="s">
        <v>171</v>
      </c>
      <c r="B144" s="4">
        <v>0</v>
      </c>
      <c r="C144" s="4">
        <v>6462</v>
      </c>
      <c r="D144" s="186">
        <f t="shared" si="2"/>
        <v>6462</v>
      </c>
    </row>
    <row r="145" spans="1:4" ht="12.75">
      <c r="A145" s="1" t="s">
        <v>221</v>
      </c>
      <c r="B145" s="4">
        <v>0</v>
      </c>
      <c r="C145" s="4">
        <v>6235</v>
      </c>
      <c r="D145" s="186">
        <f t="shared" si="2"/>
        <v>6235</v>
      </c>
    </row>
    <row r="146" spans="1:4" ht="12.75">
      <c r="A146" s="1" t="s">
        <v>172</v>
      </c>
      <c r="B146" s="4">
        <v>0</v>
      </c>
      <c r="C146" s="4">
        <v>6235</v>
      </c>
      <c r="D146" s="186">
        <f t="shared" si="2"/>
        <v>6235</v>
      </c>
    </row>
    <row r="147" spans="1:4" ht="12.75">
      <c r="A147" s="1" t="s">
        <v>173</v>
      </c>
      <c r="B147" s="4">
        <v>0</v>
      </c>
      <c r="C147" s="4">
        <v>653</v>
      </c>
      <c r="D147" s="186">
        <f t="shared" si="2"/>
        <v>653</v>
      </c>
    </row>
    <row r="148" spans="1:4" ht="12.75">
      <c r="A148" s="1" t="s">
        <v>174</v>
      </c>
      <c r="B148" s="4">
        <v>0</v>
      </c>
      <c r="C148" s="4">
        <v>9254</v>
      </c>
      <c r="D148" s="186">
        <f t="shared" si="2"/>
        <v>9254</v>
      </c>
    </row>
    <row r="149" spans="1:4" ht="12.75">
      <c r="A149" s="10" t="s">
        <v>40</v>
      </c>
      <c r="B149" s="4"/>
      <c r="C149" s="4"/>
      <c r="D149" s="186"/>
    </row>
    <row r="150" spans="1:4" ht="12.75">
      <c r="A150" s="1" t="s">
        <v>175</v>
      </c>
      <c r="B150" s="4">
        <v>3585</v>
      </c>
      <c r="C150" s="4">
        <v>2076</v>
      </c>
      <c r="D150" s="186">
        <f t="shared" si="2"/>
        <v>5661</v>
      </c>
    </row>
    <row r="151" spans="1:4" ht="12.75">
      <c r="A151" s="10" t="s">
        <v>42</v>
      </c>
      <c r="B151" s="4"/>
      <c r="C151" s="4"/>
      <c r="D151" s="186"/>
    </row>
    <row r="152" spans="1:4" ht="12.75">
      <c r="A152" s="1" t="s">
        <v>176</v>
      </c>
      <c r="B152" s="4">
        <v>0</v>
      </c>
      <c r="C152" s="4">
        <v>19416</v>
      </c>
      <c r="D152" s="186">
        <f t="shared" si="2"/>
        <v>19416</v>
      </c>
    </row>
    <row r="153" spans="1:4" ht="12.75">
      <c r="A153" s="1" t="s">
        <v>177</v>
      </c>
      <c r="B153" s="4">
        <v>0</v>
      </c>
      <c r="C153" s="4">
        <v>2616</v>
      </c>
      <c r="D153" s="186">
        <f t="shared" si="2"/>
        <v>2616</v>
      </c>
    </row>
    <row r="154" spans="1:4" ht="12.75">
      <c r="A154" s="1" t="s">
        <v>178</v>
      </c>
      <c r="B154" s="4">
        <v>0</v>
      </c>
      <c r="C154" s="4">
        <v>40209</v>
      </c>
      <c r="D154" s="186">
        <f t="shared" si="2"/>
        <v>40209</v>
      </c>
    </row>
    <row r="155" spans="1:4" ht="12.75">
      <c r="A155" s="1" t="s">
        <v>179</v>
      </c>
      <c r="B155" s="4">
        <v>0</v>
      </c>
      <c r="C155" s="4">
        <v>31671</v>
      </c>
      <c r="D155" s="186">
        <f t="shared" si="2"/>
        <v>31671</v>
      </c>
    </row>
    <row r="156" spans="1:4" ht="12.75">
      <c r="A156" s="1" t="s">
        <v>180</v>
      </c>
      <c r="B156" s="4">
        <v>0</v>
      </c>
      <c r="C156" s="4">
        <v>12806</v>
      </c>
      <c r="D156" s="186">
        <f t="shared" si="2"/>
        <v>12806</v>
      </c>
    </row>
    <row r="157" spans="1:4" ht="12.75">
      <c r="A157" s="1" t="s">
        <v>181</v>
      </c>
      <c r="B157" s="4">
        <v>0</v>
      </c>
      <c r="C157" s="4">
        <v>7987</v>
      </c>
      <c r="D157" s="186">
        <f t="shared" si="2"/>
        <v>7987</v>
      </c>
    </row>
    <row r="158" spans="1:4" ht="12.75">
      <c r="A158" s="1" t="s">
        <v>182</v>
      </c>
      <c r="B158" s="4">
        <v>0</v>
      </c>
      <c r="C158" s="4">
        <v>7711</v>
      </c>
      <c r="D158" s="186">
        <f t="shared" si="2"/>
        <v>7711</v>
      </c>
    </row>
    <row r="159" spans="1:4" ht="12.75">
      <c r="A159" s="10" t="s">
        <v>45</v>
      </c>
      <c r="B159" s="4"/>
      <c r="C159" s="4"/>
      <c r="D159" s="186"/>
    </row>
    <row r="160" spans="1:4" ht="12.75">
      <c r="A160" s="1" t="s">
        <v>133</v>
      </c>
      <c r="B160" s="4">
        <v>0</v>
      </c>
      <c r="C160" s="4">
        <v>7127</v>
      </c>
      <c r="D160" s="186">
        <f t="shared" si="2"/>
        <v>7127</v>
      </c>
    </row>
    <row r="161" spans="1:4" ht="12.75">
      <c r="A161" s="1" t="s">
        <v>183</v>
      </c>
      <c r="B161" s="4">
        <v>0</v>
      </c>
      <c r="C161" s="4">
        <v>3263</v>
      </c>
      <c r="D161" s="186">
        <f t="shared" si="2"/>
        <v>3263</v>
      </c>
    </row>
    <row r="162" spans="1:4" ht="12.75">
      <c r="A162" s="1" t="s">
        <v>184</v>
      </c>
      <c r="B162" s="4">
        <v>0</v>
      </c>
      <c r="C162" s="4">
        <v>5438</v>
      </c>
      <c r="D162" s="186">
        <f t="shared" si="2"/>
        <v>5438</v>
      </c>
    </row>
    <row r="163" spans="1:4" ht="12.75">
      <c r="A163" s="10" t="s">
        <v>48</v>
      </c>
      <c r="B163" s="4"/>
      <c r="C163" s="4"/>
      <c r="D163" s="186"/>
    </row>
    <row r="164" spans="1:4" ht="12.75">
      <c r="A164" s="1" t="s">
        <v>185</v>
      </c>
      <c r="B164" s="4">
        <v>0</v>
      </c>
      <c r="C164" s="4">
        <v>18418</v>
      </c>
      <c r="D164" s="186">
        <f t="shared" si="2"/>
        <v>18418</v>
      </c>
    </row>
    <row r="165" spans="1:4" ht="12.75">
      <c r="A165" s="1" t="s">
        <v>186</v>
      </c>
      <c r="B165" s="4">
        <v>0</v>
      </c>
      <c r="C165" s="4">
        <v>460</v>
      </c>
      <c r="D165" s="186">
        <f t="shared" si="2"/>
        <v>460</v>
      </c>
    </row>
    <row r="166" spans="1:4" ht="12.75">
      <c r="A166" s="1" t="s">
        <v>187</v>
      </c>
      <c r="B166" s="4">
        <v>0</v>
      </c>
      <c r="C166" s="4">
        <v>537</v>
      </c>
      <c r="D166" s="186">
        <f t="shared" si="2"/>
        <v>537</v>
      </c>
    </row>
    <row r="167" spans="1:4" ht="12.75">
      <c r="A167" s="1" t="s">
        <v>188</v>
      </c>
      <c r="B167" s="4">
        <v>0</v>
      </c>
      <c r="C167" s="4">
        <v>537</v>
      </c>
      <c r="D167" s="186">
        <f t="shared" si="2"/>
        <v>537</v>
      </c>
    </row>
    <row r="168" spans="1:4" ht="12.75">
      <c r="A168" s="1" t="s">
        <v>189</v>
      </c>
      <c r="B168" s="4">
        <v>0</v>
      </c>
      <c r="C168" s="4">
        <v>1313</v>
      </c>
      <c r="D168" s="186">
        <f t="shared" si="2"/>
        <v>1313</v>
      </c>
    </row>
    <row r="169" spans="1:4" ht="12.75">
      <c r="A169" s="1" t="s">
        <v>190</v>
      </c>
      <c r="B169" s="4">
        <v>0</v>
      </c>
      <c r="C169" s="4">
        <v>5434</v>
      </c>
      <c r="D169" s="186">
        <f t="shared" si="2"/>
        <v>5434</v>
      </c>
    </row>
    <row r="170" spans="1:4" ht="12.75">
      <c r="A170" s="1" t="s">
        <v>191</v>
      </c>
      <c r="B170" s="4">
        <v>0</v>
      </c>
      <c r="C170" s="4">
        <v>4238</v>
      </c>
      <c r="D170" s="186">
        <f t="shared" si="2"/>
        <v>4238</v>
      </c>
    </row>
    <row r="171" spans="1:4" ht="12.75">
      <c r="A171" s="1" t="s">
        <v>192</v>
      </c>
      <c r="B171" s="4">
        <v>0</v>
      </c>
      <c r="C171" s="4">
        <v>1940</v>
      </c>
      <c r="D171" s="186">
        <f t="shared" si="2"/>
        <v>1940</v>
      </c>
    </row>
    <row r="172" spans="1:4" ht="12.75">
      <c r="A172" s="1" t="s">
        <v>193</v>
      </c>
      <c r="B172" s="4">
        <v>0</v>
      </c>
      <c r="C172" s="4">
        <v>1492</v>
      </c>
      <c r="D172" s="186">
        <f t="shared" si="2"/>
        <v>1492</v>
      </c>
    </row>
    <row r="173" spans="1:4" ht="12.75">
      <c r="A173" s="1" t="s">
        <v>194</v>
      </c>
      <c r="B173" s="4">
        <v>0</v>
      </c>
      <c r="C173" s="4">
        <v>896</v>
      </c>
      <c r="D173" s="186">
        <f t="shared" si="2"/>
        <v>896</v>
      </c>
    </row>
    <row r="174" spans="1:4" ht="12.75">
      <c r="A174" s="1" t="s">
        <v>195</v>
      </c>
      <c r="B174" s="4">
        <v>0</v>
      </c>
      <c r="C174" s="4">
        <v>6060</v>
      </c>
      <c r="D174" s="186">
        <f t="shared" si="2"/>
        <v>6060</v>
      </c>
    </row>
    <row r="175" spans="1:4" ht="12.75">
      <c r="A175" s="1" t="s">
        <v>196</v>
      </c>
      <c r="B175" s="4">
        <v>0</v>
      </c>
      <c r="C175" s="4">
        <v>1731</v>
      </c>
      <c r="D175" s="186">
        <f t="shared" si="2"/>
        <v>1731</v>
      </c>
    </row>
    <row r="176" spans="1:4" ht="12.75">
      <c r="A176" s="1" t="s">
        <v>197</v>
      </c>
      <c r="B176" s="4">
        <v>0</v>
      </c>
      <c r="C176" s="4">
        <v>4716</v>
      </c>
      <c r="D176" s="186">
        <f t="shared" si="2"/>
        <v>4716</v>
      </c>
    </row>
    <row r="177" spans="1:4" ht="12.75">
      <c r="A177" s="1" t="s">
        <v>198</v>
      </c>
      <c r="B177" s="4">
        <v>0</v>
      </c>
      <c r="C177" s="4">
        <v>1790</v>
      </c>
      <c r="D177" s="186">
        <f t="shared" si="2"/>
        <v>1790</v>
      </c>
    </row>
    <row r="178" spans="1:4" ht="12.75">
      <c r="A178" s="1" t="s">
        <v>199</v>
      </c>
      <c r="B178" s="4">
        <v>0</v>
      </c>
      <c r="C178" s="4">
        <v>2864</v>
      </c>
      <c r="D178" s="186">
        <f t="shared" si="2"/>
        <v>2864</v>
      </c>
    </row>
    <row r="179" spans="1:4" ht="12.75">
      <c r="A179" s="1" t="s">
        <v>200</v>
      </c>
      <c r="B179" s="4">
        <v>0</v>
      </c>
      <c r="C179" s="4">
        <v>6049</v>
      </c>
      <c r="D179" s="186">
        <f t="shared" si="2"/>
        <v>6049</v>
      </c>
    </row>
    <row r="180" spans="1:4" ht="12.75">
      <c r="A180" s="1" t="s">
        <v>201</v>
      </c>
      <c r="B180" s="4">
        <v>0</v>
      </c>
      <c r="C180" s="4">
        <v>3792</v>
      </c>
      <c r="D180" s="186">
        <f t="shared" si="2"/>
        <v>3792</v>
      </c>
    </row>
    <row r="181" spans="1:4" ht="12.75">
      <c r="A181" s="65" t="s">
        <v>231</v>
      </c>
      <c r="B181" s="4">
        <v>0</v>
      </c>
      <c r="C181" s="4">
        <v>537</v>
      </c>
      <c r="D181" s="186">
        <f t="shared" si="2"/>
        <v>537</v>
      </c>
    </row>
    <row r="182" spans="1:4" ht="12.75">
      <c r="A182" s="1" t="s">
        <v>202</v>
      </c>
      <c r="B182" s="4">
        <v>0</v>
      </c>
      <c r="C182" s="4">
        <v>2298</v>
      </c>
      <c r="D182" s="186">
        <f t="shared" si="2"/>
        <v>2298</v>
      </c>
    </row>
    <row r="183" spans="1:4" ht="12.75">
      <c r="A183" s="1" t="s">
        <v>228</v>
      </c>
      <c r="B183" s="4">
        <v>0</v>
      </c>
      <c r="C183" s="4">
        <v>4060</v>
      </c>
      <c r="D183" s="186">
        <f t="shared" si="2"/>
        <v>4060</v>
      </c>
    </row>
    <row r="184" spans="1:4" ht="12.75">
      <c r="A184" s="1" t="s">
        <v>203</v>
      </c>
      <c r="B184" s="4">
        <v>0</v>
      </c>
      <c r="C184" s="4">
        <v>19522</v>
      </c>
      <c r="D184" s="186">
        <f t="shared" si="2"/>
        <v>19522</v>
      </c>
    </row>
    <row r="185" spans="1:4" ht="12.75">
      <c r="A185" s="10" t="s">
        <v>51</v>
      </c>
      <c r="B185" s="4"/>
      <c r="C185" s="4"/>
      <c r="D185" s="186"/>
    </row>
    <row r="186" spans="1:4" ht="13.5" thickBot="1">
      <c r="A186" s="1" t="s">
        <v>204</v>
      </c>
      <c r="B186" s="4">
        <v>0</v>
      </c>
      <c r="C186" s="4">
        <v>11419</v>
      </c>
      <c r="D186" s="186">
        <f t="shared" si="2"/>
        <v>11419</v>
      </c>
    </row>
    <row r="187" spans="1:4" ht="13.5" thickTop="1">
      <c r="A187" s="66" t="s">
        <v>205</v>
      </c>
      <c r="B187" s="23">
        <f>SUM(B6:B186)</f>
        <v>575921</v>
      </c>
      <c r="C187" s="23">
        <f>SUM(C6:C186)</f>
        <v>1144425</v>
      </c>
      <c r="D187" s="187">
        <f>SUM(D6:D186)</f>
        <v>1720346</v>
      </c>
    </row>
    <row r="189" spans="1:4" ht="12.75">
      <c r="A189" s="67" t="s">
        <v>402</v>
      </c>
      <c r="B189" s="67"/>
      <c r="C189" s="67"/>
      <c r="D189" s="67"/>
    </row>
    <row r="191" spans="1:4" ht="12.75">
      <c r="A191" s="10"/>
      <c r="B191" s="10"/>
      <c r="C191" s="10"/>
      <c r="D191" s="10"/>
    </row>
    <row r="192" spans="1:4" ht="12.75">
      <c r="A192" s="10"/>
      <c r="B192" s="10"/>
      <c r="C192" s="10"/>
      <c r="D192" s="10"/>
    </row>
    <row r="193" spans="1:4" ht="12.75">
      <c r="A193" s="10"/>
      <c r="B193" s="10"/>
      <c r="C193" s="10"/>
      <c r="D193" s="10"/>
    </row>
    <row r="194" spans="1:4" ht="12.75">
      <c r="A194" s="10"/>
      <c r="B194" s="10"/>
      <c r="C194" s="10"/>
      <c r="D194" s="10"/>
    </row>
    <row r="195" spans="1:4" ht="12.75">
      <c r="A195" s="10"/>
      <c r="B195" s="10"/>
      <c r="C195" s="10"/>
      <c r="D195" s="10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</sheetData>
  <mergeCells count="1">
    <mergeCell ref="A1:E1"/>
  </mergeCells>
  <printOptions gridLines="1"/>
  <pageMargins left="0.17" right="0.17" top="0.58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zoomScale="115" zoomScaleNormal="115" workbookViewId="0" topLeftCell="A1">
      <selection activeCell="A2" sqref="A2:J2"/>
    </sheetView>
  </sheetViews>
  <sheetFormatPr defaultColWidth="9.00390625" defaultRowHeight="12.75"/>
  <cols>
    <col min="1" max="1" width="18.50390625" style="7" customWidth="1"/>
    <col min="2" max="2" width="15.75390625" style="7" customWidth="1"/>
    <col min="3" max="3" width="14.375" style="7" bestFit="1" customWidth="1"/>
    <col min="4" max="4" width="16.875" style="111" bestFit="1" customWidth="1"/>
    <col min="5" max="5" width="15.25390625" style="7" bestFit="1" customWidth="1"/>
    <col min="6" max="6" width="14.00390625" style="7" customWidth="1"/>
    <col min="7" max="7" width="13.875" style="7" bestFit="1" customWidth="1"/>
    <col min="8" max="8" width="11.50390625" style="7" customWidth="1"/>
    <col min="9" max="9" width="14.625" style="7" customWidth="1"/>
    <col min="10" max="10" width="11.25390625" style="7" customWidth="1"/>
    <col min="11" max="16384" width="9.00390625" style="7" customWidth="1"/>
  </cols>
  <sheetData>
    <row r="1" spans="1:10" ht="22.5" customHeight="1">
      <c r="A1" s="195" t="str">
        <f>"Low Income Home Energy Assistance Program (LIHEAP) Gross State Allotments of "&amp;TEXT(E5/1000000,"$0.00")&amp;" Million in Emergency Contingency Funds Reflecting LI Households using Fuel Oil for Heat"</f>
        <v>Low Income Home Energy Assistance Program (LIHEAP) Gross State Allotments of $25.00 Million in Emergency Contingency Funds Reflecting LI Households using Fuel Oil for Heat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12.75">
      <c r="A2" s="196" t="s">
        <v>267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12.75">
      <c r="A3" s="17" t="str">
        <f aca="true" t="shared" si="0" ref="A3:J3">IF(COLUMN()&lt;=26,CHAR(64+COLUMN()),CHAR(64+ROUNDDOWN((COLUMN()-1)/26,0))&amp;CHAR(65+MOD((COLUMN()-1),26)))</f>
        <v>A</v>
      </c>
      <c r="B3" s="17" t="str">
        <f t="shared" si="0"/>
        <v>B</v>
      </c>
      <c r="C3" s="17" t="str">
        <f t="shared" si="0"/>
        <v>C</v>
      </c>
      <c r="D3" s="17" t="str">
        <f t="shared" si="0"/>
        <v>D</v>
      </c>
      <c r="E3" s="17" t="str">
        <f t="shared" si="0"/>
        <v>E</v>
      </c>
      <c r="F3" s="17" t="str">
        <f t="shared" si="0"/>
        <v>F</v>
      </c>
      <c r="G3" s="17" t="str">
        <f t="shared" si="0"/>
        <v>G</v>
      </c>
      <c r="H3" s="17" t="str">
        <f t="shared" si="0"/>
        <v>H</v>
      </c>
      <c r="I3" s="17" t="str">
        <f t="shared" si="0"/>
        <v>I</v>
      </c>
      <c r="J3" s="90" t="str">
        <f t="shared" si="0"/>
        <v>J</v>
      </c>
    </row>
    <row r="4" spans="1:10" ht="38.25">
      <c r="A4" s="91"/>
      <c r="B4" s="17"/>
      <c r="C4" s="17"/>
      <c r="D4" s="17"/>
      <c r="E4" s="92" t="s">
        <v>268</v>
      </c>
      <c r="F4" s="72" t="s">
        <v>269</v>
      </c>
      <c r="G4" s="72" t="s">
        <v>270</v>
      </c>
      <c r="I4" s="72"/>
      <c r="J4" s="93"/>
    </row>
    <row r="5" spans="1:10" ht="43.5" customHeight="1">
      <c r="A5" s="197" t="s">
        <v>284</v>
      </c>
      <c r="B5" s="197"/>
      <c r="C5" s="197"/>
      <c r="D5" s="197"/>
      <c r="E5" s="94">
        <v>25000000</v>
      </c>
      <c r="F5" s="95">
        <v>47</v>
      </c>
      <c r="G5" s="96">
        <v>0.3</v>
      </c>
      <c r="I5" s="96"/>
      <c r="J5" s="97" t="s">
        <v>239</v>
      </c>
    </row>
    <row r="6" spans="1:10" s="101" customFormat="1" ht="11.25">
      <c r="A6" s="129" t="s">
        <v>283</v>
      </c>
      <c r="D6" s="130"/>
      <c r="E6" s="131"/>
      <c r="F6" s="132"/>
      <c r="J6" s="133"/>
    </row>
    <row r="7" spans="1:10" ht="12.75">
      <c r="A7" s="98"/>
      <c r="D7" s="90"/>
      <c r="E7" s="99"/>
      <c r="F7" s="17"/>
      <c r="J7" s="100"/>
    </row>
    <row r="8" spans="2:10" s="101" customFormat="1" ht="72">
      <c r="B8" s="127" t="s">
        <v>271</v>
      </c>
      <c r="C8" s="127" t="s">
        <v>272</v>
      </c>
      <c r="D8" s="127" t="s">
        <v>273</v>
      </c>
      <c r="E8" s="127" t="s">
        <v>274</v>
      </c>
      <c r="F8" s="127" t="str">
        <f>"Block Grant Allotment Ratios for &gt;="&amp;TEXT(G5,"0%")&amp;" OIL and &lt;"&amp;TEXT(F5,0)&amp;" Degrees"</f>
        <v>Block Grant Allotment Ratios for &gt;=30% OIL and &lt;47 Degrees</v>
      </c>
      <c r="G8" s="127" t="str">
        <f>"Block % Weighted by Oil User % (Col "&amp;E3&amp;" X Col "&amp;F3&amp;")"</f>
        <v>Block % Weighted by Oil User % (Col E X Col F)</v>
      </c>
      <c r="H8" s="127" t="s">
        <v>275</v>
      </c>
      <c r="I8" s="127" t="str">
        <f>"Share Based on Weighted Block Grant Allotment Ratios (Col "&amp;$G$3&amp;" Div by Tot for Col "&amp;$G$3&amp;")"</f>
        <v>Share Based on Weighted Block Grant Allotment Ratios (Col G Div by Tot for Col G)</v>
      </c>
      <c r="J8" s="128" t="str">
        <f>"100% Award Based on OIL and Avg. Temp. ("&amp;TEXT(D66/1000000,"$0.00")&amp;" Million X Col. "&amp;I3&amp;")"</f>
        <v>100% Award Based on OIL and Avg. Temp. ($25.00 Million X Col. I)</v>
      </c>
    </row>
    <row r="9" spans="4:10" ht="12.75">
      <c r="D9" s="102"/>
      <c r="E9" s="102"/>
      <c r="F9" s="102"/>
      <c r="G9" s="102"/>
      <c r="H9" s="102"/>
      <c r="I9" s="103"/>
      <c r="J9" s="104"/>
    </row>
    <row r="10" spans="1:10" ht="12.75">
      <c r="A10" s="7" t="s">
        <v>2</v>
      </c>
      <c r="B10" s="105">
        <v>0.00860045</v>
      </c>
      <c r="C10" s="106">
        <v>51.84615384615385</v>
      </c>
      <c r="D10" s="107">
        <v>0.007138133758481063</v>
      </c>
      <c r="E10" s="107">
        <f aca="true" t="shared" si="1" ref="E10:E60">IF(AND(C10&lt;$F$5,D10&gt;=$G$5),D10,"")</f>
      </c>
      <c r="F10" s="105">
        <f aca="true" t="shared" si="2" ref="F10:F20">IF(E10="","",B10)</f>
      </c>
      <c r="G10" s="105">
        <f>IF(E10="",0,E10*F10)</f>
        <v>0</v>
      </c>
      <c r="H10" s="108">
        <v>548610</v>
      </c>
      <c r="I10" s="109">
        <f aca="true" t="shared" si="3" ref="I10:I60">G10/$G$62</f>
        <v>0</v>
      </c>
      <c r="J10" s="94">
        <f aca="true" t="shared" si="4" ref="J10:J41">ROUND(I10*$D$66,0)</f>
        <v>0</v>
      </c>
    </row>
    <row r="11" spans="1:10" ht="12.75">
      <c r="A11" s="7" t="s">
        <v>3</v>
      </c>
      <c r="B11" s="105">
        <v>0.00548986</v>
      </c>
      <c r="C11" s="106">
        <v>17.74175824175824</v>
      </c>
      <c r="D11" s="107">
        <v>0.376902780596712</v>
      </c>
      <c r="E11" s="107">
        <f t="shared" si="1"/>
        <v>0.376902780596712</v>
      </c>
      <c r="F11" s="105">
        <f t="shared" si="2"/>
        <v>0.00548986</v>
      </c>
      <c r="G11" s="105">
        <f aca="true" t="shared" si="5" ref="G11:G60">IF(E11="",0,E11*F11)</f>
        <v>0.0020691434990866655</v>
      </c>
      <c r="H11" s="108">
        <v>49205</v>
      </c>
      <c r="I11" s="109">
        <f t="shared" si="3"/>
        <v>0.046711385482388096</v>
      </c>
      <c r="J11" s="94">
        <f t="shared" si="4"/>
        <v>1167785</v>
      </c>
    </row>
    <row r="12" spans="1:10" ht="12.75">
      <c r="A12" s="7" t="s">
        <v>4</v>
      </c>
      <c r="B12" s="105">
        <v>0.00415928</v>
      </c>
      <c r="C12" s="106">
        <v>54.8021978021978</v>
      </c>
      <c r="D12" s="107">
        <v>0.0013770499265952725</v>
      </c>
      <c r="E12" s="107">
        <f t="shared" si="1"/>
      </c>
      <c r="F12" s="105">
        <f t="shared" si="2"/>
      </c>
      <c r="G12" s="105">
        <f t="shared" si="5"/>
        <v>0</v>
      </c>
      <c r="H12" s="108">
        <v>437260</v>
      </c>
      <c r="I12" s="109">
        <f t="shared" si="3"/>
        <v>0</v>
      </c>
      <c r="J12" s="94">
        <f t="shared" si="4"/>
        <v>0</v>
      </c>
    </row>
    <row r="13" spans="1:10" ht="12.75">
      <c r="A13" s="7" t="s">
        <v>5</v>
      </c>
      <c r="B13" s="105">
        <v>0.00656255</v>
      </c>
      <c r="C13" s="106">
        <v>48.97802197802198</v>
      </c>
      <c r="D13" s="107">
        <v>0.001561393634597578</v>
      </c>
      <c r="E13" s="107">
        <f t="shared" si="1"/>
      </c>
      <c r="F13" s="105">
        <f t="shared" si="2"/>
      </c>
      <c r="G13" s="105">
        <f t="shared" si="5"/>
        <v>0</v>
      </c>
      <c r="H13" s="108">
        <v>275030</v>
      </c>
      <c r="I13" s="109">
        <f t="shared" si="3"/>
        <v>0</v>
      </c>
      <c r="J13" s="94">
        <f t="shared" si="4"/>
        <v>0</v>
      </c>
    </row>
    <row r="14" spans="1:10" ht="12.75">
      <c r="A14" s="7" t="s">
        <v>6</v>
      </c>
      <c r="B14" s="105">
        <v>0.04613891</v>
      </c>
      <c r="C14" s="106">
        <v>54.120879120879124</v>
      </c>
      <c r="D14" s="107">
        <v>0.0035464671481736016</v>
      </c>
      <c r="E14" s="107">
        <f t="shared" si="1"/>
      </c>
      <c r="F14" s="105">
        <f t="shared" si="2"/>
      </c>
      <c r="G14" s="105">
        <f t="shared" si="5"/>
        <v>0</v>
      </c>
      <c r="H14" s="108">
        <v>3078430</v>
      </c>
      <c r="I14" s="109">
        <f t="shared" si="3"/>
        <v>0</v>
      </c>
      <c r="J14" s="94">
        <f t="shared" si="4"/>
        <v>0</v>
      </c>
    </row>
    <row r="15" spans="1:10" ht="12.75">
      <c r="A15" s="7" t="s">
        <v>7</v>
      </c>
      <c r="B15" s="105">
        <v>0.0160872</v>
      </c>
      <c r="C15" s="106">
        <v>33.96153846153846</v>
      </c>
      <c r="D15" s="107">
        <v>0.001823398151099777</v>
      </c>
      <c r="E15" s="107">
        <f t="shared" si="1"/>
      </c>
      <c r="F15" s="105">
        <f t="shared" si="2"/>
      </c>
      <c r="G15" s="105">
        <f t="shared" si="5"/>
        <v>0</v>
      </c>
      <c r="H15" s="108">
        <v>390285</v>
      </c>
      <c r="I15" s="109">
        <f t="shared" si="3"/>
        <v>0</v>
      </c>
      <c r="J15" s="94">
        <f t="shared" si="4"/>
        <v>0</v>
      </c>
    </row>
    <row r="16" spans="1:10" ht="12.75">
      <c r="A16" s="7" t="s">
        <v>8</v>
      </c>
      <c r="B16" s="105">
        <v>0.02098632</v>
      </c>
      <c r="C16" s="106">
        <v>38.9065934065934</v>
      </c>
      <c r="D16" s="107">
        <v>0.41850758563877255</v>
      </c>
      <c r="E16" s="107">
        <f t="shared" si="1"/>
        <v>0.41850758563877255</v>
      </c>
      <c r="F16" s="105">
        <f t="shared" si="2"/>
        <v>0.02098632</v>
      </c>
      <c r="G16" s="105">
        <f t="shared" si="5"/>
        <v>0.008782934114642685</v>
      </c>
      <c r="H16" s="108">
        <v>363170</v>
      </c>
      <c r="I16" s="109">
        <f t="shared" si="3"/>
        <v>0.1982767368607274</v>
      </c>
      <c r="J16" s="94">
        <f t="shared" si="4"/>
        <v>4956918</v>
      </c>
    </row>
    <row r="17" spans="1:10" ht="12.75">
      <c r="A17" s="7" t="s">
        <v>9</v>
      </c>
      <c r="B17" s="105">
        <v>0.00278553</v>
      </c>
      <c r="C17" s="106">
        <v>43.747252747252745</v>
      </c>
      <c r="D17" s="107">
        <v>0.28111737505542533</v>
      </c>
      <c r="E17" s="107">
        <f t="shared" si="1"/>
      </c>
      <c r="F17" s="105">
        <f t="shared" si="2"/>
      </c>
      <c r="G17" s="105">
        <f t="shared" si="5"/>
        <v>0</v>
      </c>
      <c r="H17" s="108">
        <v>78065</v>
      </c>
      <c r="I17" s="109">
        <f t="shared" si="3"/>
        <v>0</v>
      </c>
      <c r="J17" s="94">
        <f t="shared" si="4"/>
        <v>0</v>
      </c>
    </row>
    <row r="18" spans="1:10" ht="12.75">
      <c r="A18" s="77" t="s">
        <v>55</v>
      </c>
      <c r="B18" s="105">
        <v>0.00325921</v>
      </c>
      <c r="C18" s="106">
        <v>45.47802197802198</v>
      </c>
      <c r="D18" s="107">
        <v>0.06038647342995169</v>
      </c>
      <c r="E18" s="107">
        <f t="shared" si="1"/>
      </c>
      <c r="F18" s="105">
        <f t="shared" si="2"/>
      </c>
      <c r="G18" s="105">
        <f t="shared" si="5"/>
        <v>0</v>
      </c>
      <c r="H18" s="108">
        <v>74010</v>
      </c>
      <c r="I18" s="109">
        <f t="shared" si="3"/>
        <v>0</v>
      </c>
      <c r="J18" s="94">
        <f t="shared" si="4"/>
        <v>0</v>
      </c>
    </row>
    <row r="19" spans="1:10" ht="12.75">
      <c r="A19" s="7" t="s">
        <v>10</v>
      </c>
      <c r="B19" s="105">
        <v>0.01360848</v>
      </c>
      <c r="C19" s="106">
        <v>62.137362637362635</v>
      </c>
      <c r="D19" s="107">
        <v>0.014197600159656739</v>
      </c>
      <c r="E19" s="107">
        <f t="shared" si="1"/>
      </c>
      <c r="F19" s="105">
        <f t="shared" si="2"/>
      </c>
      <c r="G19" s="105">
        <f t="shared" si="5"/>
        <v>0</v>
      </c>
      <c r="H19" s="108">
        <v>1598425</v>
      </c>
      <c r="I19" s="109">
        <f t="shared" si="3"/>
        <v>0</v>
      </c>
      <c r="J19" s="94">
        <f t="shared" si="4"/>
        <v>0</v>
      </c>
    </row>
    <row r="20" spans="1:10" ht="12.75">
      <c r="A20" s="7" t="s">
        <v>11</v>
      </c>
      <c r="B20" s="105">
        <v>0.01075959</v>
      </c>
      <c r="C20" s="106">
        <v>51.565934065934066</v>
      </c>
      <c r="D20" s="107">
        <v>0.011070274944680419</v>
      </c>
      <c r="E20" s="107">
        <f t="shared" si="1"/>
      </c>
      <c r="F20" s="105">
        <f t="shared" si="2"/>
      </c>
      <c r="G20" s="105">
        <f t="shared" si="5"/>
        <v>0</v>
      </c>
      <c r="H20" s="108">
        <v>782825</v>
      </c>
      <c r="I20" s="109">
        <f t="shared" si="3"/>
        <v>0</v>
      </c>
      <c r="J20" s="94">
        <f t="shared" si="4"/>
        <v>0</v>
      </c>
    </row>
    <row r="21" spans="1:10" ht="12.75">
      <c r="A21" s="7" t="s">
        <v>12</v>
      </c>
      <c r="B21" s="105">
        <v>0.00108355</v>
      </c>
      <c r="C21" s="106">
        <v>65</v>
      </c>
      <c r="D21" s="107">
        <v>0.0016432626232446967</v>
      </c>
      <c r="E21" s="107">
        <f t="shared" si="1"/>
      </c>
      <c r="F21" s="105"/>
      <c r="G21" s="105">
        <f t="shared" si="5"/>
        <v>0</v>
      </c>
      <c r="H21" s="108">
        <v>100025</v>
      </c>
      <c r="I21" s="109">
        <f t="shared" si="3"/>
        <v>0</v>
      </c>
      <c r="J21" s="94">
        <f t="shared" si="4"/>
        <v>0</v>
      </c>
    </row>
    <row r="22" spans="1:10" ht="12.75">
      <c r="A22" s="7" t="s">
        <v>13</v>
      </c>
      <c r="B22" s="105">
        <v>0.00627508</v>
      </c>
      <c r="C22" s="106">
        <v>35.17032967032967</v>
      </c>
      <c r="D22" s="107">
        <v>0.05865934163306898</v>
      </c>
      <c r="E22" s="107">
        <f t="shared" si="1"/>
      </c>
      <c r="F22" s="105">
        <f aca="true" t="shared" si="6" ref="F22:F60">IF(E22="","",B22)</f>
      </c>
      <c r="G22" s="105">
        <f t="shared" si="5"/>
        <v>0</v>
      </c>
      <c r="H22" s="108">
        <v>113150</v>
      </c>
      <c r="I22" s="109">
        <f t="shared" si="3"/>
        <v>0</v>
      </c>
      <c r="J22" s="94">
        <f t="shared" si="4"/>
        <v>0</v>
      </c>
    </row>
    <row r="23" spans="1:10" ht="12.75">
      <c r="A23" s="7" t="s">
        <v>14</v>
      </c>
      <c r="B23" s="105">
        <v>0.05808651</v>
      </c>
      <c r="C23" s="106">
        <v>36.252747252747255</v>
      </c>
      <c r="D23" s="107">
        <v>0.007007472362494882</v>
      </c>
      <c r="E23" s="107">
        <f t="shared" si="1"/>
      </c>
      <c r="F23" s="105">
        <f t="shared" si="6"/>
      </c>
      <c r="G23" s="105">
        <f t="shared" si="5"/>
        <v>0</v>
      </c>
      <c r="H23" s="108">
        <v>1161420</v>
      </c>
      <c r="I23" s="109">
        <f t="shared" si="3"/>
        <v>0</v>
      </c>
      <c r="J23" s="94">
        <f t="shared" si="4"/>
        <v>0</v>
      </c>
    </row>
    <row r="24" spans="1:10" ht="12.75">
      <c r="A24" s="7" t="s">
        <v>15</v>
      </c>
      <c r="B24" s="105">
        <v>0.02629994</v>
      </c>
      <c r="C24" s="106">
        <v>38.543956043956044</v>
      </c>
      <c r="D24" s="107">
        <v>0.028352850968911193</v>
      </c>
      <c r="E24" s="107">
        <f t="shared" si="1"/>
      </c>
      <c r="F24" s="105">
        <f t="shared" si="6"/>
      </c>
      <c r="G24" s="105">
        <f t="shared" si="5"/>
        <v>0</v>
      </c>
      <c r="H24" s="108">
        <v>569910</v>
      </c>
      <c r="I24" s="109">
        <f t="shared" si="3"/>
        <v>0</v>
      </c>
      <c r="J24" s="94">
        <f t="shared" si="4"/>
        <v>0</v>
      </c>
    </row>
    <row r="25" spans="1:10" ht="12.75">
      <c r="A25" s="7" t="s">
        <v>16</v>
      </c>
      <c r="B25" s="105">
        <v>0.01863912</v>
      </c>
      <c r="C25" s="106">
        <v>32.86813186813187</v>
      </c>
      <c r="D25" s="107">
        <v>0.02477176776242197</v>
      </c>
      <c r="E25" s="107">
        <f t="shared" si="1"/>
      </c>
      <c r="F25" s="105">
        <f t="shared" si="6"/>
      </c>
      <c r="G25" s="105">
        <f t="shared" si="5"/>
        <v>0</v>
      </c>
      <c r="H25" s="108">
        <v>276180</v>
      </c>
      <c r="I25" s="109">
        <f t="shared" si="3"/>
        <v>0</v>
      </c>
      <c r="J25" s="94">
        <f t="shared" si="4"/>
        <v>0</v>
      </c>
    </row>
    <row r="26" spans="1:10" ht="12.75">
      <c r="A26" s="7" t="s">
        <v>17</v>
      </c>
      <c r="B26" s="105">
        <v>0.00855992</v>
      </c>
      <c r="C26" s="106">
        <v>41.21978021978022</v>
      </c>
      <c r="D26" s="107">
        <v>0.0016023501134997996</v>
      </c>
      <c r="E26" s="107">
        <f t="shared" si="1"/>
      </c>
      <c r="F26" s="105">
        <f t="shared" si="6"/>
      </c>
      <c r="G26" s="105">
        <f t="shared" si="5"/>
        <v>0</v>
      </c>
      <c r="H26" s="108">
        <v>261205</v>
      </c>
      <c r="I26" s="109">
        <f t="shared" si="3"/>
        <v>0</v>
      </c>
      <c r="J26" s="94">
        <f t="shared" si="4"/>
        <v>0</v>
      </c>
    </row>
    <row r="27" spans="1:10" ht="12.75">
      <c r="A27" s="7" t="s">
        <v>18</v>
      </c>
      <c r="B27" s="105">
        <v>0.0136864</v>
      </c>
      <c r="C27" s="106">
        <v>44.12637362637363</v>
      </c>
      <c r="D27" s="107">
        <v>0.04116937531742001</v>
      </c>
      <c r="E27" s="107">
        <f t="shared" si="1"/>
      </c>
      <c r="F27" s="105">
        <f t="shared" si="6"/>
      </c>
      <c r="G27" s="105">
        <f t="shared" si="5"/>
        <v>0</v>
      </c>
      <c r="H27" s="108">
        <v>471820</v>
      </c>
      <c r="I27" s="109">
        <f t="shared" si="3"/>
        <v>0</v>
      </c>
      <c r="J27" s="94">
        <f t="shared" si="4"/>
        <v>0</v>
      </c>
    </row>
    <row r="28" spans="1:10" ht="12.75">
      <c r="A28" s="7" t="s">
        <v>19</v>
      </c>
      <c r="B28" s="105">
        <v>0.00879264</v>
      </c>
      <c r="C28" s="106">
        <v>55.62637362637363</v>
      </c>
      <c r="D28" s="107">
        <v>0.002251584448315481</v>
      </c>
      <c r="E28" s="107">
        <f t="shared" si="1"/>
      </c>
      <c r="F28" s="105">
        <f t="shared" si="6"/>
      </c>
      <c r="G28" s="105">
        <f t="shared" si="5"/>
        <v>0</v>
      </c>
      <c r="H28" s="108">
        <v>538320</v>
      </c>
      <c r="I28" s="109">
        <f t="shared" si="3"/>
        <v>0</v>
      </c>
      <c r="J28" s="94">
        <f t="shared" si="4"/>
        <v>0</v>
      </c>
    </row>
    <row r="29" spans="1:10" ht="12.75">
      <c r="A29" s="7" t="s">
        <v>20</v>
      </c>
      <c r="B29" s="105">
        <v>0.01359579</v>
      </c>
      <c r="C29" s="106">
        <v>30.35164835164835</v>
      </c>
      <c r="D29" s="107">
        <v>0.7517375266938459</v>
      </c>
      <c r="E29" s="107">
        <f t="shared" si="1"/>
        <v>0.7517375266938459</v>
      </c>
      <c r="F29" s="105">
        <f t="shared" si="6"/>
        <v>0.01359579</v>
      </c>
      <c r="G29" s="105">
        <f t="shared" si="5"/>
        <v>0.010220465548048922</v>
      </c>
      <c r="H29" s="108">
        <v>128170</v>
      </c>
      <c r="I29" s="109">
        <f t="shared" si="3"/>
        <v>0.23072933618915903</v>
      </c>
      <c r="J29" s="94">
        <f t="shared" si="4"/>
        <v>5768233</v>
      </c>
    </row>
    <row r="30" spans="1:10" ht="12.75">
      <c r="A30" s="7" t="s">
        <v>21</v>
      </c>
      <c r="B30" s="105">
        <v>0.01606896</v>
      </c>
      <c r="C30" s="106">
        <v>43.2032967032967</v>
      </c>
      <c r="D30" s="107">
        <v>0.1690239448051948</v>
      </c>
      <c r="E30" s="107">
        <f t="shared" si="1"/>
      </c>
      <c r="F30" s="105">
        <f t="shared" si="6"/>
      </c>
      <c r="G30" s="105">
        <f t="shared" si="5"/>
        <v>0</v>
      </c>
      <c r="H30" s="108">
        <v>490270</v>
      </c>
      <c r="I30" s="109">
        <f t="shared" si="3"/>
        <v>0</v>
      </c>
      <c r="J30" s="94">
        <f t="shared" si="4"/>
        <v>0</v>
      </c>
    </row>
    <row r="31" spans="1:10" ht="12.75">
      <c r="A31" s="7" t="s">
        <v>22</v>
      </c>
      <c r="B31" s="105">
        <v>0.04197959</v>
      </c>
      <c r="C31" s="106">
        <v>37.379120879120876</v>
      </c>
      <c r="D31" s="107">
        <v>0.31616630419347846</v>
      </c>
      <c r="E31" s="107">
        <f t="shared" si="1"/>
        <v>0.31616630419347846</v>
      </c>
      <c r="F31" s="105">
        <f t="shared" si="6"/>
        <v>0.04197959</v>
      </c>
      <c r="G31" s="105">
        <f t="shared" si="5"/>
        <v>0.013272531821857506</v>
      </c>
      <c r="H31" s="108">
        <v>664750</v>
      </c>
      <c r="I31" s="109">
        <f t="shared" si="3"/>
        <v>0.299630427049507</v>
      </c>
      <c r="J31" s="94">
        <f t="shared" si="4"/>
        <v>7490761</v>
      </c>
    </row>
    <row r="32" spans="1:10" ht="12.75">
      <c r="A32" s="7" t="s">
        <v>23</v>
      </c>
      <c r="B32" s="105">
        <v>0.05514805</v>
      </c>
      <c r="C32" s="106">
        <v>34.66483516483517</v>
      </c>
      <c r="D32" s="107">
        <v>0.03633897190306867</v>
      </c>
      <c r="E32" s="107">
        <f t="shared" si="1"/>
      </c>
      <c r="F32" s="105">
        <f t="shared" si="6"/>
      </c>
      <c r="G32" s="105">
        <f t="shared" si="5"/>
        <v>0</v>
      </c>
      <c r="H32" s="108">
        <v>970720</v>
      </c>
      <c r="I32" s="109">
        <f t="shared" si="3"/>
        <v>0</v>
      </c>
      <c r="J32" s="94">
        <f t="shared" si="4"/>
        <v>0</v>
      </c>
    </row>
    <row r="33" spans="1:10" ht="12.75">
      <c r="A33" s="7" t="s">
        <v>24</v>
      </c>
      <c r="B33" s="105">
        <v>0.03973105</v>
      </c>
      <c r="C33" s="106">
        <v>27.450549450549453</v>
      </c>
      <c r="D33" s="107">
        <v>0.08636864126844307</v>
      </c>
      <c r="E33" s="107">
        <f t="shared" si="1"/>
      </c>
      <c r="F33" s="105">
        <f t="shared" si="6"/>
      </c>
      <c r="G33" s="105">
        <f t="shared" si="5"/>
        <v>0</v>
      </c>
      <c r="H33" s="108">
        <v>453770</v>
      </c>
      <c r="I33" s="109">
        <f t="shared" si="3"/>
        <v>0</v>
      </c>
      <c r="J33" s="94">
        <f t="shared" si="4"/>
        <v>0</v>
      </c>
    </row>
    <row r="34" spans="1:10" ht="12.75">
      <c r="A34" s="7" t="s">
        <v>25</v>
      </c>
      <c r="B34" s="105">
        <v>0.00737355</v>
      </c>
      <c r="C34" s="106">
        <v>52.494505494505496</v>
      </c>
      <c r="D34" s="107">
        <v>0.0026436642697443952</v>
      </c>
      <c r="E34" s="107">
        <f t="shared" si="1"/>
      </c>
      <c r="F34" s="105">
        <f t="shared" si="6"/>
      </c>
      <c r="G34" s="105">
        <f t="shared" si="5"/>
        <v>0</v>
      </c>
      <c r="H34" s="108">
        <v>330505</v>
      </c>
      <c r="I34" s="109">
        <f t="shared" si="3"/>
        <v>0</v>
      </c>
      <c r="J34" s="94">
        <f t="shared" si="4"/>
        <v>0</v>
      </c>
    </row>
    <row r="35" spans="1:10" ht="12.75">
      <c r="A35" s="7" t="s">
        <v>26</v>
      </c>
      <c r="B35" s="105">
        <v>0.02320202</v>
      </c>
      <c r="C35" s="106">
        <v>41.01648351648352</v>
      </c>
      <c r="D35" s="107">
        <v>0.006993412603057547</v>
      </c>
      <c r="E35" s="107">
        <f t="shared" si="1"/>
      </c>
      <c r="F35" s="105">
        <f t="shared" si="6"/>
      </c>
      <c r="G35" s="105">
        <f t="shared" si="5"/>
        <v>0</v>
      </c>
      <c r="H35" s="108">
        <v>603275</v>
      </c>
      <c r="I35" s="109">
        <f t="shared" si="3"/>
        <v>0</v>
      </c>
      <c r="J35" s="94">
        <f t="shared" si="4"/>
        <v>0</v>
      </c>
    </row>
    <row r="36" spans="1:10" ht="12.75">
      <c r="A36" s="7" t="s">
        <v>27</v>
      </c>
      <c r="B36" s="105">
        <v>0.00736027</v>
      </c>
      <c r="C36" s="106">
        <v>32.10989010989011</v>
      </c>
      <c r="D36" s="107">
        <v>0.03456843469806633</v>
      </c>
      <c r="E36" s="107">
        <f t="shared" si="1"/>
      </c>
      <c r="F36" s="105">
        <f t="shared" si="6"/>
      </c>
      <c r="G36" s="105">
        <f t="shared" si="5"/>
        <v>0</v>
      </c>
      <c r="H36" s="108">
        <v>92770</v>
      </c>
      <c r="I36" s="109">
        <f t="shared" si="3"/>
        <v>0</v>
      </c>
      <c r="J36" s="94">
        <f t="shared" si="4"/>
        <v>0</v>
      </c>
    </row>
    <row r="37" spans="1:10" ht="12.75">
      <c r="A37" s="7" t="s">
        <v>28</v>
      </c>
      <c r="B37" s="105">
        <v>0.00921776</v>
      </c>
      <c r="C37" s="106">
        <v>35.104395604395606</v>
      </c>
      <c r="D37" s="107">
        <v>0.015309264744698948</v>
      </c>
      <c r="E37" s="107">
        <f t="shared" si="1"/>
      </c>
      <c r="F37" s="105">
        <f t="shared" si="6"/>
      </c>
      <c r="G37" s="105">
        <f t="shared" si="5"/>
        <v>0</v>
      </c>
      <c r="H37" s="108">
        <v>170350</v>
      </c>
      <c r="I37" s="109">
        <f t="shared" si="3"/>
        <v>0</v>
      </c>
      <c r="J37" s="94">
        <f t="shared" si="4"/>
        <v>0</v>
      </c>
    </row>
    <row r="38" spans="1:10" ht="12.75">
      <c r="A38" s="7" t="s">
        <v>29</v>
      </c>
      <c r="B38" s="105">
        <v>0.00195349</v>
      </c>
      <c r="C38" s="106">
        <v>47.68681318681318</v>
      </c>
      <c r="D38" s="107">
        <v>0.011933315566610406</v>
      </c>
      <c r="E38" s="107">
        <f t="shared" si="1"/>
      </c>
      <c r="F38" s="105">
        <f t="shared" si="6"/>
      </c>
      <c r="G38" s="105">
        <f t="shared" si="5"/>
        <v>0</v>
      </c>
      <c r="H38" s="108">
        <v>168295</v>
      </c>
      <c r="I38" s="109">
        <f t="shared" si="3"/>
        <v>0</v>
      </c>
      <c r="J38" s="94">
        <f t="shared" si="4"/>
        <v>0</v>
      </c>
    </row>
    <row r="39" spans="1:10" ht="12.75">
      <c r="A39" s="7" t="s">
        <v>30</v>
      </c>
      <c r="B39" s="105">
        <v>0.00794588</v>
      </c>
      <c r="C39" s="106">
        <v>32.73076923076923</v>
      </c>
      <c r="D39" s="107">
        <v>0.5426211400854823</v>
      </c>
      <c r="E39" s="107">
        <f t="shared" si="1"/>
        <v>0.5426211400854823</v>
      </c>
      <c r="F39" s="105">
        <f t="shared" si="6"/>
        <v>0.00794588</v>
      </c>
      <c r="G39" s="105">
        <f t="shared" si="5"/>
        <v>0.004311602464582433</v>
      </c>
      <c r="H39" s="108">
        <v>103075</v>
      </c>
      <c r="I39" s="109">
        <f t="shared" si="3"/>
        <v>0.09733540707003858</v>
      </c>
      <c r="J39" s="94">
        <f t="shared" si="4"/>
        <v>2433385</v>
      </c>
    </row>
    <row r="40" spans="1:10" ht="12.75">
      <c r="A40" s="7" t="s">
        <v>31</v>
      </c>
      <c r="B40" s="105">
        <v>0.03897152</v>
      </c>
      <c r="C40" s="106">
        <v>40.99450549450549</v>
      </c>
      <c r="D40" s="107">
        <v>0.19562421185372006</v>
      </c>
      <c r="E40" s="107">
        <f t="shared" si="1"/>
      </c>
      <c r="F40" s="105">
        <f t="shared" si="6"/>
      </c>
      <c r="G40" s="105">
        <f t="shared" si="5"/>
        <v>0</v>
      </c>
      <c r="H40" s="108">
        <v>787190</v>
      </c>
      <c r="I40" s="109">
        <f t="shared" si="3"/>
        <v>0</v>
      </c>
      <c r="J40" s="94">
        <f t="shared" si="4"/>
        <v>0</v>
      </c>
    </row>
    <row r="41" spans="1:10" ht="12.75">
      <c r="A41" s="7" t="s">
        <v>32</v>
      </c>
      <c r="B41" s="105">
        <v>0.00520713</v>
      </c>
      <c r="C41" s="106">
        <v>42.565934065934066</v>
      </c>
      <c r="D41" s="107">
        <v>0.0018765868197372778</v>
      </c>
      <c r="E41" s="107">
        <f t="shared" si="1"/>
      </c>
      <c r="F41" s="105">
        <f t="shared" si="6"/>
      </c>
      <c r="G41" s="105">
        <f t="shared" si="5"/>
        <v>0</v>
      </c>
      <c r="H41" s="108">
        <v>180530</v>
      </c>
      <c r="I41" s="109">
        <f t="shared" si="3"/>
        <v>0</v>
      </c>
      <c r="J41" s="94">
        <f t="shared" si="4"/>
        <v>0</v>
      </c>
    </row>
    <row r="42" spans="1:10" ht="12.75">
      <c r="A42" s="7" t="s">
        <v>33</v>
      </c>
      <c r="B42" s="105">
        <v>0.12724791</v>
      </c>
      <c r="C42" s="106">
        <v>39.10989010989011</v>
      </c>
      <c r="D42" s="107">
        <v>0.29345501003832813</v>
      </c>
      <c r="E42" s="107">
        <f t="shared" si="1"/>
      </c>
      <c r="F42" s="105">
        <f t="shared" si="6"/>
      </c>
      <c r="G42" s="105">
        <f t="shared" si="5"/>
        <v>0</v>
      </c>
      <c r="H42" s="108">
        <v>2042445</v>
      </c>
      <c r="I42" s="109">
        <f t="shared" si="3"/>
        <v>0</v>
      </c>
      <c r="J42" s="94">
        <f>ROUND(I42*$D$66,0)</f>
        <v>0</v>
      </c>
    </row>
    <row r="43" spans="1:10" ht="12.75">
      <c r="A43" s="7" t="s">
        <v>34</v>
      </c>
      <c r="B43" s="105">
        <v>0.0189638</v>
      </c>
      <c r="C43" s="106">
        <v>48.80769230769231</v>
      </c>
      <c r="D43" s="107">
        <v>0.16013043146776454</v>
      </c>
      <c r="E43" s="107">
        <f t="shared" si="1"/>
      </c>
      <c r="F43" s="105">
        <f t="shared" si="6"/>
      </c>
      <c r="G43" s="105">
        <f t="shared" si="5"/>
        <v>0</v>
      </c>
      <c r="H43" s="108">
        <v>851135</v>
      </c>
      <c r="I43" s="109">
        <f t="shared" si="3"/>
        <v>0</v>
      </c>
      <c r="J43" s="94">
        <f aca="true" t="shared" si="7" ref="J43:J60">ROUND(I43*$D$66,0)</f>
        <v>0</v>
      </c>
    </row>
    <row r="44" spans="1:10" ht="12.75">
      <c r="A44" s="7" t="s">
        <v>35</v>
      </c>
      <c r="B44" s="105">
        <v>0.00799548</v>
      </c>
      <c r="C44" s="106">
        <v>24.934065934065934</v>
      </c>
      <c r="D44" s="107">
        <v>0.10338017470565894</v>
      </c>
      <c r="E44" s="107">
        <f t="shared" si="1"/>
      </c>
      <c r="F44" s="105">
        <f t="shared" si="6"/>
      </c>
      <c r="G44" s="105">
        <f t="shared" si="5"/>
        <v>0</v>
      </c>
      <c r="H44" s="108">
        <v>65720</v>
      </c>
      <c r="I44" s="109">
        <f t="shared" si="3"/>
        <v>0</v>
      </c>
      <c r="J44" s="94">
        <f t="shared" si="7"/>
        <v>0</v>
      </c>
    </row>
    <row r="45" spans="1:10" ht="12.75">
      <c r="A45" s="7" t="s">
        <v>36</v>
      </c>
      <c r="B45" s="105">
        <v>0.0513862</v>
      </c>
      <c r="C45" s="106">
        <v>38.41208791208791</v>
      </c>
      <c r="D45" s="107">
        <v>0.04456429417203968</v>
      </c>
      <c r="E45" s="107">
        <f t="shared" si="1"/>
      </c>
      <c r="F45" s="105">
        <f t="shared" si="6"/>
      </c>
      <c r="G45" s="105">
        <f t="shared" si="5"/>
        <v>0</v>
      </c>
      <c r="H45" s="108">
        <v>1191595</v>
      </c>
      <c r="I45" s="109">
        <f t="shared" si="3"/>
        <v>0</v>
      </c>
      <c r="J45" s="94">
        <f t="shared" si="7"/>
        <v>0</v>
      </c>
    </row>
    <row r="46" spans="1:10" ht="12.75">
      <c r="A46" s="7" t="s">
        <v>37</v>
      </c>
      <c r="B46" s="105">
        <v>0.00790558</v>
      </c>
      <c r="C46" s="106">
        <v>47.05494505494505</v>
      </c>
      <c r="D46" s="107">
        <v>0.001204004329004329</v>
      </c>
      <c r="E46" s="107">
        <f t="shared" si="1"/>
      </c>
      <c r="F46" s="105">
        <f t="shared" si="6"/>
      </c>
      <c r="G46" s="105">
        <f t="shared" si="5"/>
        <v>0</v>
      </c>
      <c r="H46" s="108">
        <v>369060</v>
      </c>
      <c r="I46" s="109">
        <f t="shared" si="3"/>
        <v>0</v>
      </c>
      <c r="J46" s="94">
        <f t="shared" si="7"/>
        <v>0</v>
      </c>
    </row>
    <row r="47" spans="1:10" ht="12.75">
      <c r="A47" s="7" t="s">
        <v>38</v>
      </c>
      <c r="B47" s="105">
        <v>0.01246826</v>
      </c>
      <c r="C47" s="106">
        <v>43.098901098901095</v>
      </c>
      <c r="D47" s="107">
        <v>0.05474759872693279</v>
      </c>
      <c r="E47" s="107">
        <f t="shared" si="1"/>
      </c>
      <c r="F47" s="105">
        <f t="shared" si="6"/>
      </c>
      <c r="G47" s="105">
        <f t="shared" si="5"/>
        <v>0</v>
      </c>
      <c r="H47" s="108">
        <v>350045</v>
      </c>
      <c r="I47" s="109">
        <f t="shared" si="3"/>
        <v>0</v>
      </c>
      <c r="J47" s="94">
        <f t="shared" si="7"/>
        <v>0</v>
      </c>
    </row>
    <row r="48" spans="1:10" ht="12.75">
      <c r="A48" s="7" t="s">
        <v>39</v>
      </c>
      <c r="B48" s="105">
        <v>0.0683509</v>
      </c>
      <c r="C48" s="106">
        <v>38.86813186813187</v>
      </c>
      <c r="D48" s="107">
        <v>0.23842536751197824</v>
      </c>
      <c r="E48" s="107">
        <f t="shared" si="1"/>
      </c>
      <c r="F48" s="105">
        <f t="shared" si="6"/>
      </c>
      <c r="G48" s="105">
        <f t="shared" si="5"/>
        <v>0</v>
      </c>
      <c r="H48" s="108">
        <v>1343420</v>
      </c>
      <c r="I48" s="109">
        <f t="shared" si="3"/>
        <v>0</v>
      </c>
      <c r="J48" s="94">
        <f t="shared" si="7"/>
        <v>0</v>
      </c>
    </row>
    <row r="49" spans="1:10" ht="12.75">
      <c r="A49" s="7" t="s">
        <v>40</v>
      </c>
      <c r="B49" s="105">
        <v>0.00691008</v>
      </c>
      <c r="C49" s="106">
        <v>39.55494505494505</v>
      </c>
      <c r="D49" s="107">
        <v>0.32441780032280376</v>
      </c>
      <c r="E49" s="107">
        <f t="shared" si="1"/>
        <v>0.32441780032280376</v>
      </c>
      <c r="F49" s="105">
        <f t="shared" si="6"/>
        <v>0.00691008</v>
      </c>
      <c r="G49" s="105">
        <f t="shared" si="5"/>
        <v>0.0022417529536546</v>
      </c>
      <c r="H49" s="108">
        <v>129235</v>
      </c>
      <c r="I49" s="109">
        <f t="shared" si="3"/>
        <v>0.0506080832096296</v>
      </c>
      <c r="J49" s="94">
        <f t="shared" si="7"/>
        <v>1265202</v>
      </c>
    </row>
    <row r="50" spans="1:10" ht="12.75">
      <c r="A50" s="7" t="s">
        <v>41</v>
      </c>
      <c r="B50" s="105">
        <v>0.00683051</v>
      </c>
      <c r="C50" s="106">
        <v>51.85164835164835</v>
      </c>
      <c r="D50" s="107">
        <v>0.08182326175461004</v>
      </c>
      <c r="E50" s="107">
        <f t="shared" si="1"/>
      </c>
      <c r="F50" s="105">
        <f t="shared" si="6"/>
      </c>
      <c r="G50" s="105">
        <f t="shared" si="5"/>
        <v>0</v>
      </c>
      <c r="H50" s="108">
        <v>436785</v>
      </c>
      <c r="I50" s="109">
        <f t="shared" si="3"/>
        <v>0</v>
      </c>
      <c r="J50" s="94">
        <f t="shared" si="7"/>
        <v>0</v>
      </c>
    </row>
    <row r="51" spans="1:10" ht="12.75">
      <c r="A51" s="7" t="s">
        <v>42</v>
      </c>
      <c r="B51" s="105">
        <v>0.00649373</v>
      </c>
      <c r="C51" s="106">
        <v>31.324175824175825</v>
      </c>
      <c r="D51" s="107">
        <v>0.0788496590832377</v>
      </c>
      <c r="E51" s="107">
        <f t="shared" si="1"/>
      </c>
      <c r="F51" s="105">
        <f t="shared" si="6"/>
      </c>
      <c r="G51" s="105">
        <f t="shared" si="5"/>
        <v>0</v>
      </c>
      <c r="H51" s="108">
        <v>74115</v>
      </c>
      <c r="I51" s="109">
        <f t="shared" si="3"/>
        <v>0</v>
      </c>
      <c r="J51" s="94">
        <f t="shared" si="7"/>
        <v>0</v>
      </c>
    </row>
    <row r="52" spans="1:10" ht="12.75">
      <c r="A52" s="7" t="s">
        <v>43</v>
      </c>
      <c r="B52" s="105">
        <v>0.01386403</v>
      </c>
      <c r="C52" s="106">
        <v>46.23626373626374</v>
      </c>
      <c r="D52" s="107">
        <v>0.03172651453255568</v>
      </c>
      <c r="E52" s="107">
        <f t="shared" si="1"/>
      </c>
      <c r="F52" s="105">
        <f t="shared" si="6"/>
      </c>
      <c r="G52" s="105">
        <f t="shared" si="5"/>
        <v>0</v>
      </c>
      <c r="H52" s="108">
        <v>616060</v>
      </c>
      <c r="I52" s="109">
        <f t="shared" si="3"/>
        <v>0</v>
      </c>
      <c r="J52" s="94">
        <f t="shared" si="7"/>
        <v>0</v>
      </c>
    </row>
    <row r="53" spans="1:10" ht="12.75">
      <c r="A53" s="7" t="s">
        <v>44</v>
      </c>
      <c r="B53" s="105">
        <v>0.02263997</v>
      </c>
      <c r="C53" s="106">
        <v>54.98901098901099</v>
      </c>
      <c r="D53" s="107">
        <v>0.0011018214091211651</v>
      </c>
      <c r="E53" s="107">
        <f t="shared" si="1"/>
      </c>
      <c r="F53" s="105">
        <f t="shared" si="6"/>
      </c>
      <c r="G53" s="105">
        <f t="shared" si="5"/>
        <v>0</v>
      </c>
      <c r="H53" s="108">
        <v>1976245</v>
      </c>
      <c r="I53" s="109">
        <f t="shared" si="3"/>
        <v>0</v>
      </c>
      <c r="J53" s="94">
        <f t="shared" si="7"/>
        <v>0</v>
      </c>
    </row>
    <row r="54" spans="1:10" ht="12.75">
      <c r="A54" s="7" t="s">
        <v>45</v>
      </c>
      <c r="B54" s="105">
        <v>0.00747576</v>
      </c>
      <c r="C54" s="106">
        <v>35.64835164835165</v>
      </c>
      <c r="D54" s="107">
        <v>0.008703451483240874</v>
      </c>
      <c r="E54" s="107">
        <f t="shared" si="1"/>
      </c>
      <c r="F54" s="105">
        <f t="shared" si="6"/>
      </c>
      <c r="G54" s="105">
        <f t="shared" si="5"/>
        <v>0</v>
      </c>
      <c r="H54" s="108">
        <v>150155</v>
      </c>
      <c r="I54" s="109">
        <f t="shared" si="3"/>
        <v>0</v>
      </c>
      <c r="J54" s="94">
        <f t="shared" si="7"/>
        <v>0</v>
      </c>
    </row>
    <row r="55" spans="1:10" ht="12.75">
      <c r="A55" s="7" t="s">
        <v>46</v>
      </c>
      <c r="B55" s="105">
        <v>0.00595572</v>
      </c>
      <c r="C55" s="106">
        <v>30.087912087912088</v>
      </c>
      <c r="D55" s="107">
        <v>0.5705290773939659</v>
      </c>
      <c r="E55" s="107">
        <f t="shared" si="1"/>
        <v>0.5705290773939659</v>
      </c>
      <c r="F55" s="105">
        <f t="shared" si="6"/>
        <v>0.00595572</v>
      </c>
      <c r="G55" s="105">
        <f t="shared" si="5"/>
        <v>0.0033979114368167906</v>
      </c>
      <c r="H55" s="108">
        <v>56930</v>
      </c>
      <c r="I55" s="109">
        <f t="shared" si="3"/>
        <v>0.07670862413855054</v>
      </c>
      <c r="J55" s="94">
        <f t="shared" si="7"/>
        <v>1917716</v>
      </c>
    </row>
    <row r="56" spans="1:10" ht="12.75">
      <c r="A56" s="7" t="s">
        <v>47</v>
      </c>
      <c r="B56" s="105">
        <v>0.01957379</v>
      </c>
      <c r="C56" s="106">
        <v>44.824175824175825</v>
      </c>
      <c r="D56" s="107">
        <v>0.18085511484798636</v>
      </c>
      <c r="E56" s="107">
        <f t="shared" si="1"/>
      </c>
      <c r="F56" s="105">
        <f t="shared" si="6"/>
      </c>
      <c r="G56" s="105">
        <f t="shared" si="5"/>
        <v>0</v>
      </c>
      <c r="H56" s="108">
        <v>655740</v>
      </c>
      <c r="I56" s="109">
        <f t="shared" si="3"/>
        <v>0</v>
      </c>
      <c r="J56" s="94">
        <f t="shared" si="7"/>
        <v>0</v>
      </c>
    </row>
    <row r="57" spans="1:10" ht="12.75">
      <c r="A57" s="7" t="s">
        <v>48</v>
      </c>
      <c r="B57" s="105">
        <v>0.02050857</v>
      </c>
      <c r="C57" s="106">
        <v>41.80769230769231</v>
      </c>
      <c r="D57" s="107">
        <v>0.04531683689204143</v>
      </c>
      <c r="E57" s="107">
        <f t="shared" si="1"/>
      </c>
      <c r="F57" s="105">
        <f t="shared" si="6"/>
      </c>
      <c r="G57" s="105">
        <f t="shared" si="5"/>
        <v>0</v>
      </c>
      <c r="H57" s="108">
        <v>549455</v>
      </c>
      <c r="I57" s="109">
        <f t="shared" si="3"/>
        <v>0</v>
      </c>
      <c r="J57" s="94">
        <f t="shared" si="7"/>
        <v>0</v>
      </c>
    </row>
    <row r="58" spans="1:10" ht="12.75">
      <c r="A58" s="7" t="s">
        <v>49</v>
      </c>
      <c r="B58" s="105">
        <v>0.00905733</v>
      </c>
      <c r="C58" s="106">
        <v>40.65934065934066</v>
      </c>
      <c r="D58" s="107">
        <v>0.0754883211208286</v>
      </c>
      <c r="E58" s="107">
        <f t="shared" si="1"/>
      </c>
      <c r="F58" s="105">
        <f t="shared" si="6"/>
      </c>
      <c r="G58" s="105">
        <f t="shared" si="5"/>
        <v>0</v>
      </c>
      <c r="H58" s="108">
        <v>233580</v>
      </c>
      <c r="I58" s="109">
        <f t="shared" si="3"/>
        <v>0</v>
      </c>
      <c r="J58" s="94">
        <f t="shared" si="7"/>
        <v>0</v>
      </c>
    </row>
    <row r="59" spans="1:10" ht="12.75">
      <c r="A59" s="7" t="s">
        <v>50</v>
      </c>
      <c r="B59" s="105">
        <v>0.03576365</v>
      </c>
      <c r="C59" s="106">
        <v>31.456043956043956</v>
      </c>
      <c r="D59" s="107">
        <v>0.07920197704783535</v>
      </c>
      <c r="E59" s="107">
        <f t="shared" si="1"/>
      </c>
      <c r="F59" s="105">
        <f t="shared" si="6"/>
      </c>
      <c r="G59" s="105">
        <f t="shared" si="5"/>
        <v>0</v>
      </c>
      <c r="H59" s="108">
        <v>497550</v>
      </c>
      <c r="I59" s="109">
        <f t="shared" si="3"/>
        <v>0</v>
      </c>
      <c r="J59" s="94">
        <f t="shared" si="7"/>
        <v>0</v>
      </c>
    </row>
    <row r="60" spans="1:10" ht="12.75">
      <c r="A60" s="7" t="s">
        <v>51</v>
      </c>
      <c r="B60" s="105">
        <v>0.00299313</v>
      </c>
      <c r="C60" s="106">
        <v>31.489010989010985</v>
      </c>
      <c r="D60" s="107">
        <v>0.0026890061019753855</v>
      </c>
      <c r="E60" s="107">
        <f t="shared" si="1"/>
      </c>
      <c r="F60" s="105">
        <f t="shared" si="6"/>
      </c>
      <c r="G60" s="105">
        <f t="shared" si="5"/>
        <v>0</v>
      </c>
      <c r="H60" s="108">
        <v>48325</v>
      </c>
      <c r="I60" s="109">
        <f t="shared" si="3"/>
        <v>0</v>
      </c>
      <c r="J60" s="94">
        <f t="shared" si="7"/>
        <v>0</v>
      </c>
    </row>
    <row r="61" spans="2:12" ht="12.75">
      <c r="B61" s="110" t="s">
        <v>1</v>
      </c>
      <c r="C61" s="110"/>
      <c r="D61" s="7"/>
      <c r="I61" s="100"/>
      <c r="J61" s="111"/>
      <c r="L61" s="7" t="s">
        <v>276</v>
      </c>
    </row>
    <row r="62" spans="1:10" ht="12.75">
      <c r="A62" s="7" t="s">
        <v>277</v>
      </c>
      <c r="B62" s="112">
        <f>SUM(B10:B60)</f>
        <v>1</v>
      </c>
      <c r="C62" s="112"/>
      <c r="D62" s="7"/>
      <c r="E62" s="112"/>
      <c r="F62" s="113">
        <f>SUM(F10:F60)</f>
        <v>0.10286324</v>
      </c>
      <c r="G62" s="114">
        <f>SUM(G10:G60)</f>
        <v>0.04429634183868959</v>
      </c>
      <c r="H62" s="115"/>
      <c r="I62" s="100">
        <f>SUM(I10:I60)</f>
        <v>1.0000000000000002</v>
      </c>
      <c r="J62" s="94">
        <f>SUM(J10:J60)</f>
        <v>25000000</v>
      </c>
    </row>
    <row r="63" spans="2:4" ht="12.75">
      <c r="B63" s="112"/>
      <c r="C63" s="112"/>
      <c r="D63" s="94"/>
    </row>
    <row r="64" spans="1:10" ht="12.75">
      <c r="A64" s="7" t="s">
        <v>54</v>
      </c>
      <c r="B64" s="116"/>
      <c r="C64" s="116"/>
      <c r="D64" s="117">
        <f>E5</f>
        <v>25000000</v>
      </c>
      <c r="E64" s="75"/>
      <c r="F64" s="75"/>
      <c r="G64" s="75"/>
      <c r="H64" s="75"/>
      <c r="I64" s="75"/>
      <c r="J64" s="75"/>
    </row>
    <row r="65" spans="1:10" ht="13.5" thickBot="1">
      <c r="A65" s="7" t="s">
        <v>52</v>
      </c>
      <c r="B65" s="116">
        <v>0</v>
      </c>
      <c r="C65" s="116"/>
      <c r="D65" s="75">
        <f>$B$65*D64</f>
        <v>0</v>
      </c>
      <c r="E65" s="75"/>
      <c r="F65" s="75"/>
      <c r="G65" s="75"/>
      <c r="H65" s="75"/>
      <c r="I65" s="75"/>
      <c r="J65" s="75"/>
    </row>
    <row r="66" spans="1:10" ht="13.5" thickTop="1">
      <c r="A66" s="118" t="s">
        <v>278</v>
      </c>
      <c r="B66" s="118"/>
      <c r="C66" s="118"/>
      <c r="D66" s="119">
        <f>(D64-D65)</f>
        <v>25000000</v>
      </c>
      <c r="E66" s="75"/>
      <c r="F66" s="75"/>
      <c r="G66" s="75"/>
      <c r="H66" s="75"/>
      <c r="I66" s="75"/>
      <c r="J66" s="75"/>
    </row>
    <row r="67" spans="1:10" ht="12.75">
      <c r="A67" s="125"/>
      <c r="B67" s="125"/>
      <c r="C67" s="125"/>
      <c r="D67" s="126"/>
      <c r="E67" s="75"/>
      <c r="F67" s="75"/>
      <c r="G67" s="75"/>
      <c r="H67" s="75"/>
      <c r="I67" s="75"/>
      <c r="J67" s="75"/>
    </row>
    <row r="68" spans="1:5" ht="12.75">
      <c r="A68" s="7" t="s">
        <v>282</v>
      </c>
      <c r="B68" s="69"/>
      <c r="C68" s="69"/>
      <c r="D68" s="49"/>
      <c r="E68" s="29"/>
    </row>
    <row r="69" spans="1:5" ht="51" hidden="1">
      <c r="A69" s="69" t="s">
        <v>52</v>
      </c>
      <c r="B69" s="69"/>
      <c r="C69" s="69" t="s">
        <v>211</v>
      </c>
      <c r="D69" s="71" t="s">
        <v>279</v>
      </c>
      <c r="E69" s="120" t="s">
        <v>280</v>
      </c>
    </row>
    <row r="70" spans="1:4" ht="12.75" hidden="1">
      <c r="A70" s="49" t="s">
        <v>206</v>
      </c>
      <c r="B70" s="49"/>
      <c r="C70" s="50">
        <v>0.01654258</v>
      </c>
      <c r="D70" s="71">
        <f>ROUND(C70*$D$65,0)</f>
        <v>0</v>
      </c>
    </row>
    <row r="71" spans="1:4" ht="12.75" hidden="1">
      <c r="A71" s="49" t="s">
        <v>207</v>
      </c>
      <c r="B71" s="49"/>
      <c r="C71" s="50">
        <v>0.03626904</v>
      </c>
      <c r="D71" s="71">
        <f>ROUND(C71*$D$65,0)</f>
        <v>0</v>
      </c>
    </row>
    <row r="72" spans="1:4" ht="12.75" hidden="1">
      <c r="A72" s="49" t="s">
        <v>208</v>
      </c>
      <c r="B72" s="49"/>
      <c r="C72" s="50">
        <v>0.01259719</v>
      </c>
      <c r="D72" s="71">
        <f>ROUND(C72*$D$65,0)</f>
        <v>0</v>
      </c>
    </row>
    <row r="73" spans="1:4" ht="12.75" hidden="1">
      <c r="A73" s="49" t="s">
        <v>209</v>
      </c>
      <c r="B73" s="49"/>
      <c r="C73" s="50">
        <v>0.90029483</v>
      </c>
      <c r="D73" s="71">
        <f>ROUND(C73*$D$65,0)</f>
        <v>0</v>
      </c>
    </row>
    <row r="74" spans="1:4" ht="13.5" hidden="1" thickBot="1">
      <c r="A74" s="49" t="s">
        <v>210</v>
      </c>
      <c r="B74" s="49"/>
      <c r="C74" s="50">
        <v>0.03429636</v>
      </c>
      <c r="D74" s="71">
        <f>ROUND(C74*$D$65,0)</f>
        <v>0</v>
      </c>
    </row>
    <row r="75" spans="1:4" ht="13.5" hidden="1" thickTop="1">
      <c r="A75" s="121" t="s">
        <v>281</v>
      </c>
      <c r="B75" s="122" t="s">
        <v>54</v>
      </c>
      <c r="C75" s="121"/>
      <c r="D75" s="123">
        <f>SUM(D70:D74)</f>
        <v>0</v>
      </c>
    </row>
    <row r="76" spans="1:5" ht="12.75">
      <c r="A76" s="124"/>
      <c r="B76" s="69"/>
      <c r="C76" s="69"/>
      <c r="D76" s="49"/>
      <c r="E76" s="29"/>
    </row>
    <row r="77" ht="12" customHeight="1"/>
    <row r="79" ht="12.75">
      <c r="A79" s="67"/>
    </row>
  </sheetData>
  <mergeCells count="3">
    <mergeCell ref="A1:J1"/>
    <mergeCell ref="A2:J2"/>
    <mergeCell ref="A5:D5"/>
  </mergeCells>
  <conditionalFormatting sqref="J8">
    <cfRule type="cellIs" priority="1" dxfId="0" operator="equal" stopIfTrue="1">
      <formula>MAX(J$10:J$60)</formula>
    </cfRule>
    <cfRule type="cellIs" priority="2" dxfId="1" operator="equal" stopIfTrue="1">
      <formula>DMIN(J$8:J$60,J$8,J$8:J$9)</formula>
    </cfRule>
  </conditionalFormatting>
  <printOptions gridLines="1"/>
  <pageMargins left="0.71" right="0.17" top="0.32" bottom="0.57" header="0.31" footer="0.5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K6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E2"/>
    </sheetView>
  </sheetViews>
  <sheetFormatPr defaultColWidth="9.00390625" defaultRowHeight="12.75"/>
  <cols>
    <col min="1" max="1" width="30.375" style="24" bestFit="1" customWidth="1"/>
    <col min="2" max="2" width="18.625" style="24" bestFit="1" customWidth="1"/>
    <col min="3" max="3" width="21.00390625" style="24" customWidth="1"/>
    <col min="4" max="4" width="17.375" style="24" bestFit="1" customWidth="1"/>
    <col min="5" max="5" width="23.875" style="24" bestFit="1" customWidth="1"/>
    <col min="6" max="6" width="11.50390625" style="24" hidden="1" customWidth="1"/>
    <col min="7" max="7" width="12.625" style="24" hidden="1" customWidth="1"/>
    <col min="8" max="8" width="11.50390625" style="24" hidden="1" customWidth="1"/>
    <col min="9" max="9" width="12.625" style="24" hidden="1" customWidth="1"/>
    <col min="10" max="10" width="11.50390625" style="24" hidden="1" customWidth="1"/>
    <col min="11" max="11" width="12.625" style="24" hidden="1" customWidth="1"/>
    <col min="12" max="16384" width="8.875" style="24" customWidth="1"/>
  </cols>
  <sheetData>
    <row r="1" spans="1:5" s="5" customFormat="1" ht="12.75" customHeight="1">
      <c r="A1" s="193" t="s">
        <v>288</v>
      </c>
      <c r="B1" s="193"/>
      <c r="C1" s="193"/>
      <c r="D1" s="193"/>
      <c r="E1" s="193"/>
    </row>
    <row r="2" spans="1:5" ht="14.25" customHeight="1">
      <c r="A2" s="194"/>
      <c r="B2" s="194"/>
      <c r="C2" s="194"/>
      <c r="D2" s="194"/>
      <c r="E2" s="194"/>
    </row>
    <row r="3" spans="1:5" ht="12.75">
      <c r="A3" s="5" t="s">
        <v>286</v>
      </c>
      <c r="B3" s="58">
        <v>106170000</v>
      </c>
      <c r="C3" s="34"/>
      <c r="E3" s="27" t="s">
        <v>267</v>
      </c>
    </row>
    <row r="4" spans="1:5" ht="12.75">
      <c r="A4" s="35"/>
      <c r="C4" s="34"/>
      <c r="E4" s="36"/>
    </row>
    <row r="5" spans="1:11" ht="38.25">
      <c r="A5" s="37" t="s">
        <v>0</v>
      </c>
      <c r="B5" s="37" t="s">
        <v>251</v>
      </c>
      <c r="C5" s="37" t="s">
        <v>246</v>
      </c>
      <c r="D5" s="38" t="s">
        <v>233</v>
      </c>
      <c r="E5" s="38" t="s">
        <v>247</v>
      </c>
      <c r="F5" s="38" t="s">
        <v>236</v>
      </c>
      <c r="G5" s="39" t="s">
        <v>252</v>
      </c>
      <c r="H5" s="38" t="s">
        <v>237</v>
      </c>
      <c r="I5" s="39" t="s">
        <v>253</v>
      </c>
      <c r="J5" s="38" t="s">
        <v>238</v>
      </c>
      <c r="K5" s="39" t="s">
        <v>254</v>
      </c>
    </row>
    <row r="6" spans="3:11" ht="12.75">
      <c r="C6" s="34"/>
      <c r="G6" s="59"/>
      <c r="I6" s="59"/>
      <c r="K6" s="59"/>
    </row>
    <row r="7" spans="1:11" ht="12.75">
      <c r="A7" s="34" t="s">
        <v>2</v>
      </c>
      <c r="B7" s="40">
        <v>0.00860045</v>
      </c>
      <c r="C7" s="28">
        <f>ROUND(B7*$B$67,0)</f>
        <v>911873</v>
      </c>
      <c r="D7" s="28">
        <f>'Tribes at $106.17m'!H11</f>
        <v>5266</v>
      </c>
      <c r="E7" s="28">
        <f aca="true" t="shared" si="0" ref="E7:E38">C7-D7</f>
        <v>906607</v>
      </c>
      <c r="F7" s="61" t="e">
        <f>#REF!</f>
        <v>#REF!</v>
      </c>
      <c r="G7" s="41" t="e">
        <f>ROUND($E7*F7,0)</f>
        <v>#REF!</v>
      </c>
      <c r="H7" s="61" t="e">
        <f>#REF!</f>
        <v>#REF!</v>
      </c>
      <c r="I7" s="41" t="e">
        <f>ROUND($E7*H7,0)</f>
        <v>#REF!</v>
      </c>
      <c r="J7" s="61" t="e">
        <f>#REF!</f>
        <v>#REF!</v>
      </c>
      <c r="K7" s="41" t="e">
        <f>ROUND($E7*J7,0)</f>
        <v>#REF!</v>
      </c>
    </row>
    <row r="8" spans="1:11" ht="12.75">
      <c r="A8" s="34" t="s">
        <v>3</v>
      </c>
      <c r="B8" s="40">
        <v>0.00548986</v>
      </c>
      <c r="C8" s="28">
        <f aca="true" t="shared" si="1" ref="C8:C38">ROUND(+B8*$B$67,0)</f>
        <v>582069</v>
      </c>
      <c r="D8" s="28">
        <f>'Tribes at $106.17m'!H15</f>
        <v>178695</v>
      </c>
      <c r="E8" s="28">
        <f t="shared" si="0"/>
        <v>403374</v>
      </c>
      <c r="F8" s="61" t="e">
        <f>#REF!</f>
        <v>#REF!</v>
      </c>
      <c r="G8" s="41" t="e">
        <f aca="true" t="shared" si="2" ref="G8:G57">ROUND($E8*F8,0)</f>
        <v>#REF!</v>
      </c>
      <c r="H8" s="61" t="e">
        <f>#REF!</f>
        <v>#REF!</v>
      </c>
      <c r="I8" s="41" t="e">
        <f aca="true" t="shared" si="3" ref="I8:I57">ROUND($E8*H8,0)</f>
        <v>#REF!</v>
      </c>
      <c r="J8" s="61" t="e">
        <f>#REF!</f>
        <v>#REF!</v>
      </c>
      <c r="K8" s="41" t="e">
        <f aca="true" t="shared" si="4" ref="K8:K57">ROUND($E8*J8,0)</f>
        <v>#REF!</v>
      </c>
    </row>
    <row r="9" spans="1:11" ht="12.75">
      <c r="A9" s="34" t="s">
        <v>4</v>
      </c>
      <c r="B9" s="40">
        <v>0.00415928</v>
      </c>
      <c r="C9" s="28">
        <f t="shared" si="1"/>
        <v>440993</v>
      </c>
      <c r="D9" s="28">
        <f>'Tribes at $106.17m'!H25</f>
        <v>35830</v>
      </c>
      <c r="E9" s="28">
        <f t="shared" si="0"/>
        <v>405163</v>
      </c>
      <c r="F9" s="61" t="e">
        <f>#REF!</f>
        <v>#REF!</v>
      </c>
      <c r="G9" s="41" t="e">
        <f t="shared" si="2"/>
        <v>#REF!</v>
      </c>
      <c r="H9" s="61" t="e">
        <f>#REF!</f>
        <v>#REF!</v>
      </c>
      <c r="I9" s="41" t="e">
        <f t="shared" si="3"/>
        <v>#REF!</v>
      </c>
      <c r="J9" s="61" t="e">
        <f>#REF!</f>
        <v>#REF!</v>
      </c>
      <c r="K9" s="41" t="e">
        <f t="shared" si="4"/>
        <v>#REF!</v>
      </c>
    </row>
    <row r="10" spans="1:11" ht="12.75">
      <c r="A10" s="34" t="s">
        <v>5</v>
      </c>
      <c r="B10" s="40">
        <v>0.00656255</v>
      </c>
      <c r="C10" s="28">
        <f t="shared" si="1"/>
        <v>695802</v>
      </c>
      <c r="D10" s="28"/>
      <c r="E10" s="28">
        <f t="shared" si="0"/>
        <v>695802</v>
      </c>
      <c r="F10" s="61" t="e">
        <f>#REF!</f>
        <v>#REF!</v>
      </c>
      <c r="G10" s="41" t="e">
        <f t="shared" si="2"/>
        <v>#REF!</v>
      </c>
      <c r="H10" s="61" t="e">
        <f>#REF!</f>
        <v>#REF!</v>
      </c>
      <c r="I10" s="41" t="e">
        <f t="shared" si="3"/>
        <v>#REF!</v>
      </c>
      <c r="J10" s="61" t="e">
        <f>#REF!</f>
        <v>#REF!</v>
      </c>
      <c r="K10" s="41" t="e">
        <f t="shared" si="4"/>
        <v>#REF!</v>
      </c>
    </row>
    <row r="11" spans="1:11" ht="12.75">
      <c r="A11" s="34" t="s">
        <v>6</v>
      </c>
      <c r="B11" s="40">
        <v>0.04613891</v>
      </c>
      <c r="C11" s="28">
        <f t="shared" si="1"/>
        <v>4891934</v>
      </c>
      <c r="D11" s="28">
        <f>'Tribes at $106.17m'!H35</f>
        <v>39523</v>
      </c>
      <c r="E11" s="28">
        <f t="shared" si="0"/>
        <v>4852411</v>
      </c>
      <c r="F11" s="61" t="e">
        <f>#REF!</f>
        <v>#REF!</v>
      </c>
      <c r="G11" s="41" t="e">
        <f>ROUND($E11*F11,0)-2</f>
        <v>#REF!</v>
      </c>
      <c r="H11" s="61" t="e">
        <f>#REF!</f>
        <v>#REF!</v>
      </c>
      <c r="I11" s="41" t="e">
        <f t="shared" si="3"/>
        <v>#REF!</v>
      </c>
      <c r="J11" s="61" t="e">
        <f>#REF!</f>
        <v>#REF!</v>
      </c>
      <c r="K11" s="41" t="e">
        <f>ROUND($E11*J11,0)-1</f>
        <v>#REF!</v>
      </c>
    </row>
    <row r="12" spans="1:11" ht="12.75">
      <c r="A12" s="34" t="s">
        <v>7</v>
      </c>
      <c r="B12" s="40">
        <v>0.0160872</v>
      </c>
      <c r="C12" s="28">
        <f t="shared" si="1"/>
        <v>1705665</v>
      </c>
      <c r="D12" s="28"/>
      <c r="E12" s="28">
        <f t="shared" si="0"/>
        <v>1705665</v>
      </c>
      <c r="F12" s="61" t="e">
        <f>#REF!</f>
        <v>#REF!</v>
      </c>
      <c r="G12" s="41" t="e">
        <f t="shared" si="2"/>
        <v>#REF!</v>
      </c>
      <c r="H12" s="61" t="e">
        <f>#REF!</f>
        <v>#REF!</v>
      </c>
      <c r="I12" s="41" t="e">
        <f t="shared" si="3"/>
        <v>#REF!</v>
      </c>
      <c r="J12" s="61" t="e">
        <f>#REF!</f>
        <v>#REF!</v>
      </c>
      <c r="K12" s="41" t="e">
        <f t="shared" si="4"/>
        <v>#REF!</v>
      </c>
    </row>
    <row r="13" spans="1:11" ht="12.75">
      <c r="A13" s="34" t="s">
        <v>8</v>
      </c>
      <c r="B13" s="40">
        <v>0.02098632</v>
      </c>
      <c r="C13" s="28">
        <f t="shared" si="1"/>
        <v>2225100</v>
      </c>
      <c r="D13" s="28"/>
      <c r="E13" s="28">
        <f t="shared" si="0"/>
        <v>2225100</v>
      </c>
      <c r="F13" s="61" t="e">
        <f>#REF!</f>
        <v>#REF!</v>
      </c>
      <c r="G13" s="41" t="e">
        <f t="shared" si="2"/>
        <v>#REF!</v>
      </c>
      <c r="H13" s="61" t="e">
        <f>#REF!</f>
        <v>#REF!</v>
      </c>
      <c r="I13" s="41" t="e">
        <f t="shared" si="3"/>
        <v>#REF!</v>
      </c>
      <c r="J13" s="61" t="e">
        <f>#REF!</f>
        <v>#REF!</v>
      </c>
      <c r="K13" s="41" t="e">
        <f t="shared" si="4"/>
        <v>#REF!</v>
      </c>
    </row>
    <row r="14" spans="1:11" ht="12.75">
      <c r="A14" s="34" t="s">
        <v>9</v>
      </c>
      <c r="B14" s="40">
        <v>0.00278553</v>
      </c>
      <c r="C14" s="28">
        <f t="shared" si="1"/>
        <v>295339</v>
      </c>
      <c r="D14" s="28"/>
      <c r="E14" s="28">
        <f t="shared" si="0"/>
        <v>295339</v>
      </c>
      <c r="F14" s="61" t="e">
        <f>#REF!</f>
        <v>#REF!</v>
      </c>
      <c r="G14" s="41" t="e">
        <f t="shared" si="2"/>
        <v>#REF!</v>
      </c>
      <c r="H14" s="61" t="e">
        <f>#REF!</f>
        <v>#REF!</v>
      </c>
      <c r="I14" s="41" t="e">
        <f t="shared" si="3"/>
        <v>#REF!</v>
      </c>
      <c r="J14" s="61" t="e">
        <f>#REF!</f>
        <v>#REF!</v>
      </c>
      <c r="K14" s="41" t="e">
        <f t="shared" si="4"/>
        <v>#REF!</v>
      </c>
    </row>
    <row r="15" spans="1:11" ht="12.75">
      <c r="A15" s="34" t="s">
        <v>55</v>
      </c>
      <c r="B15" s="40">
        <v>0.00325921</v>
      </c>
      <c r="C15" s="28">
        <f t="shared" si="1"/>
        <v>345562</v>
      </c>
      <c r="D15" s="28"/>
      <c r="E15" s="28">
        <f t="shared" si="0"/>
        <v>345562</v>
      </c>
      <c r="F15" s="61" t="e">
        <f>#REF!</f>
        <v>#REF!</v>
      </c>
      <c r="G15" s="41" t="e">
        <f t="shared" si="2"/>
        <v>#REF!</v>
      </c>
      <c r="H15" s="61" t="e">
        <f>#REF!</f>
        <v>#REF!</v>
      </c>
      <c r="I15" s="41" t="e">
        <f t="shared" si="3"/>
        <v>#REF!</v>
      </c>
      <c r="J15" s="61" t="e">
        <f>#REF!</f>
        <v>#REF!</v>
      </c>
      <c r="K15" s="41" t="e">
        <f t="shared" si="4"/>
        <v>#REF!</v>
      </c>
    </row>
    <row r="16" spans="1:11" ht="12.75">
      <c r="A16" s="34" t="s">
        <v>10</v>
      </c>
      <c r="B16" s="40">
        <v>0.01360848</v>
      </c>
      <c r="C16" s="28">
        <f t="shared" si="1"/>
        <v>1442856</v>
      </c>
      <c r="D16" s="28">
        <f>'Tribes at $106.17m'!H60</f>
        <v>370</v>
      </c>
      <c r="E16" s="28">
        <f t="shared" si="0"/>
        <v>1442486</v>
      </c>
      <c r="F16" s="61" t="e">
        <f>#REF!</f>
        <v>#REF!</v>
      </c>
      <c r="G16" s="41" t="e">
        <f t="shared" si="2"/>
        <v>#REF!</v>
      </c>
      <c r="H16" s="61" t="e">
        <f>#REF!</f>
        <v>#REF!</v>
      </c>
      <c r="I16" s="41" t="e">
        <f t="shared" si="3"/>
        <v>#REF!</v>
      </c>
      <c r="J16" s="61" t="e">
        <f>#REF!</f>
        <v>#REF!</v>
      </c>
      <c r="K16" s="41" t="e">
        <f t="shared" si="4"/>
        <v>#REF!</v>
      </c>
    </row>
    <row r="17" spans="1:11" ht="12.75">
      <c r="A17" s="34" t="s">
        <v>11</v>
      </c>
      <c r="B17" s="40">
        <v>0.01075959</v>
      </c>
      <c r="C17" s="28">
        <f t="shared" si="1"/>
        <v>1140799</v>
      </c>
      <c r="D17" s="28"/>
      <c r="E17" s="28">
        <f t="shared" si="0"/>
        <v>1140799</v>
      </c>
      <c r="F17" s="61" t="e">
        <f>#REF!</f>
        <v>#REF!</v>
      </c>
      <c r="G17" s="41" t="e">
        <f t="shared" si="2"/>
        <v>#REF!</v>
      </c>
      <c r="H17" s="61" t="e">
        <f>#REF!</f>
        <v>#REF!</v>
      </c>
      <c r="I17" s="41" t="e">
        <f t="shared" si="3"/>
        <v>#REF!</v>
      </c>
      <c r="J17" s="61" t="e">
        <f>#REF!</f>
        <v>#REF!</v>
      </c>
      <c r="K17" s="41" t="e">
        <f t="shared" si="4"/>
        <v>#REF!</v>
      </c>
    </row>
    <row r="18" spans="1:11" ht="12.75">
      <c r="A18" s="34" t="s">
        <v>12</v>
      </c>
      <c r="B18" s="40">
        <v>0.00108355</v>
      </c>
      <c r="C18" s="28">
        <f>ROUND(+B18*$B$67,0)</f>
        <v>114885</v>
      </c>
      <c r="D18" s="28"/>
      <c r="E18" s="28">
        <f t="shared" si="0"/>
        <v>114885</v>
      </c>
      <c r="F18" s="61" t="e">
        <f>#REF!</f>
        <v>#REF!</v>
      </c>
      <c r="G18" s="41" t="e">
        <f t="shared" si="2"/>
        <v>#REF!</v>
      </c>
      <c r="H18" s="61" t="e">
        <f>#REF!</f>
        <v>#REF!</v>
      </c>
      <c r="I18" s="41" t="e">
        <f t="shared" si="3"/>
        <v>#REF!</v>
      </c>
      <c r="J18" s="61" t="e">
        <f>#REF!</f>
        <v>#REF!</v>
      </c>
      <c r="K18" s="41" t="e">
        <f t="shared" si="4"/>
        <v>#REF!</v>
      </c>
    </row>
    <row r="19" spans="1:11" ht="12.75">
      <c r="A19" s="34" t="s">
        <v>13</v>
      </c>
      <c r="B19" s="40">
        <v>0.00627508</v>
      </c>
      <c r="C19" s="28">
        <f t="shared" si="1"/>
        <v>665323</v>
      </c>
      <c r="D19" s="28">
        <f>'Tribes at $106.17m'!H62</f>
        <v>32285</v>
      </c>
      <c r="E19" s="28">
        <f t="shared" si="0"/>
        <v>633038</v>
      </c>
      <c r="F19" s="61" t="e">
        <f>#REF!</f>
        <v>#REF!</v>
      </c>
      <c r="G19" s="41" t="e">
        <f t="shared" si="2"/>
        <v>#REF!</v>
      </c>
      <c r="H19" s="61" t="e">
        <f>#REF!</f>
        <v>#REF!</v>
      </c>
      <c r="I19" s="41" t="e">
        <f t="shared" si="3"/>
        <v>#REF!</v>
      </c>
      <c r="J19" s="61" t="e">
        <f>#REF!</f>
        <v>#REF!</v>
      </c>
      <c r="K19" s="41" t="e">
        <f t="shared" si="4"/>
        <v>#REF!</v>
      </c>
    </row>
    <row r="20" spans="1:11" ht="12.75">
      <c r="A20" s="34" t="s">
        <v>14</v>
      </c>
      <c r="B20" s="40">
        <v>0.05808651</v>
      </c>
      <c r="C20" s="28">
        <f t="shared" si="1"/>
        <v>6158693</v>
      </c>
      <c r="D20" s="28"/>
      <c r="E20" s="28">
        <f t="shared" si="0"/>
        <v>6158693</v>
      </c>
      <c r="F20" s="61" t="e">
        <f>#REF!</f>
        <v>#REF!</v>
      </c>
      <c r="G20" s="41" t="e">
        <f t="shared" si="2"/>
        <v>#REF!</v>
      </c>
      <c r="H20" s="61" t="e">
        <f>#REF!</f>
        <v>#REF!</v>
      </c>
      <c r="I20" s="41" t="e">
        <f t="shared" si="3"/>
        <v>#REF!</v>
      </c>
      <c r="J20" s="61" t="e">
        <f>#REF!</f>
        <v>#REF!</v>
      </c>
      <c r="K20" s="41" t="e">
        <f t="shared" si="4"/>
        <v>#REF!</v>
      </c>
    </row>
    <row r="21" spans="1:11" ht="12.75">
      <c r="A21" s="34" t="s">
        <v>15</v>
      </c>
      <c r="B21" s="40">
        <v>0.02629994</v>
      </c>
      <c r="C21" s="28">
        <f t="shared" si="1"/>
        <v>2788483</v>
      </c>
      <c r="D21" s="28">
        <f>'Tribes at $106.17m'!H66</f>
        <v>362</v>
      </c>
      <c r="E21" s="28">
        <f t="shared" si="0"/>
        <v>2788121</v>
      </c>
      <c r="F21" s="61" t="e">
        <f>#REF!</f>
        <v>#REF!</v>
      </c>
      <c r="G21" s="41" t="e">
        <f t="shared" si="2"/>
        <v>#REF!</v>
      </c>
      <c r="H21" s="61" t="e">
        <f>#REF!</f>
        <v>#REF!</v>
      </c>
      <c r="I21" s="41" t="e">
        <f t="shared" si="3"/>
        <v>#REF!</v>
      </c>
      <c r="J21" s="61" t="e">
        <f>#REF!</f>
        <v>#REF!</v>
      </c>
      <c r="K21" s="41" t="e">
        <f t="shared" si="4"/>
        <v>#REF!</v>
      </c>
    </row>
    <row r="22" spans="1:11" ht="12.75">
      <c r="A22" s="34" t="s">
        <v>16</v>
      </c>
      <c r="B22" s="40">
        <v>0.01863912</v>
      </c>
      <c r="C22" s="28">
        <f t="shared" si="1"/>
        <v>1976235</v>
      </c>
      <c r="D22" s="28"/>
      <c r="E22" s="28">
        <f t="shared" si="0"/>
        <v>1976235</v>
      </c>
      <c r="F22" s="61" t="e">
        <f>#REF!</f>
        <v>#REF!</v>
      </c>
      <c r="G22" s="41" t="e">
        <f t="shared" si="2"/>
        <v>#REF!</v>
      </c>
      <c r="H22" s="61" t="e">
        <f>#REF!</f>
        <v>#REF!</v>
      </c>
      <c r="I22" s="41" t="e">
        <f t="shared" si="3"/>
        <v>#REF!</v>
      </c>
      <c r="J22" s="61" t="e">
        <f>#REF!</f>
        <v>#REF!</v>
      </c>
      <c r="K22" s="41" t="e">
        <f t="shared" si="4"/>
        <v>#REF!</v>
      </c>
    </row>
    <row r="23" spans="1:11" ht="12.75">
      <c r="A23" s="34" t="s">
        <v>17</v>
      </c>
      <c r="B23" s="40">
        <v>0.00855992</v>
      </c>
      <c r="C23" s="28">
        <f t="shared" si="1"/>
        <v>907576</v>
      </c>
      <c r="D23" s="28">
        <f>'Tribes at $106.17m'!H68</f>
        <v>869</v>
      </c>
      <c r="E23" s="28">
        <f t="shared" si="0"/>
        <v>906707</v>
      </c>
      <c r="F23" s="61" t="e">
        <f>#REF!</f>
        <v>#REF!</v>
      </c>
      <c r="G23" s="41" t="e">
        <f t="shared" si="2"/>
        <v>#REF!</v>
      </c>
      <c r="H23" s="61" t="e">
        <f>#REF!</f>
        <v>#REF!</v>
      </c>
      <c r="I23" s="41" t="e">
        <f t="shared" si="3"/>
        <v>#REF!</v>
      </c>
      <c r="J23" s="61" t="e">
        <f>#REF!</f>
        <v>#REF!</v>
      </c>
      <c r="K23" s="41" t="e">
        <f t="shared" si="4"/>
        <v>#REF!</v>
      </c>
    </row>
    <row r="24" spans="1:11" ht="12.75">
      <c r="A24" s="34" t="s">
        <v>18</v>
      </c>
      <c r="B24" s="40">
        <v>0.0136864</v>
      </c>
      <c r="C24" s="28">
        <f t="shared" si="1"/>
        <v>1451117</v>
      </c>
      <c r="D24" s="28"/>
      <c r="E24" s="28">
        <f t="shared" si="0"/>
        <v>1451117</v>
      </c>
      <c r="F24" s="61" t="e">
        <f>#REF!</f>
        <v>#REF!</v>
      </c>
      <c r="G24" s="41" t="e">
        <f t="shared" si="2"/>
        <v>#REF!</v>
      </c>
      <c r="H24" s="61" t="e">
        <f>#REF!</f>
        <v>#REF!</v>
      </c>
      <c r="I24" s="41" t="e">
        <f t="shared" si="3"/>
        <v>#REF!</v>
      </c>
      <c r="J24" s="61" t="e">
        <f>#REF!</f>
        <v>#REF!</v>
      </c>
      <c r="K24" s="41" t="e">
        <f t="shared" si="4"/>
        <v>#REF!</v>
      </c>
    </row>
    <row r="25" spans="1:11" ht="12.75">
      <c r="A25" s="34" t="s">
        <v>19</v>
      </c>
      <c r="B25" s="40">
        <v>0.00879264</v>
      </c>
      <c r="C25" s="28">
        <f t="shared" si="1"/>
        <v>932250</v>
      </c>
      <c r="D25" s="28"/>
      <c r="E25" s="28">
        <f t="shared" si="0"/>
        <v>932250</v>
      </c>
      <c r="F25" s="61" t="e">
        <f>#REF!</f>
        <v>#REF!</v>
      </c>
      <c r="G25" s="41" t="e">
        <f t="shared" si="2"/>
        <v>#REF!</v>
      </c>
      <c r="H25" s="61" t="e">
        <f>#REF!</f>
        <v>#REF!</v>
      </c>
      <c r="I25" s="41" t="e">
        <f t="shared" si="3"/>
        <v>#REF!</v>
      </c>
      <c r="J25" s="61" t="e">
        <f>#REF!</f>
        <v>#REF!</v>
      </c>
      <c r="K25" s="41" t="e">
        <f t="shared" si="4"/>
        <v>#REF!</v>
      </c>
    </row>
    <row r="26" spans="1:11" ht="12.75">
      <c r="A26" s="34" t="s">
        <v>20</v>
      </c>
      <c r="B26" s="40">
        <v>0.01359579</v>
      </c>
      <c r="C26" s="28">
        <f t="shared" si="1"/>
        <v>1441510</v>
      </c>
      <c r="D26" s="28">
        <f>'Tribes at $106.17m'!H70</f>
        <v>52689</v>
      </c>
      <c r="E26" s="28">
        <f t="shared" si="0"/>
        <v>1388821</v>
      </c>
      <c r="F26" s="61" t="e">
        <f>#REF!</f>
        <v>#REF!</v>
      </c>
      <c r="G26" s="41" t="e">
        <f t="shared" si="2"/>
        <v>#REF!</v>
      </c>
      <c r="H26" s="61" t="e">
        <f>#REF!</f>
        <v>#REF!</v>
      </c>
      <c r="I26" s="41" t="e">
        <f t="shared" si="3"/>
        <v>#REF!</v>
      </c>
      <c r="J26" s="61" t="e">
        <f>#REF!</f>
        <v>#REF!</v>
      </c>
      <c r="K26" s="41" t="e">
        <f t="shared" si="4"/>
        <v>#REF!</v>
      </c>
    </row>
    <row r="27" spans="1:11" ht="12.75">
      <c r="A27" s="34" t="s">
        <v>21</v>
      </c>
      <c r="B27" s="40">
        <v>0.01606896</v>
      </c>
      <c r="C27" s="28">
        <f t="shared" si="1"/>
        <v>1703731</v>
      </c>
      <c r="D27" s="28"/>
      <c r="E27" s="28">
        <f t="shared" si="0"/>
        <v>1703731</v>
      </c>
      <c r="F27" s="61" t="e">
        <f>#REF!</f>
        <v>#REF!</v>
      </c>
      <c r="G27" s="41" t="e">
        <f t="shared" si="2"/>
        <v>#REF!</v>
      </c>
      <c r="H27" s="61" t="e">
        <f>#REF!</f>
        <v>#REF!</v>
      </c>
      <c r="I27" s="41" t="e">
        <f t="shared" si="3"/>
        <v>#REF!</v>
      </c>
      <c r="J27" s="61" t="e">
        <f>#REF!</f>
        <v>#REF!</v>
      </c>
      <c r="K27" s="41" t="e">
        <f t="shared" si="4"/>
        <v>#REF!</v>
      </c>
    </row>
    <row r="28" spans="1:11" ht="12.75">
      <c r="A28" s="34" t="s">
        <v>22</v>
      </c>
      <c r="B28" s="40">
        <v>0.04197959</v>
      </c>
      <c r="C28" s="28">
        <f t="shared" si="1"/>
        <v>4450937</v>
      </c>
      <c r="D28" s="28">
        <f>'Tribes at $106.17m'!H76</f>
        <v>1780</v>
      </c>
      <c r="E28" s="28">
        <f t="shared" si="0"/>
        <v>4449157</v>
      </c>
      <c r="F28" s="61" t="e">
        <f>#REF!</f>
        <v>#REF!</v>
      </c>
      <c r="G28" s="41" t="e">
        <f t="shared" si="2"/>
        <v>#REF!</v>
      </c>
      <c r="H28" s="61" t="e">
        <f>#REF!</f>
        <v>#REF!</v>
      </c>
      <c r="I28" s="41" t="e">
        <f t="shared" si="3"/>
        <v>#REF!</v>
      </c>
      <c r="J28" s="61" t="e">
        <f>#REF!</f>
        <v>#REF!</v>
      </c>
      <c r="K28" s="41" t="e">
        <f t="shared" si="4"/>
        <v>#REF!</v>
      </c>
    </row>
    <row r="29" spans="1:11" ht="12.75">
      <c r="A29" s="34" t="s">
        <v>23</v>
      </c>
      <c r="B29" s="40">
        <v>0.05514805</v>
      </c>
      <c r="C29" s="28">
        <f t="shared" si="1"/>
        <v>5847139</v>
      </c>
      <c r="D29" s="28">
        <f>'Tribes at $106.17m'!H78</f>
        <v>44756</v>
      </c>
      <c r="E29" s="28">
        <f t="shared" si="0"/>
        <v>5802383</v>
      </c>
      <c r="F29" s="61" t="e">
        <f>#REF!</f>
        <v>#REF!</v>
      </c>
      <c r="G29" s="41" t="e">
        <f t="shared" si="2"/>
        <v>#REF!</v>
      </c>
      <c r="H29" s="61" t="e">
        <f>#REF!</f>
        <v>#REF!</v>
      </c>
      <c r="I29" s="41" t="e">
        <f t="shared" si="3"/>
        <v>#REF!</v>
      </c>
      <c r="J29" s="61" t="e">
        <f>#REF!</f>
        <v>#REF!</v>
      </c>
      <c r="K29" s="41" t="e">
        <f t="shared" si="4"/>
        <v>#REF!</v>
      </c>
    </row>
    <row r="30" spans="1:11" ht="12.75">
      <c r="A30" s="34" t="s">
        <v>24</v>
      </c>
      <c r="B30" s="40">
        <v>0.03973105</v>
      </c>
      <c r="C30" s="28">
        <f t="shared" si="1"/>
        <v>4212533</v>
      </c>
      <c r="D30" s="28"/>
      <c r="E30" s="28">
        <f t="shared" si="0"/>
        <v>4212533</v>
      </c>
      <c r="F30" s="61" t="e">
        <f>#REF!</f>
        <v>#REF!</v>
      </c>
      <c r="G30" s="41" t="e">
        <f t="shared" si="2"/>
        <v>#REF!</v>
      </c>
      <c r="H30" s="61" t="e">
        <f>#REF!</f>
        <v>#REF!</v>
      </c>
      <c r="I30" s="41" t="e">
        <f t="shared" si="3"/>
        <v>#REF!</v>
      </c>
      <c r="J30" s="61" t="e">
        <f>#REF!</f>
        <v>#REF!</v>
      </c>
      <c r="K30" s="41" t="e">
        <f t="shared" si="4"/>
        <v>#REF!</v>
      </c>
    </row>
    <row r="31" spans="1:11" ht="12.75">
      <c r="A31" s="34" t="s">
        <v>25</v>
      </c>
      <c r="B31" s="40">
        <v>0.00737355</v>
      </c>
      <c r="C31" s="28">
        <f t="shared" si="1"/>
        <v>781790</v>
      </c>
      <c r="D31" s="28">
        <f>'Tribes at $106.17m'!H85</f>
        <v>1482</v>
      </c>
      <c r="E31" s="28">
        <f t="shared" si="0"/>
        <v>780308</v>
      </c>
      <c r="F31" s="61" t="e">
        <f>#REF!</f>
        <v>#REF!</v>
      </c>
      <c r="G31" s="41" t="e">
        <f t="shared" si="2"/>
        <v>#REF!</v>
      </c>
      <c r="H31" s="61" t="e">
        <f>#REF!</f>
        <v>#REF!</v>
      </c>
      <c r="I31" s="41" t="e">
        <f t="shared" si="3"/>
        <v>#REF!</v>
      </c>
      <c r="J31" s="61" t="e">
        <f>#REF!</f>
        <v>#REF!</v>
      </c>
      <c r="K31" s="41" t="e">
        <f t="shared" si="4"/>
        <v>#REF!</v>
      </c>
    </row>
    <row r="32" spans="1:11" ht="12.75">
      <c r="A32" s="34" t="s">
        <v>26</v>
      </c>
      <c r="B32" s="40">
        <v>0.02320202</v>
      </c>
      <c r="C32" s="28">
        <f t="shared" si="1"/>
        <v>2460022</v>
      </c>
      <c r="D32" s="28"/>
      <c r="E32" s="28">
        <f t="shared" si="0"/>
        <v>2460022</v>
      </c>
      <c r="F32" s="61" t="e">
        <f>#REF!</f>
        <v>#REF!</v>
      </c>
      <c r="G32" s="41" t="e">
        <f t="shared" si="2"/>
        <v>#REF!</v>
      </c>
      <c r="H32" s="61" t="e">
        <f>#REF!</f>
        <v>#REF!</v>
      </c>
      <c r="I32" s="41" t="e">
        <f t="shared" si="3"/>
        <v>#REF!</v>
      </c>
      <c r="J32" s="61" t="e">
        <f>#REF!</f>
        <v>#REF!</v>
      </c>
      <c r="K32" s="41" t="e">
        <f t="shared" si="4"/>
        <v>#REF!</v>
      </c>
    </row>
    <row r="33" spans="1:11" ht="12.75">
      <c r="A33" s="34" t="s">
        <v>27</v>
      </c>
      <c r="B33" s="40">
        <v>0.00736027</v>
      </c>
      <c r="C33" s="28">
        <f t="shared" si="1"/>
        <v>780382</v>
      </c>
      <c r="D33" s="28">
        <f>'Tribes at $106.17m'!H87</f>
        <v>136415</v>
      </c>
      <c r="E33" s="28">
        <f t="shared" si="0"/>
        <v>643967</v>
      </c>
      <c r="F33" s="61" t="e">
        <f>#REF!</f>
        <v>#REF!</v>
      </c>
      <c r="G33" s="41" t="e">
        <f t="shared" si="2"/>
        <v>#REF!</v>
      </c>
      <c r="H33" s="61" t="e">
        <f>#REF!</f>
        <v>#REF!</v>
      </c>
      <c r="I33" s="41" t="e">
        <f t="shared" si="3"/>
        <v>#REF!</v>
      </c>
      <c r="J33" s="61" t="e">
        <f>#REF!</f>
        <v>#REF!</v>
      </c>
      <c r="K33" s="41" t="e">
        <f t="shared" si="4"/>
        <v>#REF!</v>
      </c>
    </row>
    <row r="34" spans="1:11" ht="12.75">
      <c r="A34" s="34" t="s">
        <v>28</v>
      </c>
      <c r="B34" s="40">
        <v>0.00921776</v>
      </c>
      <c r="C34" s="28">
        <f t="shared" si="1"/>
        <v>977324</v>
      </c>
      <c r="D34" s="28">
        <f>'Tribes at $106.17m'!H94</f>
        <v>544</v>
      </c>
      <c r="E34" s="28">
        <f t="shared" si="0"/>
        <v>976780</v>
      </c>
      <c r="F34" s="61" t="e">
        <f>#REF!</f>
        <v>#REF!</v>
      </c>
      <c r="G34" s="41" t="e">
        <f t="shared" si="2"/>
        <v>#REF!</v>
      </c>
      <c r="H34" s="61" t="e">
        <f>#REF!</f>
        <v>#REF!</v>
      </c>
      <c r="I34" s="41" t="e">
        <f t="shared" si="3"/>
        <v>#REF!</v>
      </c>
      <c r="J34" s="61" t="e">
        <f>#REF!</f>
        <v>#REF!</v>
      </c>
      <c r="K34" s="41" t="e">
        <f t="shared" si="4"/>
        <v>#REF!</v>
      </c>
    </row>
    <row r="35" spans="1:11" ht="12.75">
      <c r="A35" s="34" t="s">
        <v>29</v>
      </c>
      <c r="B35" s="40">
        <v>0.00195349</v>
      </c>
      <c r="C35" s="28">
        <f t="shared" si="1"/>
        <v>207121</v>
      </c>
      <c r="D35" s="28"/>
      <c r="E35" s="28">
        <f t="shared" si="0"/>
        <v>207121</v>
      </c>
      <c r="F35" s="61" t="e">
        <f>#REF!</f>
        <v>#REF!</v>
      </c>
      <c r="G35" s="41" t="e">
        <f t="shared" si="2"/>
        <v>#REF!</v>
      </c>
      <c r="H35" s="61" t="e">
        <f>#REF!</f>
        <v>#REF!</v>
      </c>
      <c r="I35" s="41" t="e">
        <f t="shared" si="3"/>
        <v>#REF!</v>
      </c>
      <c r="J35" s="61" t="e">
        <f>#REF!</f>
        <v>#REF!</v>
      </c>
      <c r="K35" s="41" t="e">
        <f t="shared" si="4"/>
        <v>#REF!</v>
      </c>
    </row>
    <row r="36" spans="1:11" ht="12.75">
      <c r="A36" s="34" t="s">
        <v>30</v>
      </c>
      <c r="B36" s="40">
        <v>0.00794588</v>
      </c>
      <c r="C36" s="28">
        <f t="shared" si="1"/>
        <v>842472</v>
      </c>
      <c r="D36" s="28"/>
      <c r="E36" s="28">
        <f t="shared" si="0"/>
        <v>842472</v>
      </c>
      <c r="F36" s="61" t="e">
        <f>#REF!</f>
        <v>#REF!</v>
      </c>
      <c r="G36" s="41" t="e">
        <f t="shared" si="2"/>
        <v>#REF!</v>
      </c>
      <c r="H36" s="61" t="e">
        <f>#REF!</f>
        <v>#REF!</v>
      </c>
      <c r="I36" s="41" t="e">
        <f t="shared" si="3"/>
        <v>#REF!</v>
      </c>
      <c r="J36" s="61" t="e">
        <f>#REF!</f>
        <v>#REF!</v>
      </c>
      <c r="K36" s="41" t="e">
        <f t="shared" si="4"/>
        <v>#REF!</v>
      </c>
    </row>
    <row r="37" spans="1:11" ht="12.75">
      <c r="A37" s="34" t="s">
        <v>31</v>
      </c>
      <c r="B37" s="40">
        <v>0.03897152</v>
      </c>
      <c r="C37" s="28">
        <f t="shared" si="1"/>
        <v>4132003</v>
      </c>
      <c r="D37" s="28">
        <f>'Tribes at $106.17m'!H96</f>
        <v>10331</v>
      </c>
      <c r="E37" s="28">
        <f t="shared" si="0"/>
        <v>4121672</v>
      </c>
      <c r="F37" s="61" t="e">
        <f>#REF!</f>
        <v>#REF!</v>
      </c>
      <c r="G37" s="41" t="e">
        <f t="shared" si="2"/>
        <v>#REF!</v>
      </c>
      <c r="H37" s="61" t="e">
        <f>#REF!</f>
        <v>#REF!</v>
      </c>
      <c r="I37" s="41" t="e">
        <f t="shared" si="3"/>
        <v>#REF!</v>
      </c>
      <c r="J37" s="61" t="e">
        <f>#REF!</f>
        <v>#REF!</v>
      </c>
      <c r="K37" s="41" t="e">
        <f t="shared" si="4"/>
        <v>#REF!</v>
      </c>
    </row>
    <row r="38" spans="1:11" ht="12.75">
      <c r="A38" s="34" t="s">
        <v>32</v>
      </c>
      <c r="B38" s="40">
        <v>0.00520713</v>
      </c>
      <c r="C38" s="28">
        <f t="shared" si="1"/>
        <v>552092</v>
      </c>
      <c r="D38" s="28">
        <f>'Tribes at $106.17m'!H98</f>
        <v>43222</v>
      </c>
      <c r="E38" s="28">
        <f t="shared" si="0"/>
        <v>508870</v>
      </c>
      <c r="F38" s="61" t="e">
        <f>#REF!</f>
        <v>#REF!</v>
      </c>
      <c r="G38" s="41" t="e">
        <f t="shared" si="2"/>
        <v>#REF!</v>
      </c>
      <c r="H38" s="61" t="e">
        <f>#REF!</f>
        <v>#REF!</v>
      </c>
      <c r="I38" s="41" t="e">
        <f t="shared" si="3"/>
        <v>#REF!</v>
      </c>
      <c r="J38" s="61" t="e">
        <f>#REF!</f>
        <v>#REF!</v>
      </c>
      <c r="K38" s="41" t="e">
        <f t="shared" si="4"/>
        <v>#REF!</v>
      </c>
    </row>
    <row r="39" spans="1:11" ht="12.75">
      <c r="A39" s="34" t="s">
        <v>33</v>
      </c>
      <c r="B39" s="40">
        <v>0.12724791</v>
      </c>
      <c r="C39" s="28">
        <f>ROUND(+B39*$B$67,0)</f>
        <v>13491614</v>
      </c>
      <c r="D39" s="28">
        <f>'Tribes at $106.17m'!H105</f>
        <v>21978</v>
      </c>
      <c r="E39" s="28">
        <f aca="true" t="shared" si="5" ref="E39:E57">C39-D39</f>
        <v>13469636</v>
      </c>
      <c r="F39" s="61" t="e">
        <f>#REF!</f>
        <v>#REF!</v>
      </c>
      <c r="G39" s="41" t="e">
        <f t="shared" si="2"/>
        <v>#REF!</v>
      </c>
      <c r="H39" s="61" t="e">
        <f>#REF!</f>
        <v>#REF!</v>
      </c>
      <c r="I39" s="41" t="e">
        <f t="shared" si="3"/>
        <v>#REF!</v>
      </c>
      <c r="J39" s="61" t="e">
        <f>#REF!</f>
        <v>#REF!</v>
      </c>
      <c r="K39" s="41" t="e">
        <f t="shared" si="4"/>
        <v>#REF!</v>
      </c>
    </row>
    <row r="40" spans="1:11" ht="12.75">
      <c r="A40" s="34" t="s">
        <v>34</v>
      </c>
      <c r="B40" s="40">
        <v>0.0189638</v>
      </c>
      <c r="C40" s="28">
        <f aca="true" t="shared" si="6" ref="C40:C56">ROUND(+B40*$B$67,0)</f>
        <v>2010660</v>
      </c>
      <c r="D40" s="28">
        <f>'Tribes at $106.17m'!H108</f>
        <v>35758</v>
      </c>
      <c r="E40" s="28">
        <f t="shared" si="5"/>
        <v>1974902</v>
      </c>
      <c r="F40" s="61" t="e">
        <f>#REF!</f>
        <v>#REF!</v>
      </c>
      <c r="G40" s="41" t="e">
        <f t="shared" si="2"/>
        <v>#REF!</v>
      </c>
      <c r="H40" s="61" t="e">
        <f>#REF!</f>
        <v>#REF!</v>
      </c>
      <c r="I40" s="41" t="e">
        <f t="shared" si="3"/>
        <v>#REF!</v>
      </c>
      <c r="J40" s="61" t="e">
        <f>#REF!</f>
        <v>#REF!</v>
      </c>
      <c r="K40" s="41" t="e">
        <f t="shared" si="4"/>
        <v>#REF!</v>
      </c>
    </row>
    <row r="41" spans="1:11" ht="12.75">
      <c r="A41" s="34" t="s">
        <v>35</v>
      </c>
      <c r="B41" s="40">
        <v>0.00799548</v>
      </c>
      <c r="C41" s="28">
        <f t="shared" si="6"/>
        <v>847730</v>
      </c>
      <c r="D41" s="28">
        <f>'Tribes at $106.17m'!H110</f>
        <v>154288</v>
      </c>
      <c r="E41" s="28">
        <f t="shared" si="5"/>
        <v>693442</v>
      </c>
      <c r="F41" s="61" t="e">
        <f>#REF!</f>
        <v>#REF!</v>
      </c>
      <c r="G41" s="41" t="e">
        <f t="shared" si="2"/>
        <v>#REF!</v>
      </c>
      <c r="H41" s="61" t="e">
        <f>#REF!</f>
        <v>#REF!</v>
      </c>
      <c r="I41" s="41" t="e">
        <f t="shared" si="3"/>
        <v>#REF!</v>
      </c>
      <c r="J41" s="61" t="e">
        <f>#REF!</f>
        <v>#REF!</v>
      </c>
      <c r="K41" s="41" t="e">
        <f t="shared" si="4"/>
        <v>#REF!</v>
      </c>
    </row>
    <row r="42" spans="1:11" ht="12.75">
      <c r="A42" s="34" t="s">
        <v>36</v>
      </c>
      <c r="B42" s="40">
        <v>0.0513862</v>
      </c>
      <c r="C42" s="28">
        <f t="shared" si="6"/>
        <v>5448284</v>
      </c>
      <c r="D42" s="28"/>
      <c r="E42" s="28">
        <f t="shared" si="5"/>
        <v>5448284</v>
      </c>
      <c r="F42" s="61" t="e">
        <f>#REF!</f>
        <v>#REF!</v>
      </c>
      <c r="G42" s="41" t="e">
        <f t="shared" si="2"/>
        <v>#REF!</v>
      </c>
      <c r="H42" s="61" t="e">
        <f>#REF!</f>
        <v>#REF!</v>
      </c>
      <c r="I42" s="41" t="e">
        <f t="shared" si="3"/>
        <v>#REF!</v>
      </c>
      <c r="J42" s="61" t="e">
        <f>#REF!</f>
        <v>#REF!</v>
      </c>
      <c r="K42" s="41" t="e">
        <f t="shared" si="4"/>
        <v>#REF!</v>
      </c>
    </row>
    <row r="43" spans="1:11" ht="12.75">
      <c r="A43" s="34" t="s">
        <v>37</v>
      </c>
      <c r="B43" s="40">
        <v>0.00790558</v>
      </c>
      <c r="C43" s="28">
        <f t="shared" si="6"/>
        <v>838199</v>
      </c>
      <c r="D43" s="28">
        <f>'Tribes at $106.17m'!H115</f>
        <v>76708</v>
      </c>
      <c r="E43" s="28">
        <f t="shared" si="5"/>
        <v>761491</v>
      </c>
      <c r="F43" s="61" t="e">
        <f>#REF!</f>
        <v>#REF!</v>
      </c>
      <c r="G43" s="41" t="e">
        <f t="shared" si="2"/>
        <v>#REF!</v>
      </c>
      <c r="H43" s="61" t="e">
        <f>#REF!</f>
        <v>#REF!</v>
      </c>
      <c r="I43" s="41" t="e">
        <f t="shared" si="3"/>
        <v>#REF!</v>
      </c>
      <c r="J43" s="61" t="e">
        <f>#REF!</f>
        <v>#REF!</v>
      </c>
      <c r="K43" s="41" t="e">
        <f t="shared" si="4"/>
        <v>#REF!</v>
      </c>
    </row>
    <row r="44" spans="1:11" ht="12.75">
      <c r="A44" s="34" t="s">
        <v>38</v>
      </c>
      <c r="B44" s="40">
        <v>0.01246826</v>
      </c>
      <c r="C44" s="28">
        <f t="shared" si="6"/>
        <v>1321962</v>
      </c>
      <c r="D44" s="28">
        <f>'Tribes at $106.17m'!H147</f>
        <v>30851</v>
      </c>
      <c r="E44" s="28">
        <f t="shared" si="5"/>
        <v>1291111</v>
      </c>
      <c r="F44" s="61" t="e">
        <f>#REF!</f>
        <v>#REF!</v>
      </c>
      <c r="G44" s="41" t="e">
        <f t="shared" si="2"/>
        <v>#REF!</v>
      </c>
      <c r="H44" s="61" t="e">
        <f>#REF!</f>
        <v>#REF!</v>
      </c>
      <c r="I44" s="41" t="e">
        <f t="shared" si="3"/>
        <v>#REF!</v>
      </c>
      <c r="J44" s="61" t="e">
        <f>#REF!</f>
        <v>#REF!</v>
      </c>
      <c r="K44" s="41" t="e">
        <f t="shared" si="4"/>
        <v>#REF!</v>
      </c>
    </row>
    <row r="45" spans="1:11" ht="12.75">
      <c r="A45" s="34" t="s">
        <v>39</v>
      </c>
      <c r="B45" s="40">
        <v>0.0683509</v>
      </c>
      <c r="C45" s="28">
        <f t="shared" si="6"/>
        <v>7246987</v>
      </c>
      <c r="D45" s="28"/>
      <c r="E45" s="28">
        <f t="shared" si="5"/>
        <v>7246987</v>
      </c>
      <c r="F45" s="61" t="e">
        <f>#REF!</f>
        <v>#REF!</v>
      </c>
      <c r="G45" s="41" t="e">
        <f t="shared" si="2"/>
        <v>#REF!</v>
      </c>
      <c r="H45" s="61" t="e">
        <f>#REF!</f>
        <v>#REF!</v>
      </c>
      <c r="I45" s="41" t="e">
        <f t="shared" si="3"/>
        <v>#REF!</v>
      </c>
      <c r="J45" s="61" t="e">
        <f>#REF!</f>
        <v>#REF!</v>
      </c>
      <c r="K45" s="41" t="e">
        <f t="shared" si="4"/>
        <v>#REF!</v>
      </c>
    </row>
    <row r="46" spans="1:11" ht="12.75">
      <c r="A46" s="34" t="s">
        <v>40</v>
      </c>
      <c r="B46" s="40">
        <v>0.00691008</v>
      </c>
      <c r="C46" s="28">
        <f t="shared" si="6"/>
        <v>732650</v>
      </c>
      <c r="D46" s="28">
        <f>'Tribes at $106.17m'!H154</f>
        <v>2076</v>
      </c>
      <c r="E46" s="28">
        <f t="shared" si="5"/>
        <v>730574</v>
      </c>
      <c r="F46" s="61" t="e">
        <f>#REF!</f>
        <v>#REF!</v>
      </c>
      <c r="G46" s="41" t="e">
        <f t="shared" si="2"/>
        <v>#REF!</v>
      </c>
      <c r="H46" s="61" t="e">
        <f>#REF!</f>
        <v>#REF!</v>
      </c>
      <c r="I46" s="41" t="e">
        <f t="shared" si="3"/>
        <v>#REF!</v>
      </c>
      <c r="J46" s="61" t="e">
        <f>#REF!</f>
        <v>#REF!</v>
      </c>
      <c r="K46" s="41" t="e">
        <f t="shared" si="4"/>
        <v>#REF!</v>
      </c>
    </row>
    <row r="47" spans="1:11" ht="12.75">
      <c r="A47" s="34" t="s">
        <v>41</v>
      </c>
      <c r="B47" s="40">
        <v>0.00683051</v>
      </c>
      <c r="C47" s="28">
        <f t="shared" si="6"/>
        <v>724213</v>
      </c>
      <c r="D47" s="28"/>
      <c r="E47" s="28">
        <f t="shared" si="5"/>
        <v>724213</v>
      </c>
      <c r="F47" s="61" t="e">
        <f>#REF!</f>
        <v>#REF!</v>
      </c>
      <c r="G47" s="41" t="e">
        <f t="shared" si="2"/>
        <v>#REF!</v>
      </c>
      <c r="H47" s="61" t="e">
        <f>#REF!</f>
        <v>#REF!</v>
      </c>
      <c r="I47" s="41" t="e">
        <f t="shared" si="3"/>
        <v>#REF!</v>
      </c>
      <c r="J47" s="61" t="e">
        <f>#REF!</f>
        <v>#REF!</v>
      </c>
      <c r="K47" s="41" t="e">
        <f t="shared" si="4"/>
        <v>#REF!</v>
      </c>
    </row>
    <row r="48" spans="1:11" ht="12.75">
      <c r="A48" s="34" t="s">
        <v>42</v>
      </c>
      <c r="B48" s="40">
        <v>0.00649373</v>
      </c>
      <c r="C48" s="28">
        <f t="shared" si="6"/>
        <v>688506</v>
      </c>
      <c r="D48" s="28">
        <f>'Tribes at $106.17m'!H156</f>
        <v>122416</v>
      </c>
      <c r="E48" s="28">
        <f t="shared" si="5"/>
        <v>566090</v>
      </c>
      <c r="F48" s="61" t="e">
        <f>#REF!</f>
        <v>#REF!</v>
      </c>
      <c r="G48" s="41" t="e">
        <f t="shared" si="2"/>
        <v>#REF!</v>
      </c>
      <c r="H48" s="61" t="e">
        <f>#REF!</f>
        <v>#REF!</v>
      </c>
      <c r="I48" s="41" t="e">
        <f t="shared" si="3"/>
        <v>#REF!</v>
      </c>
      <c r="J48" s="61" t="e">
        <f>#REF!</f>
        <v>#REF!</v>
      </c>
      <c r="K48" s="41" t="e">
        <f t="shared" si="4"/>
        <v>#REF!</v>
      </c>
    </row>
    <row r="49" spans="1:11" ht="12.75">
      <c r="A49" s="34" t="s">
        <v>43</v>
      </c>
      <c r="B49" s="40">
        <v>0.01386403</v>
      </c>
      <c r="C49" s="28">
        <f t="shared" si="6"/>
        <v>1469951</v>
      </c>
      <c r="D49" s="28"/>
      <c r="E49" s="28">
        <f t="shared" si="5"/>
        <v>1469951</v>
      </c>
      <c r="F49" s="61" t="e">
        <f>#REF!</f>
        <v>#REF!</v>
      </c>
      <c r="G49" s="41" t="e">
        <f t="shared" si="2"/>
        <v>#REF!</v>
      </c>
      <c r="H49" s="61" t="e">
        <f>#REF!</f>
        <v>#REF!</v>
      </c>
      <c r="I49" s="41" t="e">
        <f t="shared" si="3"/>
        <v>#REF!</v>
      </c>
      <c r="J49" s="61" t="e">
        <f>#REF!</f>
        <v>#REF!</v>
      </c>
      <c r="K49" s="41" t="e">
        <f t="shared" si="4"/>
        <v>#REF!</v>
      </c>
    </row>
    <row r="50" spans="1:11" ht="12.75">
      <c r="A50" s="34" t="s">
        <v>44</v>
      </c>
      <c r="B50" s="40">
        <v>0.02263997</v>
      </c>
      <c r="C50" s="28">
        <f t="shared" si="6"/>
        <v>2400430</v>
      </c>
      <c r="D50" s="28"/>
      <c r="E50" s="28">
        <f t="shared" si="5"/>
        <v>2400430</v>
      </c>
      <c r="F50" s="61" t="e">
        <f>#REF!</f>
        <v>#REF!</v>
      </c>
      <c r="G50" s="41" t="e">
        <f t="shared" si="2"/>
        <v>#REF!</v>
      </c>
      <c r="H50" s="61" t="e">
        <f>#REF!</f>
        <v>#REF!</v>
      </c>
      <c r="I50" s="41" t="e">
        <f t="shared" si="3"/>
        <v>#REF!</v>
      </c>
      <c r="J50" s="61" t="e">
        <f>#REF!</f>
        <v>#REF!</v>
      </c>
      <c r="K50" s="41" t="e">
        <f t="shared" si="4"/>
        <v>#REF!</v>
      </c>
    </row>
    <row r="51" spans="1:11" ht="12.75">
      <c r="A51" s="34" t="s">
        <v>45</v>
      </c>
      <c r="B51" s="40">
        <v>0.00747576</v>
      </c>
      <c r="C51" s="28">
        <f t="shared" si="6"/>
        <v>792627</v>
      </c>
      <c r="D51" s="28">
        <f>'Tribes at $106.17m'!H164</f>
        <v>15828</v>
      </c>
      <c r="E51" s="28">
        <f t="shared" si="5"/>
        <v>776799</v>
      </c>
      <c r="F51" s="61" t="e">
        <f>#REF!</f>
        <v>#REF!</v>
      </c>
      <c r="G51" s="41" t="e">
        <f t="shared" si="2"/>
        <v>#REF!</v>
      </c>
      <c r="H51" s="61" t="e">
        <f>#REF!</f>
        <v>#REF!</v>
      </c>
      <c r="I51" s="41" t="e">
        <f t="shared" si="3"/>
        <v>#REF!</v>
      </c>
      <c r="J51" s="61" t="e">
        <f>#REF!</f>
        <v>#REF!</v>
      </c>
      <c r="K51" s="41" t="e">
        <f t="shared" si="4"/>
        <v>#REF!</v>
      </c>
    </row>
    <row r="52" spans="1:11" ht="12.75">
      <c r="A52" s="34" t="s">
        <v>46</v>
      </c>
      <c r="B52" s="40">
        <v>0.00595572</v>
      </c>
      <c r="C52" s="28">
        <f t="shared" si="6"/>
        <v>631462</v>
      </c>
      <c r="D52" s="28"/>
      <c r="E52" s="28">
        <f t="shared" si="5"/>
        <v>631462</v>
      </c>
      <c r="F52" s="61" t="e">
        <f>#REF!</f>
        <v>#REF!</v>
      </c>
      <c r="G52" s="41" t="e">
        <f t="shared" si="2"/>
        <v>#REF!</v>
      </c>
      <c r="H52" s="61" t="e">
        <f>#REF!</f>
        <v>#REF!</v>
      </c>
      <c r="I52" s="41" t="e">
        <f t="shared" si="3"/>
        <v>#REF!</v>
      </c>
      <c r="J52" s="61" t="e">
        <f>#REF!</f>
        <v>#REF!</v>
      </c>
      <c r="K52" s="41" t="e">
        <f t="shared" si="4"/>
        <v>#REF!</v>
      </c>
    </row>
    <row r="53" spans="1:11" ht="12.75">
      <c r="A53" s="34" t="s">
        <v>47</v>
      </c>
      <c r="B53" s="40">
        <v>0.01957379</v>
      </c>
      <c r="C53" s="28">
        <f t="shared" si="6"/>
        <v>2075335</v>
      </c>
      <c r="D53" s="28"/>
      <c r="E53" s="28">
        <f t="shared" si="5"/>
        <v>2075335</v>
      </c>
      <c r="F53" s="61" t="e">
        <f>#REF!</f>
        <v>#REF!</v>
      </c>
      <c r="G53" s="41" t="e">
        <f t="shared" si="2"/>
        <v>#REF!</v>
      </c>
      <c r="H53" s="61" t="e">
        <f>#REF!</f>
        <v>#REF!</v>
      </c>
      <c r="I53" s="41" t="e">
        <f t="shared" si="3"/>
        <v>#REF!</v>
      </c>
      <c r="J53" s="61" t="e">
        <f>#REF!</f>
        <v>#REF!</v>
      </c>
      <c r="K53" s="41" t="e">
        <f t="shared" si="4"/>
        <v>#REF!</v>
      </c>
    </row>
    <row r="54" spans="1:11" ht="12.75">
      <c r="A54" s="34" t="s">
        <v>48</v>
      </c>
      <c r="B54" s="40">
        <v>0.02050857</v>
      </c>
      <c r="C54" s="28">
        <f t="shared" si="6"/>
        <v>2174446</v>
      </c>
      <c r="D54" s="28">
        <f>'Tribes at $106.17m'!H168</f>
        <v>88684</v>
      </c>
      <c r="E54" s="28">
        <f t="shared" si="5"/>
        <v>2085762</v>
      </c>
      <c r="F54" s="61" t="e">
        <f>#REF!</f>
        <v>#REF!</v>
      </c>
      <c r="G54" s="41" t="e">
        <f t="shared" si="2"/>
        <v>#REF!</v>
      </c>
      <c r="H54" s="61" t="e">
        <f>#REF!</f>
        <v>#REF!</v>
      </c>
      <c r="I54" s="41" t="e">
        <f t="shared" si="3"/>
        <v>#REF!</v>
      </c>
      <c r="J54" s="61" t="e">
        <f>#REF!</f>
        <v>#REF!</v>
      </c>
      <c r="K54" s="41" t="e">
        <f t="shared" si="4"/>
        <v>#REF!</v>
      </c>
    </row>
    <row r="55" spans="1:11" ht="12.75">
      <c r="A55" s="34" t="s">
        <v>49</v>
      </c>
      <c r="B55" s="40">
        <v>0.00905733</v>
      </c>
      <c r="C55" s="28">
        <f t="shared" si="6"/>
        <v>960314</v>
      </c>
      <c r="D55" s="28"/>
      <c r="E55" s="28">
        <f t="shared" si="5"/>
        <v>960314</v>
      </c>
      <c r="F55" s="61" t="e">
        <f>#REF!</f>
        <v>#REF!</v>
      </c>
      <c r="G55" s="41" t="e">
        <f t="shared" si="2"/>
        <v>#REF!</v>
      </c>
      <c r="H55" s="61" t="e">
        <f>#REF!</f>
        <v>#REF!</v>
      </c>
      <c r="I55" s="41" t="e">
        <f t="shared" si="3"/>
        <v>#REF!</v>
      </c>
      <c r="J55" s="61" t="e">
        <f>#REF!</f>
        <v>#REF!</v>
      </c>
      <c r="K55" s="41" t="e">
        <f t="shared" si="4"/>
        <v>#REF!</v>
      </c>
    </row>
    <row r="56" spans="1:11" ht="12.75">
      <c r="A56" s="34" t="s">
        <v>50</v>
      </c>
      <c r="B56" s="40">
        <v>0.03576365</v>
      </c>
      <c r="C56" s="28">
        <f t="shared" si="6"/>
        <v>3791884</v>
      </c>
      <c r="D56" s="28"/>
      <c r="E56" s="28">
        <f t="shared" si="5"/>
        <v>3791884</v>
      </c>
      <c r="F56" s="61" t="e">
        <f>#REF!</f>
        <v>#REF!</v>
      </c>
      <c r="G56" s="41" t="e">
        <f t="shared" si="2"/>
        <v>#REF!</v>
      </c>
      <c r="H56" s="61" t="e">
        <f>#REF!</f>
        <v>#REF!</v>
      </c>
      <c r="I56" s="41" t="e">
        <f t="shared" si="3"/>
        <v>#REF!</v>
      </c>
      <c r="J56" s="61" t="e">
        <f>#REF!</f>
        <v>#REF!</v>
      </c>
      <c r="K56" s="41" t="e">
        <f t="shared" si="4"/>
        <v>#REF!</v>
      </c>
    </row>
    <row r="57" spans="1:11" ht="13.5" thickBot="1">
      <c r="A57" s="42" t="s">
        <v>51</v>
      </c>
      <c r="B57" s="43">
        <v>0.00299313</v>
      </c>
      <c r="C57" s="44">
        <f>ROUND(+B57*$B$67,0)+2</f>
        <v>317352</v>
      </c>
      <c r="D57" s="44">
        <f>'Tribes at $106.17m'!H190</f>
        <v>11419</v>
      </c>
      <c r="E57" s="29">
        <f t="shared" si="5"/>
        <v>305933</v>
      </c>
      <c r="F57" s="61" t="e">
        <f>#REF!</f>
        <v>#REF!</v>
      </c>
      <c r="G57" s="41" t="e">
        <f t="shared" si="2"/>
        <v>#REF!</v>
      </c>
      <c r="H57" s="61" t="e">
        <f>#REF!</f>
        <v>#REF!</v>
      </c>
      <c r="I57" s="41" t="e">
        <f t="shared" si="3"/>
        <v>#REF!</v>
      </c>
      <c r="J57" s="61" t="e">
        <f>#REF!</f>
        <v>#REF!</v>
      </c>
      <c r="K57" s="41" t="e">
        <f t="shared" si="4"/>
        <v>#REF!</v>
      </c>
    </row>
    <row r="58" spans="1:11" ht="13.5" thickTop="1">
      <c r="A58" s="45" t="s">
        <v>54</v>
      </c>
      <c r="B58" s="40"/>
      <c r="C58" s="28">
        <f>SUM(C7:C57)</f>
        <v>106026216</v>
      </c>
      <c r="D58" s="28">
        <f>SUM(D7:D57)</f>
        <v>1144425</v>
      </c>
      <c r="E58" s="60">
        <f>SUM(E7:E57)</f>
        <v>104881791</v>
      </c>
      <c r="F58" s="56"/>
      <c r="G58" s="56" t="e">
        <f>SUM(G7:G57)</f>
        <v>#REF!</v>
      </c>
      <c r="H58" s="56"/>
      <c r="I58" s="56" t="e">
        <f>SUM(I7:I57)</f>
        <v>#REF!</v>
      </c>
      <c r="J58" s="56"/>
      <c r="K58" s="56" t="e">
        <f>SUM(K7:K57)</f>
        <v>#REF!</v>
      </c>
    </row>
    <row r="59" spans="3:11" ht="12.75">
      <c r="C59" s="45" t="s">
        <v>1</v>
      </c>
      <c r="F59" s="29"/>
      <c r="G59" s="29" t="e">
        <f>ROUND(SUMPRODUCT(F7:F57,$E7:$E57),0)</f>
        <v>#REF!</v>
      </c>
      <c r="H59" s="29"/>
      <c r="I59" s="29" t="e">
        <f>ROUND(SUMPRODUCT(H7:H57,$E7:$E57),0)</f>
        <v>#REF!</v>
      </c>
      <c r="J59" s="29"/>
      <c r="K59" s="29" t="e">
        <f>ROUND(SUMPRODUCT(J7:J57,$E7:$E57),0)</f>
        <v>#REF!</v>
      </c>
    </row>
    <row r="60" spans="1:10" ht="12.75">
      <c r="A60" s="46" t="s">
        <v>212</v>
      </c>
      <c r="B60" s="29">
        <f>B3</f>
        <v>106170000</v>
      </c>
      <c r="C60" s="37" t="s">
        <v>52</v>
      </c>
      <c r="D60" s="37" t="s">
        <v>211</v>
      </c>
      <c r="E60" s="47"/>
      <c r="F60" s="31"/>
      <c r="G60" s="31"/>
      <c r="H60" s="31"/>
      <c r="I60" s="31"/>
      <c r="J60" s="31"/>
    </row>
    <row r="61" spans="1:10" ht="12.75">
      <c r="A61" s="48" t="s">
        <v>248</v>
      </c>
      <c r="B61" s="29">
        <v>0</v>
      </c>
      <c r="C61" s="49" t="s">
        <v>206</v>
      </c>
      <c r="D61" s="50">
        <v>0.01654258</v>
      </c>
      <c r="E61" s="41">
        <f>ROUND(D61*$B$66,0)</f>
        <v>2379</v>
      </c>
      <c r="F61" s="31"/>
      <c r="G61" s="31"/>
      <c r="H61" s="31"/>
      <c r="I61" s="31"/>
      <c r="J61" s="31"/>
    </row>
    <row r="62" spans="1:10" ht="12.75">
      <c r="A62" s="51" t="s">
        <v>57</v>
      </c>
      <c r="B62" s="29">
        <f>B60-B61</f>
        <v>106170000</v>
      </c>
      <c r="C62" s="49" t="s">
        <v>207</v>
      </c>
      <c r="D62" s="50">
        <v>0.03626904</v>
      </c>
      <c r="E62" s="41">
        <f>ROUND(D62*$B$66,0)</f>
        <v>5215</v>
      </c>
      <c r="F62" s="31"/>
      <c r="G62" s="31"/>
      <c r="H62" s="31"/>
      <c r="I62" s="31"/>
      <c r="J62" s="31"/>
    </row>
    <row r="63" spans="1:10" ht="12.75">
      <c r="A63" s="48" t="s">
        <v>249</v>
      </c>
      <c r="B63" s="29">
        <v>0</v>
      </c>
      <c r="C63" s="49" t="s">
        <v>208</v>
      </c>
      <c r="D63" s="50">
        <v>0.01259719</v>
      </c>
      <c r="E63" s="41">
        <f>ROUND(D63*$B$66,0)</f>
        <v>1811</v>
      </c>
      <c r="F63" s="31"/>
      <c r="G63" s="31"/>
      <c r="H63" s="31"/>
      <c r="I63" s="31"/>
      <c r="J63" s="31"/>
    </row>
    <row r="64" spans="1:10" ht="12.75">
      <c r="A64" s="51" t="s">
        <v>57</v>
      </c>
      <c r="B64" s="29">
        <f>B62-B63</f>
        <v>106170000</v>
      </c>
      <c r="C64" s="49" t="s">
        <v>209</v>
      </c>
      <c r="D64" s="50">
        <v>0.90029483</v>
      </c>
      <c r="E64" s="41">
        <f>ROUND(D64*$B$66,0)</f>
        <v>129448</v>
      </c>
      <c r="F64" s="31"/>
      <c r="G64" s="31"/>
      <c r="H64" s="31"/>
      <c r="I64" s="31"/>
      <c r="J64" s="31"/>
    </row>
    <row r="65" spans="1:10" ht="13.5" thickBot="1">
      <c r="A65" s="52" t="s">
        <v>255</v>
      </c>
      <c r="B65" s="50">
        <v>0.00135428</v>
      </c>
      <c r="C65" s="49" t="s">
        <v>210</v>
      </c>
      <c r="D65" s="50">
        <v>0.03429636</v>
      </c>
      <c r="E65" s="41">
        <f>ROUND(D65*$B$66,0)</f>
        <v>4931</v>
      </c>
      <c r="F65" s="31"/>
      <c r="G65" s="31"/>
      <c r="H65" s="31"/>
      <c r="I65" s="31"/>
      <c r="J65" s="31"/>
    </row>
    <row r="66" spans="1:5" ht="13.5" thickTop="1">
      <c r="A66" s="53" t="s">
        <v>256</v>
      </c>
      <c r="B66" s="29">
        <f>ROUND(B64*B65,0)</f>
        <v>143784</v>
      </c>
      <c r="C66" s="54" t="s">
        <v>54</v>
      </c>
      <c r="D66" s="55"/>
      <c r="E66" s="56">
        <f>SUM(E61:E65)</f>
        <v>143784</v>
      </c>
    </row>
    <row r="67" spans="1:5" ht="12.75">
      <c r="A67" s="48" t="s">
        <v>53</v>
      </c>
      <c r="B67" s="29">
        <f>ROUND(+B64-B66,0)</f>
        <v>106026216</v>
      </c>
      <c r="C67" s="30"/>
      <c r="D67" s="31"/>
      <c r="E67" s="31"/>
    </row>
    <row r="68" spans="1:5" ht="12.75">
      <c r="A68" s="31"/>
      <c r="B68" s="31"/>
      <c r="C68" s="31"/>
      <c r="D68" s="31"/>
      <c r="E68" s="31"/>
    </row>
  </sheetData>
  <sheetProtection/>
  <mergeCells count="2">
    <mergeCell ref="A1:E1"/>
    <mergeCell ref="A2:E2"/>
  </mergeCells>
  <conditionalFormatting sqref="G5 I5 K5">
    <cfRule type="cellIs" priority="1" dxfId="0" operator="equal" stopIfTrue="1">
      <formula>MAX($F$8:$F$58)</formula>
    </cfRule>
    <cfRule type="cellIs" priority="2" dxfId="1" operator="equal" stopIfTrue="1">
      <formula>DMIN($F$6:$F$58,$F$6,$F$6:$F$7)</formula>
    </cfRule>
  </conditionalFormatting>
  <printOptions gridLines="1" horizontalCentered="1"/>
  <pageMargins left="0.5" right="0.5" top="0.5" bottom="0.75" header="0.5" footer="0.5"/>
  <pageSetup horizontalDpi="600" verticalDpi="600" orientation="portrait" scale="85" r:id="rId1"/>
  <headerFooter alignWithMargins="0">
    <oddFooter xml:space="preserve">&amp;C&amp;"Arial,Regular"                                                  </oddFooter>
  </headerFooter>
  <rowBreaks count="1" manualBreakCount="1">
    <brk id="5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 transitionEvaluation="1" transitionEntry="1"/>
  <dimension ref="A1:J512"/>
  <sheetViews>
    <sheetView tabSelected="1" workbookViewId="0" topLeftCell="A1">
      <pane xSplit="1" ySplit="9" topLeftCell="E10" activePane="bottomRight" state="frozen"/>
      <selection pane="topLeft" activeCell="A1" sqref="A1"/>
      <selection pane="topRight" activeCell="B1" sqref="B1"/>
      <selection pane="bottomLeft" activeCell="A1" sqref="A1"/>
      <selection pane="bottomRight" activeCell="A2" sqref="A2"/>
    </sheetView>
  </sheetViews>
  <sheetFormatPr defaultColWidth="15.625" defaultRowHeight="12.75"/>
  <cols>
    <col min="1" max="1" width="35.375" style="9" bestFit="1" customWidth="1"/>
    <col min="2" max="2" width="16.50390625" style="9" customWidth="1"/>
    <col min="3" max="3" width="12.50390625" style="9" bestFit="1" customWidth="1"/>
    <col min="4" max="4" width="7.75390625" style="9" bestFit="1" customWidth="1"/>
    <col min="5" max="9" width="17.50390625" style="9" customWidth="1"/>
    <col min="10" max="10" width="16.375" style="9" customWidth="1"/>
    <col min="11" max="16384" width="10.00390625" style="9" customWidth="1"/>
  </cols>
  <sheetData>
    <row r="1" spans="1:10" ht="12.75">
      <c r="A1" s="193" t="s">
        <v>257</v>
      </c>
      <c r="B1" s="193"/>
      <c r="C1" s="193"/>
      <c r="D1" s="193"/>
      <c r="E1" s="193"/>
      <c r="F1" s="193"/>
      <c r="G1" s="193"/>
      <c r="H1" s="193"/>
      <c r="I1" s="64"/>
      <c r="J1" s="64"/>
    </row>
    <row r="2" spans="1:9" ht="12.75">
      <c r="A2" s="5" t="s">
        <v>286</v>
      </c>
      <c r="B2" s="58">
        <v>106170000</v>
      </c>
      <c r="C2" s="5"/>
      <c r="D2" s="5"/>
      <c r="E2" s="27" t="s">
        <v>267</v>
      </c>
      <c r="G2" s="34"/>
      <c r="I2" s="27"/>
    </row>
    <row r="3" spans="1:9" ht="12.75">
      <c r="A3" s="5"/>
      <c r="B3" s="5"/>
      <c r="C3" s="5"/>
      <c r="D3" s="5"/>
      <c r="E3" s="33"/>
      <c r="G3" s="34"/>
      <c r="I3" s="12" t="s">
        <v>1</v>
      </c>
    </row>
    <row r="4" spans="1:4" ht="14.25">
      <c r="A4" s="11" t="s">
        <v>240</v>
      </c>
      <c r="B4" s="11"/>
      <c r="C4" s="11"/>
      <c r="D4" s="11"/>
    </row>
    <row r="5" spans="1:4" ht="12.75">
      <c r="A5" s="1" t="s">
        <v>241</v>
      </c>
      <c r="B5" s="1" t="s">
        <v>213</v>
      </c>
      <c r="C5" s="1"/>
      <c r="D5" s="1"/>
    </row>
    <row r="6" spans="1:4" ht="12.75">
      <c r="A6" s="1" t="s">
        <v>58</v>
      </c>
      <c r="B6" s="1" t="s">
        <v>214</v>
      </c>
      <c r="C6" s="1"/>
      <c r="D6" s="1"/>
    </row>
    <row r="7" spans="1:4" ht="14.25" customHeight="1">
      <c r="A7" s="1" t="s">
        <v>215</v>
      </c>
      <c r="B7" s="1" t="s">
        <v>242</v>
      </c>
      <c r="C7" s="1"/>
      <c r="D7" s="1"/>
    </row>
    <row r="8" spans="1:10" ht="12.75">
      <c r="A8" s="1" t="s">
        <v>216</v>
      </c>
      <c r="B8" s="1" t="s">
        <v>217</v>
      </c>
      <c r="C8" s="1"/>
      <c r="D8" s="1"/>
      <c r="I8" s="6"/>
      <c r="J8" s="6"/>
    </row>
    <row r="9" spans="1:9" s="13" customFormat="1" ht="25.5">
      <c r="A9" s="57" t="s">
        <v>56</v>
      </c>
      <c r="B9" s="57" t="s">
        <v>222</v>
      </c>
      <c r="C9" s="57" t="s">
        <v>223</v>
      </c>
      <c r="D9" s="57" t="s">
        <v>59</v>
      </c>
      <c r="E9" s="57" t="s">
        <v>243</v>
      </c>
      <c r="F9" s="57" t="s">
        <v>244</v>
      </c>
      <c r="G9" s="57" t="s">
        <v>234</v>
      </c>
      <c r="H9" s="57" t="s">
        <v>235</v>
      </c>
      <c r="I9" s="57" t="s">
        <v>245</v>
      </c>
    </row>
    <row r="10" ht="12.75">
      <c r="F10" s="8"/>
    </row>
    <row r="11" spans="1:9" ht="12.75">
      <c r="A11" s="10" t="s">
        <v>2</v>
      </c>
      <c r="B11" s="10"/>
      <c r="C11" s="10"/>
      <c r="D11" s="10"/>
      <c r="E11" s="4">
        <f>'States at $106.17m'!C7</f>
        <v>911873</v>
      </c>
      <c r="F11" s="8"/>
      <c r="H11" s="4">
        <f>SUM(G12:G14)</f>
        <v>5266</v>
      </c>
      <c r="I11" s="4">
        <f>E11-H11</f>
        <v>906607</v>
      </c>
    </row>
    <row r="12" spans="1:8" ht="12.75">
      <c r="A12" s="9" t="s">
        <v>60</v>
      </c>
      <c r="B12" s="9">
        <v>449603</v>
      </c>
      <c r="C12" s="9">
        <v>96</v>
      </c>
      <c r="D12" s="3" t="s">
        <v>61</v>
      </c>
      <c r="E12" s="4"/>
      <c r="F12" s="8">
        <v>0.00021354310529481948</v>
      </c>
      <c r="G12" s="4">
        <f>ROUND(F12*$E$11,0)</f>
        <v>195</v>
      </c>
      <c r="H12" s="4"/>
    </row>
    <row r="13" spans="1:9" ht="12.75">
      <c r="A13" s="1" t="s">
        <v>62</v>
      </c>
      <c r="B13" s="2">
        <v>449603</v>
      </c>
      <c r="C13" s="1" t="s">
        <v>1</v>
      </c>
      <c r="D13" s="3" t="s">
        <v>63</v>
      </c>
      <c r="E13" s="4"/>
      <c r="F13" s="8">
        <v>0.0031699910456205833</v>
      </c>
      <c r="G13" s="4">
        <f>ROUND(F13*$E$11,0)</f>
        <v>2891</v>
      </c>
      <c r="H13" s="4"/>
      <c r="I13" s="4"/>
    </row>
    <row r="14" spans="1:9" ht="12.75">
      <c r="A14" s="1" t="s">
        <v>64</v>
      </c>
      <c r="B14" s="2">
        <v>449603</v>
      </c>
      <c r="C14" s="2">
        <v>1075</v>
      </c>
      <c r="D14" s="3" t="s">
        <v>61</v>
      </c>
      <c r="E14" s="4"/>
      <c r="F14" s="8">
        <v>0.002391014898045541</v>
      </c>
      <c r="G14" s="4">
        <f>ROUND(F14*$E$11,0)</f>
        <v>2180</v>
      </c>
      <c r="H14" s="4"/>
      <c r="I14" s="4"/>
    </row>
    <row r="15" spans="1:9" ht="12.75">
      <c r="A15" s="10" t="s">
        <v>3</v>
      </c>
      <c r="E15" s="4">
        <f>'States at $106.17m'!C8</f>
        <v>582069</v>
      </c>
      <c r="F15" s="8"/>
      <c r="H15" s="4">
        <f>SUM(G16:G24)</f>
        <v>178695</v>
      </c>
      <c r="I15" s="4">
        <f>E15-H15</f>
        <v>403374</v>
      </c>
    </row>
    <row r="16" spans="1:9" ht="12.75">
      <c r="A16" s="1" t="s">
        <v>65</v>
      </c>
      <c r="B16" s="2">
        <v>54295</v>
      </c>
      <c r="C16" s="14">
        <v>164</v>
      </c>
      <c r="D16" s="3" t="s">
        <v>63</v>
      </c>
      <c r="E16" s="4"/>
      <c r="F16" s="8">
        <v>0.008540014003698509</v>
      </c>
      <c r="G16" s="4">
        <f aca="true" t="shared" si="0" ref="G16:G24">ROUND(F16*$E$15,0)</f>
        <v>4971</v>
      </c>
      <c r="H16" s="4"/>
      <c r="I16" s="1"/>
    </row>
    <row r="17" spans="1:9" ht="12.75">
      <c r="A17" s="1" t="s">
        <v>66</v>
      </c>
      <c r="B17" s="2">
        <v>54295</v>
      </c>
      <c r="C17" s="14">
        <v>2029</v>
      </c>
      <c r="D17" s="3" t="s">
        <v>63</v>
      </c>
      <c r="E17" s="4"/>
      <c r="F17" s="8">
        <v>0.13824948163427553</v>
      </c>
      <c r="G17" s="4">
        <f t="shared" si="0"/>
        <v>80471</v>
      </c>
      <c r="H17" s="4"/>
      <c r="I17" s="1"/>
    </row>
    <row r="18" spans="1:8" ht="12.75">
      <c r="A18" s="1" t="s">
        <v>68</v>
      </c>
      <c r="B18" s="2">
        <v>54295</v>
      </c>
      <c r="C18" s="14">
        <v>111</v>
      </c>
      <c r="D18" s="3" t="s">
        <v>63</v>
      </c>
      <c r="E18" s="4"/>
      <c r="F18" s="8">
        <v>0.006801462774591368</v>
      </c>
      <c r="G18" s="4">
        <f t="shared" si="0"/>
        <v>3959</v>
      </c>
      <c r="H18" s="4"/>
    </row>
    <row r="19" spans="1:9" ht="12.75">
      <c r="A19" s="1" t="s">
        <v>69</v>
      </c>
      <c r="B19" s="2">
        <v>54295</v>
      </c>
      <c r="C19" s="14">
        <v>229</v>
      </c>
      <c r="D19" s="3" t="s">
        <v>63</v>
      </c>
      <c r="E19" s="4"/>
      <c r="F19" s="8">
        <v>0.020739953934464747</v>
      </c>
      <c r="G19" s="4">
        <f t="shared" si="0"/>
        <v>12072</v>
      </c>
      <c r="H19" s="4"/>
      <c r="I19" s="1" t="s">
        <v>1</v>
      </c>
    </row>
    <row r="20" spans="1:8" ht="12.75">
      <c r="A20" s="1" t="s">
        <v>70</v>
      </c>
      <c r="B20" s="2">
        <v>54295</v>
      </c>
      <c r="C20" s="14">
        <v>275</v>
      </c>
      <c r="D20" s="3" t="s">
        <v>63</v>
      </c>
      <c r="E20" s="4"/>
      <c r="F20" s="8">
        <v>0.008234996821375306</v>
      </c>
      <c r="G20" s="4">
        <f t="shared" si="0"/>
        <v>4793</v>
      </c>
      <c r="H20" s="4"/>
    </row>
    <row r="21" spans="1:8" ht="12.75">
      <c r="A21" s="1" t="s">
        <v>71</v>
      </c>
      <c r="B21" s="2">
        <v>54295</v>
      </c>
      <c r="C21" s="14">
        <v>8</v>
      </c>
      <c r="D21" s="3" t="s">
        <v>63</v>
      </c>
      <c r="E21" s="4"/>
      <c r="F21" s="8">
        <v>0.0007014928092082492</v>
      </c>
      <c r="G21" s="4">
        <f t="shared" si="0"/>
        <v>408</v>
      </c>
      <c r="H21" s="4"/>
    </row>
    <row r="22" spans="1:8" ht="12.75">
      <c r="A22" s="1" t="s">
        <v>72</v>
      </c>
      <c r="B22" s="2">
        <v>54295</v>
      </c>
      <c r="C22" s="14">
        <v>1385</v>
      </c>
      <c r="D22" s="3" t="s">
        <v>63</v>
      </c>
      <c r="E22" s="4"/>
      <c r="F22" s="8">
        <v>0.07750752850602771</v>
      </c>
      <c r="G22" s="4">
        <f t="shared" si="0"/>
        <v>45115</v>
      </c>
      <c r="H22" s="4"/>
    </row>
    <row r="23" spans="1:9" ht="12.75">
      <c r="A23" s="1" t="s">
        <v>73</v>
      </c>
      <c r="B23" s="2">
        <v>54295</v>
      </c>
      <c r="C23" s="14">
        <v>1171</v>
      </c>
      <c r="D23" s="3" t="s">
        <v>63</v>
      </c>
      <c r="E23" s="4"/>
      <c r="F23" s="8">
        <v>0.044224969089568085</v>
      </c>
      <c r="G23" s="4">
        <f t="shared" si="0"/>
        <v>25742</v>
      </c>
      <c r="H23" s="4"/>
      <c r="I23" s="1" t="s">
        <v>1</v>
      </c>
    </row>
    <row r="24" spans="1:9" ht="12.75">
      <c r="A24" s="65" t="s">
        <v>229</v>
      </c>
      <c r="B24" s="2">
        <v>54295</v>
      </c>
      <c r="C24" s="7">
        <v>77</v>
      </c>
      <c r="D24" s="3" t="s">
        <v>63</v>
      </c>
      <c r="E24" s="4"/>
      <c r="F24" s="8">
        <v>0.0020000345654999875</v>
      </c>
      <c r="G24" s="4">
        <f t="shared" si="0"/>
        <v>1164</v>
      </c>
      <c r="H24" s="4"/>
      <c r="I24" s="1"/>
    </row>
    <row r="25" spans="1:9" ht="12.75">
      <c r="A25" s="10" t="s">
        <v>4</v>
      </c>
      <c r="E25" s="4">
        <f>'States at $106.17m'!C9</f>
        <v>440993</v>
      </c>
      <c r="F25" s="8"/>
      <c r="H25" s="4">
        <f>SUM(G26:G34)</f>
        <v>35830</v>
      </c>
      <c r="I25" s="4">
        <f>E25-H25</f>
        <v>405163</v>
      </c>
    </row>
    <row r="26" spans="1:8" ht="12.75">
      <c r="A26" s="1" t="s">
        <v>74</v>
      </c>
      <c r="B26" s="2">
        <v>343522</v>
      </c>
      <c r="C26" s="14">
        <v>228</v>
      </c>
      <c r="D26" s="3" t="s">
        <v>61</v>
      </c>
      <c r="F26" s="8">
        <v>0.0006637562338892996</v>
      </c>
      <c r="G26" s="4">
        <f aca="true" t="shared" si="1" ref="G26:G34">ROUND(F26*$E$25,0)</f>
        <v>293</v>
      </c>
      <c r="H26" s="4"/>
    </row>
    <row r="27" spans="1:8" ht="12.75">
      <c r="A27" s="1" t="s">
        <v>75</v>
      </c>
      <c r="B27" s="2">
        <v>343522</v>
      </c>
      <c r="C27" s="14">
        <v>680</v>
      </c>
      <c r="D27" s="3" t="s">
        <v>61</v>
      </c>
      <c r="E27" s="4"/>
      <c r="F27" s="8">
        <v>0.001979554631034519</v>
      </c>
      <c r="G27" s="4">
        <f t="shared" si="1"/>
        <v>873</v>
      </c>
      <c r="H27" s="4"/>
    </row>
    <row r="28" spans="1:8" ht="12.75">
      <c r="A28" s="1" t="s">
        <v>76</v>
      </c>
      <c r="B28" s="2">
        <v>343522</v>
      </c>
      <c r="C28" s="14">
        <v>2301</v>
      </c>
      <c r="D28" s="3" t="s">
        <v>61</v>
      </c>
      <c r="E28" s="4"/>
      <c r="F28" s="8">
        <v>0.006698228894173236</v>
      </c>
      <c r="G28" s="4">
        <f t="shared" si="1"/>
        <v>2954</v>
      </c>
      <c r="H28" s="4"/>
    </row>
    <row r="29" spans="1:8" ht="12.75">
      <c r="A29" s="1" t="s">
        <v>77</v>
      </c>
      <c r="B29" s="2">
        <v>343522</v>
      </c>
      <c r="C29" s="14">
        <v>19524</v>
      </c>
      <c r="D29" s="3" t="s">
        <v>61</v>
      </c>
      <c r="E29" s="4"/>
      <c r="F29" s="8">
        <v>0.05683482112305878</v>
      </c>
      <c r="G29" s="4">
        <f t="shared" si="1"/>
        <v>25064</v>
      </c>
      <c r="H29" s="4"/>
    </row>
    <row r="30" spans="1:8" ht="12.75">
      <c r="A30" s="1" t="s">
        <v>78</v>
      </c>
      <c r="B30" s="2">
        <v>343522</v>
      </c>
      <c r="C30" s="14">
        <v>879</v>
      </c>
      <c r="D30" s="3" t="s">
        <v>61</v>
      </c>
      <c r="E30" s="4"/>
      <c r="F30" s="8">
        <v>0.002558846250356817</v>
      </c>
      <c r="G30" s="4">
        <f t="shared" si="1"/>
        <v>1128</v>
      </c>
      <c r="H30" s="4"/>
    </row>
    <row r="31" spans="1:8" ht="12.75">
      <c r="A31" s="1" t="s">
        <v>79</v>
      </c>
      <c r="B31" s="2">
        <v>343522</v>
      </c>
      <c r="C31" s="14">
        <v>50</v>
      </c>
      <c r="D31" s="3" t="s">
        <v>61</v>
      </c>
      <c r="E31" s="4"/>
      <c r="F31" s="8">
        <v>0.0001455010878672438</v>
      </c>
      <c r="G31" s="4">
        <f t="shared" si="1"/>
        <v>64</v>
      </c>
      <c r="H31" s="4"/>
    </row>
    <row r="32" spans="1:8" ht="12.75">
      <c r="A32" s="1" t="s">
        <v>80</v>
      </c>
      <c r="B32" s="2">
        <v>343522</v>
      </c>
      <c r="C32" s="14">
        <v>849</v>
      </c>
      <c r="D32" s="3" t="s">
        <v>61</v>
      </c>
      <c r="E32" s="4"/>
      <c r="F32" s="8">
        <v>0.0024714222916298032</v>
      </c>
      <c r="G32" s="4">
        <f t="shared" si="1"/>
        <v>1090</v>
      </c>
      <c r="H32" s="4"/>
    </row>
    <row r="33" spans="1:8" ht="12.75">
      <c r="A33" s="1" t="s">
        <v>81</v>
      </c>
      <c r="B33" s="2">
        <v>343522</v>
      </c>
      <c r="C33" s="14">
        <v>1400</v>
      </c>
      <c r="D33" s="3" t="s">
        <v>61</v>
      </c>
      <c r="F33" s="8">
        <v>0.004075386826356166</v>
      </c>
      <c r="G33" s="4">
        <f t="shared" si="1"/>
        <v>1797</v>
      </c>
      <c r="H33" s="4"/>
    </row>
    <row r="34" spans="1:8" ht="12.75">
      <c r="A34" s="1" t="s">
        <v>227</v>
      </c>
      <c r="B34" s="2">
        <v>343522</v>
      </c>
      <c r="C34" s="14">
        <v>2000</v>
      </c>
      <c r="D34" s="3" t="s">
        <v>61</v>
      </c>
      <c r="F34" s="8">
        <v>0.005822016410796427</v>
      </c>
      <c r="G34" s="4">
        <f t="shared" si="1"/>
        <v>2567</v>
      </c>
      <c r="H34" s="4"/>
    </row>
    <row r="35" spans="1:9" ht="12.75">
      <c r="A35" s="10" t="s">
        <v>6</v>
      </c>
      <c r="E35" s="4">
        <f>'States at $106.17m'!C11</f>
        <v>4891934</v>
      </c>
      <c r="F35" s="8"/>
      <c r="H35" s="4">
        <f>SUM(G36:G59)</f>
        <v>39523</v>
      </c>
      <c r="I35" s="4">
        <f>E35-H35</f>
        <v>4852411</v>
      </c>
    </row>
    <row r="36" spans="1:9" ht="12.75">
      <c r="A36" s="1" t="s">
        <v>82</v>
      </c>
      <c r="B36" s="2">
        <v>1659723</v>
      </c>
      <c r="C36" s="9">
        <v>130</v>
      </c>
      <c r="D36" s="3" t="s">
        <v>61</v>
      </c>
      <c r="E36" s="4"/>
      <c r="F36" s="8">
        <v>7.832090821663247E-05</v>
      </c>
      <c r="G36" s="4">
        <f aca="true" t="shared" si="2" ref="G36:G59">ROUND(F36*$E$35,0)</f>
        <v>383</v>
      </c>
      <c r="H36" s="4"/>
      <c r="I36" s="4"/>
    </row>
    <row r="37" spans="1:9" ht="12.75">
      <c r="A37" s="65" t="s">
        <v>232</v>
      </c>
      <c r="B37" s="2">
        <v>1659723</v>
      </c>
      <c r="C37" s="9">
        <v>412</v>
      </c>
      <c r="D37" s="3" t="s">
        <v>61</v>
      </c>
      <c r="E37" s="4"/>
      <c r="F37" s="8">
        <v>0.00024823481724295154</v>
      </c>
      <c r="G37" s="4">
        <f t="shared" si="2"/>
        <v>1214</v>
      </c>
      <c r="H37" s="4"/>
      <c r="I37" s="4"/>
    </row>
    <row r="38" spans="1:8" ht="12.75">
      <c r="A38" s="1" t="s">
        <v>83</v>
      </c>
      <c r="B38" s="2">
        <v>1659723</v>
      </c>
      <c r="C38" s="14">
        <v>24</v>
      </c>
      <c r="D38" s="3" t="s">
        <v>61</v>
      </c>
      <c r="E38" s="4"/>
      <c r="F38" s="8">
        <v>1.4461467724927456E-05</v>
      </c>
      <c r="G38" s="4">
        <f t="shared" si="2"/>
        <v>71</v>
      </c>
      <c r="H38" s="4"/>
    </row>
    <row r="39" spans="1:9" ht="12.75">
      <c r="A39" s="1" t="s">
        <v>84</v>
      </c>
      <c r="B39" s="2">
        <v>1659723</v>
      </c>
      <c r="C39" s="14">
        <v>108</v>
      </c>
      <c r="D39" s="3" t="s">
        <v>61</v>
      </c>
      <c r="E39" s="4"/>
      <c r="F39" s="8">
        <v>6.507104693445452E-05</v>
      </c>
      <c r="G39" s="4">
        <f t="shared" si="2"/>
        <v>318</v>
      </c>
      <c r="H39" s="4"/>
      <c r="I39" s="4"/>
    </row>
    <row r="40" spans="1:9" ht="12.75">
      <c r="A40" s="1" t="s">
        <v>85</v>
      </c>
      <c r="B40" s="2">
        <v>1659723</v>
      </c>
      <c r="C40" s="14">
        <v>50</v>
      </c>
      <c r="D40" s="3" t="s">
        <v>61</v>
      </c>
      <c r="E40" s="4"/>
      <c r="F40" s="8">
        <v>3.0123426237166337E-05</v>
      </c>
      <c r="G40" s="4">
        <f t="shared" si="2"/>
        <v>147</v>
      </c>
      <c r="H40" s="4"/>
      <c r="I40" s="4"/>
    </row>
    <row r="41" spans="1:8" ht="12.75">
      <c r="A41" s="1" t="s">
        <v>86</v>
      </c>
      <c r="B41" s="2">
        <v>1659723</v>
      </c>
      <c r="C41" s="14">
        <v>896</v>
      </c>
      <c r="D41" s="3" t="s">
        <v>61</v>
      </c>
      <c r="E41" s="4"/>
      <c r="F41" s="8">
        <v>0.0005398540376606854</v>
      </c>
      <c r="G41" s="4">
        <f t="shared" si="2"/>
        <v>2641</v>
      </c>
      <c r="H41" s="4"/>
    </row>
    <row r="42" spans="1:8" ht="12.75">
      <c r="A42" s="1" t="s">
        <v>87</v>
      </c>
      <c r="B42" s="2">
        <v>1659723</v>
      </c>
      <c r="C42" s="14">
        <v>136</v>
      </c>
      <c r="D42" s="3" t="s">
        <v>61</v>
      </c>
      <c r="F42" s="8">
        <v>8.19446118894429E-05</v>
      </c>
      <c r="G42" s="4">
        <f t="shared" si="2"/>
        <v>401</v>
      </c>
      <c r="H42" s="4"/>
    </row>
    <row r="43" spans="1:9" ht="12.75">
      <c r="A43" s="1" t="s">
        <v>88</v>
      </c>
      <c r="B43" s="2">
        <v>1659723</v>
      </c>
      <c r="C43" s="14">
        <v>650</v>
      </c>
      <c r="D43" s="3" t="s">
        <v>61</v>
      </c>
      <c r="E43" s="4"/>
      <c r="F43" s="8">
        <v>0.0003916267723940385</v>
      </c>
      <c r="G43" s="4">
        <f t="shared" si="2"/>
        <v>1916</v>
      </c>
      <c r="H43" s="4"/>
      <c r="I43" s="4"/>
    </row>
    <row r="44" spans="1:9" ht="12.75">
      <c r="A44" s="1" t="s">
        <v>89</v>
      </c>
      <c r="B44" s="2">
        <v>1659723</v>
      </c>
      <c r="C44" s="14">
        <v>371</v>
      </c>
      <c r="D44" s="3" t="s">
        <v>61</v>
      </c>
      <c r="E44" s="4"/>
      <c r="F44" s="8">
        <v>0.00022353583085956273</v>
      </c>
      <c r="G44" s="4">
        <f t="shared" si="2"/>
        <v>1094</v>
      </c>
      <c r="H44" s="4"/>
      <c r="I44" s="4"/>
    </row>
    <row r="45" spans="1:9" ht="12.75">
      <c r="A45" s="1" t="s">
        <v>90</v>
      </c>
      <c r="B45" s="2">
        <v>1659723</v>
      </c>
      <c r="C45" s="26">
        <v>4449</v>
      </c>
      <c r="D45" s="3" t="s">
        <v>61</v>
      </c>
      <c r="E45" s="4"/>
      <c r="F45" s="8">
        <v>0.003090274483992934</v>
      </c>
      <c r="G45" s="4">
        <f t="shared" si="2"/>
        <v>15117</v>
      </c>
      <c r="H45" s="4"/>
      <c r="I45" s="4"/>
    </row>
    <row r="46" spans="1:8" ht="12.75">
      <c r="A46" s="1" t="s">
        <v>91</v>
      </c>
      <c r="B46" s="2">
        <v>1659723</v>
      </c>
      <c r="C46" s="14">
        <v>82</v>
      </c>
      <c r="D46" s="3" t="s">
        <v>63</v>
      </c>
      <c r="E46" s="4"/>
      <c r="F46" s="8">
        <v>9.999643632086656E-05</v>
      </c>
      <c r="G46" s="4">
        <f t="shared" si="2"/>
        <v>489</v>
      </c>
      <c r="H46" s="4"/>
    </row>
    <row r="47" spans="1:9" ht="12.75">
      <c r="A47" s="1" t="s">
        <v>92</v>
      </c>
      <c r="B47" s="2">
        <v>1659723</v>
      </c>
      <c r="C47" s="14">
        <v>779</v>
      </c>
      <c r="D47" s="3" t="s">
        <v>61</v>
      </c>
      <c r="E47" s="4"/>
      <c r="F47" s="8">
        <v>0.00046935855087245335</v>
      </c>
      <c r="G47" s="4">
        <f t="shared" si="2"/>
        <v>2296</v>
      </c>
      <c r="H47" s="4"/>
      <c r="I47" s="4"/>
    </row>
    <row r="48" spans="1:9" ht="12.75">
      <c r="A48" s="1" t="s">
        <v>93</v>
      </c>
      <c r="B48" s="2">
        <v>1659723</v>
      </c>
      <c r="C48" s="14">
        <v>78</v>
      </c>
      <c r="D48" s="3" t="s">
        <v>61</v>
      </c>
      <c r="E48" s="4"/>
      <c r="F48" s="8">
        <v>4.6996991192154716E-05</v>
      </c>
      <c r="G48" s="4">
        <f t="shared" si="2"/>
        <v>230</v>
      </c>
      <c r="H48" s="4"/>
      <c r="I48" s="4"/>
    </row>
    <row r="49" spans="1:8" ht="12.75">
      <c r="A49" s="1" t="s">
        <v>94</v>
      </c>
      <c r="B49" s="2">
        <v>1659723</v>
      </c>
      <c r="C49" s="14">
        <v>375</v>
      </c>
      <c r="D49" s="3" t="s">
        <v>61</v>
      </c>
      <c r="E49" s="4"/>
      <c r="F49" s="8">
        <v>0.0002259368124341856</v>
      </c>
      <c r="G49" s="4">
        <f t="shared" si="2"/>
        <v>1105</v>
      </c>
      <c r="H49" s="4"/>
    </row>
    <row r="50" spans="1:8" ht="12.75">
      <c r="A50" s="1" t="s">
        <v>95</v>
      </c>
      <c r="B50" s="2">
        <v>1659723</v>
      </c>
      <c r="C50" s="14">
        <v>962</v>
      </c>
      <c r="D50" s="3" t="s">
        <v>61</v>
      </c>
      <c r="E50" s="4"/>
      <c r="F50" s="8">
        <v>0.0005796147371626574</v>
      </c>
      <c r="G50" s="4">
        <f t="shared" si="2"/>
        <v>2835</v>
      </c>
      <c r="H50" s="4"/>
    </row>
    <row r="51" spans="1:8" ht="12.75">
      <c r="A51" s="1" t="s">
        <v>96</v>
      </c>
      <c r="B51" s="2">
        <v>1659723</v>
      </c>
      <c r="C51" s="14">
        <v>44</v>
      </c>
      <c r="D51" s="3" t="s">
        <v>61</v>
      </c>
      <c r="E51" s="4"/>
      <c r="F51" s="8">
        <v>2.651083821979399E-05</v>
      </c>
      <c r="G51" s="4">
        <f t="shared" si="2"/>
        <v>130</v>
      </c>
      <c r="H51" s="4"/>
    </row>
    <row r="52" spans="1:9" ht="12.75">
      <c r="A52" s="1" t="s">
        <v>97</v>
      </c>
      <c r="B52" s="2">
        <v>1659723</v>
      </c>
      <c r="C52" s="14">
        <v>894</v>
      </c>
      <c r="D52" s="3" t="s">
        <v>61</v>
      </c>
      <c r="E52" s="4"/>
      <c r="F52" s="8">
        <v>0.0005386424312179359</v>
      </c>
      <c r="G52" s="4">
        <f t="shared" si="2"/>
        <v>2635</v>
      </c>
      <c r="H52" s="4"/>
      <c r="I52" s="4"/>
    </row>
    <row r="53" spans="1:9" ht="12.75">
      <c r="A53" s="1" t="s">
        <v>98</v>
      </c>
      <c r="B53" s="2">
        <v>1659723</v>
      </c>
      <c r="C53" s="14">
        <v>575</v>
      </c>
      <c r="D53" s="3" t="s">
        <v>61</v>
      </c>
      <c r="E53" s="4"/>
      <c r="F53" s="8">
        <v>0.000346441633038289</v>
      </c>
      <c r="G53" s="4">
        <f t="shared" si="2"/>
        <v>1695</v>
      </c>
      <c r="H53" s="4"/>
      <c r="I53" s="4"/>
    </row>
    <row r="54" spans="1:9" ht="12.75">
      <c r="A54" s="1" t="s">
        <v>100</v>
      </c>
      <c r="B54" s="2">
        <v>1659723</v>
      </c>
      <c r="C54" s="14">
        <v>146</v>
      </c>
      <c r="D54" s="3" t="s">
        <v>61</v>
      </c>
      <c r="E54" s="4"/>
      <c r="F54" s="8">
        <v>8.796929713687616E-05</v>
      </c>
      <c r="G54" s="4">
        <f t="shared" si="2"/>
        <v>430</v>
      </c>
      <c r="H54" s="4"/>
      <c r="I54" s="4"/>
    </row>
    <row r="55" spans="1:8" ht="12.75">
      <c r="A55" s="9" t="s">
        <v>218</v>
      </c>
      <c r="B55" s="2">
        <v>1659723</v>
      </c>
      <c r="C55" s="15">
        <v>66</v>
      </c>
      <c r="D55" s="3" t="s">
        <v>61</v>
      </c>
      <c r="F55" s="8">
        <v>3.976069950197195E-05</v>
      </c>
      <c r="G55" s="4">
        <f t="shared" si="2"/>
        <v>195</v>
      </c>
      <c r="H55" s="4"/>
    </row>
    <row r="56" spans="1:8" ht="12.75">
      <c r="A56" s="1" t="s">
        <v>99</v>
      </c>
      <c r="B56" s="2">
        <v>1659723</v>
      </c>
      <c r="C56" s="14">
        <v>66</v>
      </c>
      <c r="D56" s="3" t="s">
        <v>61</v>
      </c>
      <c r="E56" s="4"/>
      <c r="F56" s="8">
        <v>3.976069950197195E-05</v>
      </c>
      <c r="G56" s="4">
        <f t="shared" si="2"/>
        <v>195</v>
      </c>
      <c r="H56" s="4"/>
    </row>
    <row r="57" spans="1:8" ht="12.75">
      <c r="A57" s="1" t="s">
        <v>101</v>
      </c>
      <c r="B57" s="2">
        <v>1659723</v>
      </c>
      <c r="C57" s="14">
        <v>101</v>
      </c>
      <c r="D57" s="3" t="s">
        <v>61</v>
      </c>
      <c r="E57" s="4"/>
      <c r="F57" s="8">
        <v>6.085821352342646E-05</v>
      </c>
      <c r="G57" s="4">
        <f t="shared" si="2"/>
        <v>298</v>
      </c>
      <c r="H57" s="4"/>
    </row>
    <row r="58" spans="1:8" ht="12.75">
      <c r="A58" s="1" t="s">
        <v>102</v>
      </c>
      <c r="B58" s="2">
        <v>1659723</v>
      </c>
      <c r="C58" s="14">
        <v>85</v>
      </c>
      <c r="D58" s="3" t="s">
        <v>61</v>
      </c>
      <c r="E58" s="4"/>
      <c r="F58" s="8">
        <v>5.120982460318277E-05</v>
      </c>
      <c r="G58" s="4">
        <f t="shared" si="2"/>
        <v>251</v>
      </c>
      <c r="H58" s="4"/>
    </row>
    <row r="59" spans="1:8" ht="12.75">
      <c r="A59" s="1" t="s">
        <v>103</v>
      </c>
      <c r="B59" s="2">
        <v>1659723</v>
      </c>
      <c r="C59" s="14">
        <v>1166</v>
      </c>
      <c r="D59" s="3" t="s">
        <v>61</v>
      </c>
      <c r="E59" s="4"/>
      <c r="F59" s="8">
        <v>0.0007025316549968217</v>
      </c>
      <c r="G59" s="4">
        <f t="shared" si="2"/>
        <v>3437</v>
      </c>
      <c r="H59" s="4"/>
    </row>
    <row r="60" spans="1:9" ht="12.75">
      <c r="A60" s="10" t="s">
        <v>10</v>
      </c>
      <c r="E60" s="4">
        <f>'States at $106.17m'!C16</f>
        <v>1442856</v>
      </c>
      <c r="F60" s="8"/>
      <c r="H60" s="4">
        <f>G61</f>
        <v>370</v>
      </c>
      <c r="I60" s="4">
        <f>E60-H60</f>
        <v>1442486</v>
      </c>
    </row>
    <row r="61" spans="1:9" ht="12.75">
      <c r="A61" s="1" t="s">
        <v>105</v>
      </c>
      <c r="B61" s="2">
        <v>1205419</v>
      </c>
      <c r="C61" s="2">
        <v>309</v>
      </c>
      <c r="D61" s="3" t="s">
        <v>61</v>
      </c>
      <c r="E61" s="4"/>
      <c r="F61" s="8">
        <v>0.00025634769581410065</v>
      </c>
      <c r="G61" s="4">
        <f>ROUND(F61*$E$60,0)</f>
        <v>370</v>
      </c>
      <c r="H61" s="4"/>
      <c r="I61" s="4"/>
    </row>
    <row r="62" spans="1:9" ht="12.75">
      <c r="A62" s="10" t="s">
        <v>13</v>
      </c>
      <c r="D62" s="1" t="s">
        <v>1</v>
      </c>
      <c r="E62" s="4">
        <f>'States at $106.17m'!C19</f>
        <v>665323</v>
      </c>
      <c r="F62" s="8"/>
      <c r="H62" s="4">
        <f>SUM(G63:G65)</f>
        <v>32285</v>
      </c>
      <c r="I62" s="4">
        <f>E62-H62</f>
        <v>633038</v>
      </c>
    </row>
    <row r="63" spans="1:9" ht="12.75">
      <c r="A63" s="1" t="s">
        <v>106</v>
      </c>
      <c r="B63" s="2">
        <v>84047</v>
      </c>
      <c r="C63" s="9">
        <v>113</v>
      </c>
      <c r="D63" s="17" t="s">
        <v>63</v>
      </c>
      <c r="E63" s="4"/>
      <c r="F63" s="8">
        <v>0.003025002200588573</v>
      </c>
      <c r="G63" s="4">
        <f>ROUND(F63*$E$62,0)</f>
        <v>2013</v>
      </c>
      <c r="H63" s="4"/>
      <c r="I63" s="4"/>
    </row>
    <row r="64" spans="1:9" ht="12.75">
      <c r="A64" s="1" t="s">
        <v>107</v>
      </c>
      <c r="B64" s="2">
        <v>84047</v>
      </c>
      <c r="C64" s="2">
        <v>593</v>
      </c>
      <c r="D64" s="3" t="s">
        <v>63</v>
      </c>
      <c r="E64" s="4"/>
      <c r="F64" s="8">
        <v>0.007000037514211879</v>
      </c>
      <c r="G64" s="4">
        <f>ROUND(F64*$E$62,0)</f>
        <v>4657</v>
      </c>
      <c r="H64" s="4"/>
      <c r="I64" s="4"/>
    </row>
    <row r="65" spans="1:9" ht="12.75">
      <c r="A65" s="1" t="s">
        <v>108</v>
      </c>
      <c r="B65" s="2">
        <v>84047</v>
      </c>
      <c r="C65" s="2">
        <v>796</v>
      </c>
      <c r="D65" s="3" t="s">
        <v>63</v>
      </c>
      <c r="E65" s="4"/>
      <c r="F65" s="8">
        <v>0.03849996113723802</v>
      </c>
      <c r="G65" s="4">
        <f>ROUND(F65*$E$62,0)</f>
        <v>25615</v>
      </c>
      <c r="H65" s="4"/>
      <c r="I65" s="4"/>
    </row>
    <row r="66" spans="1:9" ht="12.75">
      <c r="A66" s="10" t="s">
        <v>15</v>
      </c>
      <c r="E66" s="4">
        <f>'States at $106.17m'!C21</f>
        <v>2788483</v>
      </c>
      <c r="F66" s="8"/>
      <c r="H66" s="4">
        <f>G67</f>
        <v>362</v>
      </c>
      <c r="I66" s="4">
        <f>E66-H66</f>
        <v>2788121</v>
      </c>
    </row>
    <row r="67" spans="1:9" ht="12.75">
      <c r="A67" s="1" t="s">
        <v>109</v>
      </c>
      <c r="B67" s="2">
        <v>434091</v>
      </c>
      <c r="C67" s="2">
        <v>0</v>
      </c>
      <c r="D67" s="3" t="s">
        <v>104</v>
      </c>
      <c r="F67" s="8">
        <v>0.0001299519006362495</v>
      </c>
      <c r="G67" s="4">
        <f>ROUND(F67*$E$66,0)</f>
        <v>362</v>
      </c>
      <c r="H67" s="4"/>
      <c r="I67" s="4"/>
    </row>
    <row r="68" spans="1:9" ht="12.75">
      <c r="A68" s="10" t="s">
        <v>17</v>
      </c>
      <c r="D68" s="1" t="s">
        <v>1</v>
      </c>
      <c r="E68" s="4">
        <f>'States at $106.17m'!C23</f>
        <v>907576</v>
      </c>
      <c r="F68" s="8"/>
      <c r="H68" s="4">
        <f>G69</f>
        <v>869</v>
      </c>
      <c r="I68" s="4">
        <f>E68-H68</f>
        <v>906707</v>
      </c>
    </row>
    <row r="69" spans="1:9" ht="12.75">
      <c r="A69" s="1" t="s">
        <v>110</v>
      </c>
      <c r="B69" s="2">
        <v>222152</v>
      </c>
      <c r="C69" s="2">
        <v>20</v>
      </c>
      <c r="D69" s="3" t="s">
        <v>104</v>
      </c>
      <c r="E69" s="4"/>
      <c r="F69" s="8">
        <v>0.0009580345516748799</v>
      </c>
      <c r="G69" s="4">
        <f>ROUND(F69*$E$68,0)</f>
        <v>869</v>
      </c>
      <c r="H69" s="4"/>
      <c r="I69" s="4"/>
    </row>
    <row r="70" spans="1:9" ht="12.75">
      <c r="A70" s="10" t="s">
        <v>20</v>
      </c>
      <c r="E70" s="4">
        <f>'States at $106.17m'!C26</f>
        <v>1441510</v>
      </c>
      <c r="F70" s="8"/>
      <c r="H70" s="4">
        <f>SUM(G71:G75)</f>
        <v>52689</v>
      </c>
      <c r="I70" s="4">
        <f>E70-H70</f>
        <v>1388821</v>
      </c>
    </row>
    <row r="71" spans="1:9" ht="12.75">
      <c r="A71" s="1" t="s">
        <v>111</v>
      </c>
      <c r="B71" s="2">
        <v>100697</v>
      </c>
      <c r="D71" s="3" t="s">
        <v>63</v>
      </c>
      <c r="F71" s="8">
        <v>0.004349982653408693</v>
      </c>
      <c r="G71" s="4">
        <f>ROUND(F71*$E$70,0)</f>
        <v>6271</v>
      </c>
      <c r="H71" s="4"/>
      <c r="I71" s="4"/>
    </row>
    <row r="72" spans="1:9" ht="12.75">
      <c r="A72" s="1" t="s">
        <v>112</v>
      </c>
      <c r="B72" s="2">
        <v>100697</v>
      </c>
      <c r="D72" s="3" t="s">
        <v>63</v>
      </c>
      <c r="E72" s="4"/>
      <c r="F72" s="8">
        <v>0.004349982653408693</v>
      </c>
      <c r="G72" s="4">
        <f>ROUND(F72*$E$70,0)</f>
        <v>6271</v>
      </c>
      <c r="H72" s="4"/>
      <c r="I72" s="4"/>
    </row>
    <row r="73" spans="1:9" ht="12.75">
      <c r="A73" s="1" t="s">
        <v>113</v>
      </c>
      <c r="B73" s="2">
        <v>100697</v>
      </c>
      <c r="C73" s="2">
        <v>83</v>
      </c>
      <c r="D73" s="3" t="s">
        <v>63</v>
      </c>
      <c r="E73" s="4"/>
      <c r="F73" s="8">
        <v>0.008299995952399157</v>
      </c>
      <c r="G73" s="4">
        <f>ROUND(F73*$E$70,0)</f>
        <v>11965</v>
      </c>
      <c r="H73" s="4"/>
      <c r="I73" s="4"/>
    </row>
    <row r="74" spans="1:9" ht="12.75">
      <c r="A74" s="1" t="s">
        <v>114</v>
      </c>
      <c r="B74" s="2">
        <v>100697</v>
      </c>
      <c r="C74" s="2">
        <v>69</v>
      </c>
      <c r="D74" s="3" t="s">
        <v>63</v>
      </c>
      <c r="E74" s="4"/>
      <c r="F74" s="8">
        <v>0.011579986081232445</v>
      </c>
      <c r="G74" s="4">
        <f>ROUND(F74*$E$70,0)</f>
        <v>16693</v>
      </c>
      <c r="H74" s="4"/>
      <c r="I74" s="4"/>
    </row>
    <row r="75" spans="1:9" ht="12.75">
      <c r="A75" s="1" t="s">
        <v>115</v>
      </c>
      <c r="B75" s="2">
        <v>100697</v>
      </c>
      <c r="C75" s="2">
        <v>95</v>
      </c>
      <c r="D75" s="3" t="s">
        <v>63</v>
      </c>
      <c r="E75" s="4"/>
      <c r="F75" s="8">
        <v>0.00797000143080615</v>
      </c>
      <c r="G75" s="4">
        <f>ROUND(F75*$E$70,0)</f>
        <v>11489</v>
      </c>
      <c r="H75" s="4"/>
      <c r="I75" s="4"/>
    </row>
    <row r="76" spans="1:9" ht="12.75">
      <c r="A76" s="10" t="s">
        <v>22</v>
      </c>
      <c r="E76" s="4">
        <f>'States at $106.17m'!C28</f>
        <v>4450937</v>
      </c>
      <c r="F76" s="8"/>
      <c r="H76" s="4">
        <f>G77</f>
        <v>1780</v>
      </c>
      <c r="I76" s="4">
        <f>E76-H76</f>
        <v>4449157</v>
      </c>
    </row>
    <row r="77" spans="1:9" ht="12.75">
      <c r="A77" s="1" t="s">
        <v>116</v>
      </c>
      <c r="B77" s="2">
        <v>531692</v>
      </c>
      <c r="C77" s="2">
        <v>127</v>
      </c>
      <c r="D77" s="3" t="s">
        <v>63</v>
      </c>
      <c r="E77" s="4"/>
      <c r="F77" s="8">
        <v>0.0003999964668465162</v>
      </c>
      <c r="G77" s="4">
        <f>ROUND(F77*$E$76,0)</f>
        <v>1780</v>
      </c>
      <c r="H77" s="4"/>
      <c r="I77" s="4"/>
    </row>
    <row r="78" spans="1:9" ht="12.75">
      <c r="A78" s="10" t="s">
        <v>23</v>
      </c>
      <c r="E78" s="4">
        <f>'States at $106.17m'!C29</f>
        <v>5847139</v>
      </c>
      <c r="F78" s="8"/>
      <c r="H78" s="4">
        <f>SUM(G79:G84)</f>
        <v>44756</v>
      </c>
      <c r="I78" s="4">
        <f>E78-H78</f>
        <v>5802383</v>
      </c>
    </row>
    <row r="79" spans="1:9" ht="12.75">
      <c r="A79" s="1" t="s">
        <v>117</v>
      </c>
      <c r="B79" s="2">
        <v>856399</v>
      </c>
      <c r="C79" s="2">
        <v>335</v>
      </c>
      <c r="D79" s="3" t="s">
        <v>61</v>
      </c>
      <c r="E79" s="4"/>
      <c r="F79" s="8">
        <v>0.00039117625844405237</v>
      </c>
      <c r="G79" s="4">
        <f aca="true" t="shared" si="3" ref="G79:G84">ROUND(F79*$E$78,0)</f>
        <v>2287</v>
      </c>
      <c r="H79" s="4"/>
      <c r="I79" s="4"/>
    </row>
    <row r="80" spans="1:8" ht="12.75">
      <c r="A80" s="1" t="s">
        <v>118</v>
      </c>
      <c r="B80" s="2">
        <v>856399</v>
      </c>
      <c r="C80" s="2">
        <v>637</v>
      </c>
      <c r="D80" s="3" t="s">
        <v>61</v>
      </c>
      <c r="E80" s="4"/>
      <c r="F80" s="8">
        <v>0.0007438142667634785</v>
      </c>
      <c r="G80" s="4">
        <f t="shared" si="3"/>
        <v>4349</v>
      </c>
      <c r="H80" s="4"/>
    </row>
    <row r="81" spans="1:8" ht="12.75">
      <c r="A81" s="1" t="s">
        <v>219</v>
      </c>
      <c r="B81" s="2">
        <v>856399</v>
      </c>
      <c r="C81" s="2">
        <v>884</v>
      </c>
      <c r="D81" s="3" t="s">
        <v>61</v>
      </c>
      <c r="E81" s="4"/>
      <c r="F81" s="8">
        <v>0.0010322280580557163</v>
      </c>
      <c r="G81" s="4">
        <f t="shared" si="3"/>
        <v>6036</v>
      </c>
      <c r="H81" s="4"/>
    </row>
    <row r="82" spans="1:8" ht="12.75">
      <c r="A82" s="1" t="s">
        <v>119</v>
      </c>
      <c r="B82" s="2">
        <v>856399</v>
      </c>
      <c r="C82" s="2">
        <v>162</v>
      </c>
      <c r="D82" s="3" t="s">
        <v>61</v>
      </c>
      <c r="E82" s="4"/>
      <c r="F82" s="8">
        <v>0.00018916663749638565</v>
      </c>
      <c r="G82" s="4">
        <f t="shared" si="3"/>
        <v>1106</v>
      </c>
      <c r="H82" s="4"/>
    </row>
    <row r="83" spans="1:8" ht="12.75">
      <c r="A83" s="1" t="s">
        <v>120</v>
      </c>
      <c r="B83" s="2">
        <v>856399</v>
      </c>
      <c r="C83" s="2">
        <v>555</v>
      </c>
      <c r="D83" s="3" t="s">
        <v>61</v>
      </c>
      <c r="E83" s="4"/>
      <c r="F83" s="8">
        <v>0.000648063826782023</v>
      </c>
      <c r="G83" s="4">
        <f t="shared" si="3"/>
        <v>3789</v>
      </c>
      <c r="H83" s="4"/>
    </row>
    <row r="84" spans="1:9" ht="12.75">
      <c r="A84" s="1" t="s">
        <v>121</v>
      </c>
      <c r="B84" s="2">
        <v>856399</v>
      </c>
      <c r="C84" s="2">
        <v>1744</v>
      </c>
      <c r="D84" s="3" t="s">
        <v>104</v>
      </c>
      <c r="E84" s="4"/>
      <c r="F84" s="8">
        <v>0.004649885391484825</v>
      </c>
      <c r="G84" s="4">
        <f t="shared" si="3"/>
        <v>27189</v>
      </c>
      <c r="H84" s="4"/>
      <c r="I84" s="4"/>
    </row>
    <row r="85" spans="1:9" ht="12.75">
      <c r="A85" s="10" t="s">
        <v>25</v>
      </c>
      <c r="E85" s="4">
        <f>'States at $106.17m'!C31</f>
        <v>781790</v>
      </c>
      <c r="F85" s="8"/>
      <c r="H85" s="4">
        <f>G86</f>
        <v>1482</v>
      </c>
      <c r="I85" s="4">
        <f>E85-H85</f>
        <v>780308</v>
      </c>
    </row>
    <row r="86" spans="1:9" ht="12.75">
      <c r="A86" s="1" t="s">
        <v>122</v>
      </c>
      <c r="B86" s="2">
        <v>319230</v>
      </c>
      <c r="C86" s="2">
        <v>605</v>
      </c>
      <c r="D86" s="3" t="s">
        <v>67</v>
      </c>
      <c r="E86" s="4"/>
      <c r="F86" s="8">
        <v>0.0018951538328368179</v>
      </c>
      <c r="G86" s="4">
        <f>ROUND(F86*$E$85,0)</f>
        <v>1482</v>
      </c>
      <c r="H86" s="4"/>
      <c r="I86" s="4"/>
    </row>
    <row r="87" spans="1:9" ht="12.75">
      <c r="A87" s="10" t="s">
        <v>27</v>
      </c>
      <c r="E87" s="4">
        <f>'States at $106.17m'!C33</f>
        <v>780382</v>
      </c>
      <c r="F87" s="8"/>
      <c r="H87" s="4">
        <f>SUM(G88:G93)</f>
        <v>136415</v>
      </c>
      <c r="I87" s="4">
        <f>E87-H87</f>
        <v>643967</v>
      </c>
    </row>
    <row r="88" spans="1:9" ht="12.75">
      <c r="A88" s="1" t="s">
        <v>123</v>
      </c>
      <c r="C88" s="9">
        <v>928</v>
      </c>
      <c r="D88" s="3" t="s">
        <v>63</v>
      </c>
      <c r="E88" s="4"/>
      <c r="F88" s="8">
        <v>0.03899896755019387</v>
      </c>
      <c r="G88" s="4">
        <f aca="true" t="shared" si="4" ref="G88:G93">ROUND(F88*$E$87,0)</f>
        <v>30434</v>
      </c>
      <c r="H88" s="4"/>
      <c r="I88" s="18"/>
    </row>
    <row r="89" spans="1:8" ht="12.75">
      <c r="A89" s="1" t="s">
        <v>124</v>
      </c>
      <c r="C89" s="9">
        <v>1135</v>
      </c>
      <c r="D89" s="3" t="s">
        <v>63</v>
      </c>
      <c r="E89" s="4"/>
      <c r="F89" s="8">
        <v>0.04452097485503581</v>
      </c>
      <c r="G89" s="4">
        <f t="shared" si="4"/>
        <v>34743</v>
      </c>
      <c r="H89" s="4"/>
    </row>
    <row r="90" spans="1:8" ht="12.75">
      <c r="A90" s="1" t="s">
        <v>125</v>
      </c>
      <c r="C90" s="9">
        <v>246</v>
      </c>
      <c r="D90" s="3" t="s">
        <v>63</v>
      </c>
      <c r="E90" s="4"/>
      <c r="F90" s="8">
        <v>0.011389976227245708</v>
      </c>
      <c r="G90" s="4">
        <f t="shared" si="4"/>
        <v>8889</v>
      </c>
      <c r="H90" s="4"/>
    </row>
    <row r="91" spans="1:8" ht="12.75">
      <c r="A91" s="1" t="s">
        <v>126</v>
      </c>
      <c r="C91" s="9">
        <v>871</v>
      </c>
      <c r="D91" s="3" t="s">
        <v>63</v>
      </c>
      <c r="E91" s="4"/>
      <c r="F91" s="8">
        <v>0.043657987013444005</v>
      </c>
      <c r="G91" s="4">
        <f t="shared" si="4"/>
        <v>34070</v>
      </c>
      <c r="H91" s="4"/>
    </row>
    <row r="92" spans="1:8" ht="12.75">
      <c r="A92" s="1" t="s">
        <v>127</v>
      </c>
      <c r="C92" s="9">
        <v>381</v>
      </c>
      <c r="D92" s="3" t="s">
        <v>63</v>
      </c>
      <c r="E92" s="4"/>
      <c r="F92" s="8">
        <v>0.015703034072934004</v>
      </c>
      <c r="G92" s="4">
        <f t="shared" si="4"/>
        <v>12254</v>
      </c>
      <c r="H92" s="4"/>
    </row>
    <row r="93" spans="1:8" ht="12.75">
      <c r="A93" s="1" t="s">
        <v>128</v>
      </c>
      <c r="C93" s="9">
        <v>536</v>
      </c>
      <c r="D93" s="3" t="s">
        <v>63</v>
      </c>
      <c r="E93" s="4"/>
      <c r="F93" s="8">
        <v>0.020534999504923</v>
      </c>
      <c r="G93" s="4">
        <f t="shared" si="4"/>
        <v>16025</v>
      </c>
      <c r="H93" s="4"/>
    </row>
    <row r="94" spans="1:9" ht="12.75">
      <c r="A94" s="10" t="s">
        <v>28</v>
      </c>
      <c r="D94" s="3"/>
      <c r="E94" s="4">
        <f>'States at $106.17m'!C34</f>
        <v>977324</v>
      </c>
      <c r="F94" s="8"/>
      <c r="G94" s="4"/>
      <c r="H94" s="16">
        <f>G95</f>
        <v>544</v>
      </c>
      <c r="I94" s="4">
        <f>E94-H94</f>
        <v>976780</v>
      </c>
    </row>
    <row r="95" spans="1:8" ht="12.75">
      <c r="A95" s="1" t="s">
        <v>129</v>
      </c>
      <c r="B95" s="9">
        <v>136572</v>
      </c>
      <c r="D95" s="3" t="s">
        <v>104</v>
      </c>
      <c r="E95" s="4"/>
      <c r="F95" s="8">
        <v>0.0005563870450840423</v>
      </c>
      <c r="G95" s="4">
        <f>ROUND(F95*$E$94,0)</f>
        <v>544</v>
      </c>
      <c r="H95" s="4"/>
    </row>
    <row r="96" spans="1:9" ht="12.75">
      <c r="A96" s="10" t="s">
        <v>31</v>
      </c>
      <c r="E96" s="4">
        <f>'States at $106.17m'!C37</f>
        <v>4132003</v>
      </c>
      <c r="F96" s="8"/>
      <c r="H96" s="4">
        <f>G97</f>
        <v>10331</v>
      </c>
      <c r="I96" s="4">
        <f>E96-H96</f>
        <v>4121672</v>
      </c>
    </row>
    <row r="97" spans="1:9" ht="12.75">
      <c r="A97" s="1" t="s">
        <v>130</v>
      </c>
      <c r="B97" s="2">
        <v>602367</v>
      </c>
      <c r="C97" s="2">
        <v>1506</v>
      </c>
      <c r="D97" s="3" t="s">
        <v>67</v>
      </c>
      <c r="E97" s="4"/>
      <c r="F97" s="8">
        <v>0.00250013202744797</v>
      </c>
      <c r="G97" s="4">
        <f>ROUND(F97*$E$96,0)</f>
        <v>10331</v>
      </c>
      <c r="H97" s="4"/>
      <c r="I97" s="4"/>
    </row>
    <row r="98" spans="1:9" ht="12.75">
      <c r="A98" s="10" t="s">
        <v>32</v>
      </c>
      <c r="E98" s="4">
        <f>'States at $106.17m'!C38</f>
        <v>552092</v>
      </c>
      <c r="F98" s="8"/>
      <c r="H98" s="4">
        <f>SUM(G99:G104)</f>
        <v>43222</v>
      </c>
      <c r="I98" s="4">
        <f>E98-H98</f>
        <v>508870</v>
      </c>
    </row>
    <row r="99" spans="1:9" ht="12.75">
      <c r="A99" s="1" t="s">
        <v>131</v>
      </c>
      <c r="B99" s="2">
        <v>154990</v>
      </c>
      <c r="C99" s="2">
        <v>262</v>
      </c>
      <c r="D99" s="3" t="s">
        <v>67</v>
      </c>
      <c r="E99" s="4"/>
      <c r="F99" s="8">
        <v>0.0016904299974057025</v>
      </c>
      <c r="G99" s="4">
        <f aca="true" t="shared" si="5" ref="G99:G104">ROUND(F99*$E$98,0)</f>
        <v>933</v>
      </c>
      <c r="H99" s="4"/>
      <c r="I99" s="4"/>
    </row>
    <row r="100" spans="1:9" ht="12.75">
      <c r="A100" s="1" t="s">
        <v>132</v>
      </c>
      <c r="B100" s="2">
        <v>154990</v>
      </c>
      <c r="C100" s="2">
        <v>261</v>
      </c>
      <c r="D100" s="3" t="s">
        <v>67</v>
      </c>
      <c r="E100" s="4"/>
      <c r="F100" s="8">
        <v>0.001684027972711222</v>
      </c>
      <c r="G100" s="4">
        <f t="shared" si="5"/>
        <v>930</v>
      </c>
      <c r="H100" s="4"/>
      <c r="I100" s="4"/>
    </row>
    <row r="101" spans="1:9" ht="12.75">
      <c r="A101" s="1" t="s">
        <v>133</v>
      </c>
      <c r="B101" s="2">
        <v>154990</v>
      </c>
      <c r="C101" s="2">
        <v>9939</v>
      </c>
      <c r="D101" s="3" t="s">
        <v>67</v>
      </c>
      <c r="E101" s="4"/>
      <c r="F101" s="8">
        <v>0.06412671754010967</v>
      </c>
      <c r="G101" s="4">
        <f t="shared" si="5"/>
        <v>35404</v>
      </c>
      <c r="H101" s="4"/>
      <c r="I101" s="4"/>
    </row>
    <row r="102" spans="1:9" ht="12.75">
      <c r="A102" s="1" t="s">
        <v>220</v>
      </c>
      <c r="B102" s="2">
        <v>154990</v>
      </c>
      <c r="C102" s="2">
        <v>200</v>
      </c>
      <c r="D102" s="3" t="s">
        <v>67</v>
      </c>
      <c r="E102" s="4"/>
      <c r="F102" s="8">
        <v>0.0012904511930320758</v>
      </c>
      <c r="G102" s="4">
        <f t="shared" si="5"/>
        <v>712</v>
      </c>
      <c r="H102" s="4"/>
      <c r="I102" s="4"/>
    </row>
    <row r="103" spans="1:9" ht="12.75">
      <c r="A103" s="1" t="s">
        <v>224</v>
      </c>
      <c r="B103" s="2">
        <v>154990</v>
      </c>
      <c r="C103" s="2">
        <v>520</v>
      </c>
      <c r="D103" s="3" t="s">
        <v>67</v>
      </c>
      <c r="E103" s="4"/>
      <c r="F103" s="8">
        <v>0.003355054910658268</v>
      </c>
      <c r="G103" s="4">
        <f t="shared" si="5"/>
        <v>1852</v>
      </c>
      <c r="H103" s="4"/>
      <c r="I103" s="4"/>
    </row>
    <row r="104" spans="1:9" ht="12.75">
      <c r="A104" s="1" t="s">
        <v>134</v>
      </c>
      <c r="B104" s="2">
        <v>154990</v>
      </c>
      <c r="C104" s="2">
        <v>952</v>
      </c>
      <c r="D104" s="3" t="s">
        <v>67</v>
      </c>
      <c r="E104" s="4"/>
      <c r="F104" s="8">
        <v>0.00614229947725991</v>
      </c>
      <c r="G104" s="4">
        <f t="shared" si="5"/>
        <v>3391</v>
      </c>
      <c r="H104" s="4"/>
      <c r="I104" s="4"/>
    </row>
    <row r="105" spans="1:9" ht="12.75">
      <c r="A105" s="10" t="s">
        <v>33</v>
      </c>
      <c r="E105" s="4">
        <f>'States at $106.17m'!C39</f>
        <v>13491614</v>
      </c>
      <c r="F105" s="8"/>
      <c r="H105" s="4">
        <f>SUM(G106:G107)</f>
        <v>21978</v>
      </c>
      <c r="I105" s="4">
        <f>E105-H105</f>
        <v>13469636</v>
      </c>
    </row>
    <row r="106" spans="1:9" ht="12.75">
      <c r="A106" s="1" t="s">
        <v>135</v>
      </c>
      <c r="B106" s="2">
        <v>1622237</v>
      </c>
      <c r="C106" s="2">
        <v>547</v>
      </c>
      <c r="D106" s="3" t="s">
        <v>61</v>
      </c>
      <c r="E106" s="4"/>
      <c r="F106" s="8">
        <v>0.0008121605495911926</v>
      </c>
      <c r="G106" s="4">
        <f>ROUND(F106*$E$105,0)</f>
        <v>10957</v>
      </c>
      <c r="H106" s="4"/>
      <c r="I106" s="4"/>
    </row>
    <row r="107" spans="1:9" ht="12.75">
      <c r="A107" s="1" t="s">
        <v>136</v>
      </c>
      <c r="B107" s="2">
        <v>1622237</v>
      </c>
      <c r="C107" s="2">
        <v>317</v>
      </c>
      <c r="D107" s="3" t="s">
        <v>61</v>
      </c>
      <c r="E107" s="4"/>
      <c r="F107" s="8">
        <v>0.0008168922784404139</v>
      </c>
      <c r="G107" s="4">
        <f>ROUND(F107*$E$105,0)</f>
        <v>11021</v>
      </c>
      <c r="H107" s="4"/>
      <c r="I107" s="4"/>
    </row>
    <row r="108" spans="1:9" ht="12.75">
      <c r="A108" s="10" t="s">
        <v>34</v>
      </c>
      <c r="E108" s="4">
        <f>'States at $106.17m'!C40</f>
        <v>2010660</v>
      </c>
      <c r="F108" s="8"/>
      <c r="H108" s="4">
        <f>G109</f>
        <v>35758</v>
      </c>
      <c r="I108" s="4">
        <f>E108-H108</f>
        <v>1974902</v>
      </c>
    </row>
    <row r="109" spans="1:9" ht="12.75">
      <c r="A109" s="1" t="s">
        <v>137</v>
      </c>
      <c r="B109" s="2">
        <v>618221</v>
      </c>
      <c r="C109" s="2">
        <v>6441</v>
      </c>
      <c r="D109" s="3" t="s">
        <v>63</v>
      </c>
      <c r="E109" s="4"/>
      <c r="F109" s="8">
        <v>0.01778430364695097</v>
      </c>
      <c r="G109" s="4">
        <f>ROUND(F109*$E$108,0)</f>
        <v>35758</v>
      </c>
      <c r="H109" s="4"/>
      <c r="I109" s="4"/>
    </row>
    <row r="110" spans="1:9" ht="12.75">
      <c r="A110" s="10" t="s">
        <v>35</v>
      </c>
      <c r="D110" s="1" t="s">
        <v>1</v>
      </c>
      <c r="E110" s="4">
        <f>'States at $106.17m'!C41</f>
        <v>847730</v>
      </c>
      <c r="F110" s="8"/>
      <c r="H110" s="4">
        <f>SUM(G111:G114)</f>
        <v>154288</v>
      </c>
      <c r="I110" s="4">
        <f>E110-H110</f>
        <v>693442</v>
      </c>
    </row>
    <row r="111" spans="1:9" ht="12.75">
      <c r="A111" s="1" t="s">
        <v>138</v>
      </c>
      <c r="D111" s="3" t="s">
        <v>63</v>
      </c>
      <c r="E111" s="4"/>
      <c r="F111" s="8">
        <v>0.04019998387413047</v>
      </c>
      <c r="G111" s="4">
        <f>ROUND(F111*$E$110,0)</f>
        <v>34079</v>
      </c>
      <c r="H111" s="4"/>
      <c r="I111" s="4"/>
    </row>
    <row r="112" spans="1:9" ht="12.75">
      <c r="A112" s="1" t="s">
        <v>139</v>
      </c>
      <c r="D112" s="3" t="s">
        <v>63</v>
      </c>
      <c r="E112" s="4"/>
      <c r="F112" s="8">
        <v>0.031400031443521256</v>
      </c>
      <c r="G112" s="4">
        <f>ROUND(F112*$E$110,0)</f>
        <v>26619</v>
      </c>
      <c r="H112" s="4"/>
      <c r="I112" s="4"/>
    </row>
    <row r="113" spans="1:9" ht="12.75">
      <c r="A113" s="1" t="s">
        <v>140</v>
      </c>
      <c r="D113" s="3" t="s">
        <v>63</v>
      </c>
      <c r="E113" s="4"/>
      <c r="F113" s="8">
        <v>0.030100019519101427</v>
      </c>
      <c r="G113" s="4">
        <f>ROUND(F113*$E$110,0)</f>
        <v>25517</v>
      </c>
      <c r="H113" s="4"/>
      <c r="I113" s="4"/>
    </row>
    <row r="114" spans="1:9" ht="12.75">
      <c r="A114" s="1" t="s">
        <v>141</v>
      </c>
      <c r="D114" s="3" t="s">
        <v>63</v>
      </c>
      <c r="E114" s="4"/>
      <c r="F114" s="8">
        <v>0.08030003097526808</v>
      </c>
      <c r="G114" s="4">
        <f>ROUND(F114*$E$110,0)</f>
        <v>68073</v>
      </c>
      <c r="H114" s="4"/>
      <c r="I114" s="4"/>
    </row>
    <row r="115" spans="1:9" ht="12.75">
      <c r="A115" s="10" t="s">
        <v>37</v>
      </c>
      <c r="E115" s="4">
        <f>'States at $106.17m'!C43</f>
        <v>838199</v>
      </c>
      <c r="F115" s="8"/>
      <c r="H115" s="4">
        <f>SUM(G116:G146)</f>
        <v>76708</v>
      </c>
      <c r="I115" s="4">
        <f>E115-H115</f>
        <v>761491</v>
      </c>
    </row>
    <row r="116" spans="1:9" ht="12.75">
      <c r="A116" s="1" t="s">
        <v>142</v>
      </c>
      <c r="B116" s="2">
        <v>334782</v>
      </c>
      <c r="C116" s="2">
        <v>195</v>
      </c>
      <c r="D116" s="17" t="s">
        <v>61</v>
      </c>
      <c r="E116" s="4"/>
      <c r="F116" s="8">
        <v>0.0005825009551030529</v>
      </c>
      <c r="G116" s="4">
        <f aca="true" t="shared" si="6" ref="G116:G146">ROUND(F116*$E$115,0)</f>
        <v>488</v>
      </c>
      <c r="H116" s="4"/>
      <c r="I116" s="4"/>
    </row>
    <row r="117" spans="1:9" ht="12.75">
      <c r="A117" s="1" t="s">
        <v>143</v>
      </c>
      <c r="B117" s="2">
        <v>334782</v>
      </c>
      <c r="C117" s="2">
        <v>125</v>
      </c>
      <c r="D117" s="17" t="s">
        <v>61</v>
      </c>
      <c r="E117" s="4"/>
      <c r="F117" s="8">
        <v>0.00037334814529658863</v>
      </c>
      <c r="G117" s="4">
        <f t="shared" si="6"/>
        <v>313</v>
      </c>
      <c r="H117" s="4"/>
      <c r="I117" s="4"/>
    </row>
    <row r="118" spans="1:9" ht="12.75">
      <c r="A118" s="1" t="s">
        <v>144</v>
      </c>
      <c r="B118" s="2">
        <v>334782</v>
      </c>
      <c r="C118" s="2">
        <v>168</v>
      </c>
      <c r="D118" s="17" t="s">
        <v>61</v>
      </c>
      <c r="E118" s="4"/>
      <c r="F118" s="8">
        <v>0.0005017980719147025</v>
      </c>
      <c r="G118" s="4">
        <f t="shared" si="6"/>
        <v>421</v>
      </c>
      <c r="H118" s="4"/>
      <c r="I118" s="4"/>
    </row>
    <row r="119" spans="1:9" ht="12.75">
      <c r="A119" s="1" t="s">
        <v>145</v>
      </c>
      <c r="B119" s="2">
        <v>334782</v>
      </c>
      <c r="C119" s="2">
        <v>196</v>
      </c>
      <c r="D119" s="17" t="s">
        <v>61</v>
      </c>
      <c r="E119" s="4"/>
      <c r="F119" s="8">
        <v>0.0005854851453174131</v>
      </c>
      <c r="G119" s="4">
        <f t="shared" si="6"/>
        <v>491</v>
      </c>
      <c r="H119" s="4"/>
      <c r="I119" s="4"/>
    </row>
    <row r="120" spans="1:9" ht="12.75">
      <c r="A120" s="1" t="s">
        <v>146</v>
      </c>
      <c r="B120" s="2">
        <v>334782</v>
      </c>
      <c r="C120" s="2">
        <v>12117</v>
      </c>
      <c r="D120" s="17" t="s">
        <v>61</v>
      </c>
      <c r="E120" s="4"/>
      <c r="F120" s="8">
        <v>0.036193686141167636</v>
      </c>
      <c r="G120" s="4">
        <f t="shared" si="6"/>
        <v>30338</v>
      </c>
      <c r="H120" s="4"/>
      <c r="I120" s="19" t="s">
        <v>1</v>
      </c>
    </row>
    <row r="121" spans="1:9" ht="12.75">
      <c r="A121" s="1" t="s">
        <v>147</v>
      </c>
      <c r="B121" s="2">
        <v>334782</v>
      </c>
      <c r="C121" s="2">
        <v>635</v>
      </c>
      <c r="D121" s="17" t="s">
        <v>61</v>
      </c>
      <c r="E121" s="4"/>
      <c r="F121" s="8">
        <v>0.0018967772497274818</v>
      </c>
      <c r="G121" s="4">
        <f t="shared" si="6"/>
        <v>1590</v>
      </c>
      <c r="H121" s="4"/>
      <c r="I121" s="4"/>
    </row>
    <row r="122" spans="1:9" ht="12.75">
      <c r="A122" s="1" t="s">
        <v>148</v>
      </c>
      <c r="B122" s="2">
        <v>334782</v>
      </c>
      <c r="C122" s="2">
        <v>1377</v>
      </c>
      <c r="D122" s="3" t="s">
        <v>63</v>
      </c>
      <c r="E122" s="4"/>
      <c r="F122" s="8">
        <v>0.004872728504148056</v>
      </c>
      <c r="G122" s="4">
        <f t="shared" si="6"/>
        <v>4084</v>
      </c>
      <c r="H122" s="4"/>
      <c r="I122" s="4"/>
    </row>
    <row r="123" spans="1:9" ht="12.75">
      <c r="A123" s="1" t="s">
        <v>149</v>
      </c>
      <c r="B123" s="2">
        <v>334782</v>
      </c>
      <c r="C123" s="2">
        <v>4412</v>
      </c>
      <c r="D123" s="3" t="s">
        <v>63</v>
      </c>
      <c r="E123" s="4"/>
      <c r="F123" s="8">
        <v>0.013680046932229753</v>
      </c>
      <c r="G123" s="4">
        <f t="shared" si="6"/>
        <v>11467</v>
      </c>
      <c r="H123" s="4"/>
      <c r="I123" s="19" t="s">
        <v>1</v>
      </c>
    </row>
    <row r="124" spans="1:9" ht="12.75">
      <c r="A124" s="1" t="s">
        <v>150</v>
      </c>
      <c r="B124" s="2">
        <v>334782</v>
      </c>
      <c r="C124" s="2">
        <v>256</v>
      </c>
      <c r="D124" s="17" t="s">
        <v>61</v>
      </c>
      <c r="E124" s="4"/>
      <c r="F124" s="8">
        <v>0.0007646663055796508</v>
      </c>
      <c r="G124" s="4">
        <f t="shared" si="6"/>
        <v>641</v>
      </c>
      <c r="H124" s="4"/>
      <c r="I124" s="4"/>
    </row>
    <row r="125" spans="1:9" ht="12.75">
      <c r="A125" s="1" t="s">
        <v>151</v>
      </c>
      <c r="B125" s="2">
        <v>334782</v>
      </c>
      <c r="C125" s="2">
        <v>696</v>
      </c>
      <c r="D125" s="3" t="s">
        <v>63</v>
      </c>
      <c r="E125" s="4"/>
      <c r="F125" s="8">
        <v>0.002184297489511058</v>
      </c>
      <c r="G125" s="4">
        <f t="shared" si="6"/>
        <v>1831</v>
      </c>
      <c r="H125" s="4"/>
      <c r="I125" s="4"/>
    </row>
    <row r="126" spans="1:9" ht="12.75">
      <c r="A126" s="1" t="s">
        <v>152</v>
      </c>
      <c r="B126" s="2">
        <v>334782</v>
      </c>
      <c r="C126" s="2"/>
      <c r="D126" s="3" t="s">
        <v>104</v>
      </c>
      <c r="E126" s="4"/>
      <c r="F126" s="8">
        <v>0.0002594948012487149</v>
      </c>
      <c r="G126" s="4">
        <f t="shared" si="6"/>
        <v>218</v>
      </c>
      <c r="H126" s="4"/>
      <c r="I126" s="4"/>
    </row>
    <row r="127" spans="1:9" ht="12.75">
      <c r="A127" s="1" t="s">
        <v>153</v>
      </c>
      <c r="B127" s="2">
        <v>334782</v>
      </c>
      <c r="C127" s="2"/>
      <c r="D127" s="3" t="s">
        <v>104</v>
      </c>
      <c r="E127" s="4"/>
      <c r="F127" s="8">
        <v>0.0002594948012487149</v>
      </c>
      <c r="G127" s="4">
        <f t="shared" si="6"/>
        <v>218</v>
      </c>
      <c r="H127" s="4"/>
      <c r="I127" s="4"/>
    </row>
    <row r="128" spans="1:8" ht="12.75">
      <c r="A128" s="1" t="s">
        <v>154</v>
      </c>
      <c r="B128" s="2">
        <v>334782</v>
      </c>
      <c r="C128" s="2">
        <v>170</v>
      </c>
      <c r="D128" s="17" t="s">
        <v>61</v>
      </c>
      <c r="F128" s="8">
        <v>0.0005077664523434229</v>
      </c>
      <c r="G128" s="4">
        <f t="shared" si="6"/>
        <v>426</v>
      </c>
      <c r="H128" s="4"/>
    </row>
    <row r="129" spans="1:8" ht="12.75">
      <c r="A129" s="1" t="s">
        <v>225</v>
      </c>
      <c r="B129" s="2">
        <v>334782</v>
      </c>
      <c r="C129" s="2">
        <v>612</v>
      </c>
      <c r="D129" s="17" t="s">
        <v>61</v>
      </c>
      <c r="F129" s="8">
        <v>0.0018280760010968846</v>
      </c>
      <c r="G129" s="4">
        <f t="shared" si="6"/>
        <v>1532</v>
      </c>
      <c r="H129" s="4"/>
    </row>
    <row r="130" spans="1:9" ht="12.75">
      <c r="A130" s="1" t="s">
        <v>155</v>
      </c>
      <c r="B130" s="2">
        <v>334782</v>
      </c>
      <c r="C130" s="2">
        <v>100</v>
      </c>
      <c r="D130" s="17" t="s">
        <v>61</v>
      </c>
      <c r="E130" s="4"/>
      <c r="F130" s="8">
        <v>0.0002986785162372709</v>
      </c>
      <c r="G130" s="4">
        <f t="shared" si="6"/>
        <v>250</v>
      </c>
      <c r="H130" s="4"/>
      <c r="I130" s="4"/>
    </row>
    <row r="131" spans="1:8" ht="12.75">
      <c r="A131" s="1" t="s">
        <v>156</v>
      </c>
      <c r="B131" s="2">
        <v>334782</v>
      </c>
      <c r="C131" s="1" t="s">
        <v>1</v>
      </c>
      <c r="D131" s="17" t="s">
        <v>104</v>
      </c>
      <c r="F131" s="8">
        <v>0.0002594948012487149</v>
      </c>
      <c r="G131" s="4">
        <f t="shared" si="6"/>
        <v>218</v>
      </c>
      <c r="H131" s="4"/>
    </row>
    <row r="132" spans="1:9" ht="12.75">
      <c r="A132" s="1" t="s">
        <v>157</v>
      </c>
      <c r="B132" s="2">
        <v>334782</v>
      </c>
      <c r="C132" s="2">
        <v>3057</v>
      </c>
      <c r="D132" s="17" t="s">
        <v>61</v>
      </c>
      <c r="E132" s="4"/>
      <c r="F132" s="8">
        <v>0.009131297687440717</v>
      </c>
      <c r="G132" s="4">
        <f t="shared" si="6"/>
        <v>7654</v>
      </c>
      <c r="H132" s="4"/>
      <c r="I132" s="4"/>
    </row>
    <row r="133" spans="1:9" ht="12.75">
      <c r="A133" s="1" t="s">
        <v>158</v>
      </c>
      <c r="B133" s="2">
        <v>334782</v>
      </c>
      <c r="C133" s="2">
        <v>678</v>
      </c>
      <c r="D133" s="3" t="s">
        <v>63</v>
      </c>
      <c r="E133" s="4"/>
      <c r="F133" s="8">
        <v>0.0034584818373425605</v>
      </c>
      <c r="G133" s="4">
        <f t="shared" si="6"/>
        <v>2899</v>
      </c>
      <c r="H133" s="4"/>
      <c r="I133" s="4"/>
    </row>
    <row r="134" spans="1:9" ht="12.75">
      <c r="A134" s="1" t="s">
        <v>159</v>
      </c>
      <c r="B134" s="2">
        <v>334782</v>
      </c>
      <c r="C134" s="2">
        <v>92</v>
      </c>
      <c r="D134" s="17" t="s">
        <v>61</v>
      </c>
      <c r="E134" s="4"/>
      <c r="F134" s="8">
        <v>0.0002748049945223891</v>
      </c>
      <c r="G134" s="4">
        <f t="shared" si="6"/>
        <v>230</v>
      </c>
      <c r="H134" s="4"/>
      <c r="I134" s="4"/>
    </row>
    <row r="135" spans="1:9" ht="12.75">
      <c r="A135" s="1" t="s">
        <v>160</v>
      </c>
      <c r="B135" s="2">
        <v>334782</v>
      </c>
      <c r="C135" s="2">
        <v>23</v>
      </c>
      <c r="D135" s="17" t="s">
        <v>61</v>
      </c>
      <c r="E135" s="4"/>
      <c r="F135" s="8">
        <v>0.0002594948012487149</v>
      </c>
      <c r="G135" s="4">
        <f t="shared" si="6"/>
        <v>218</v>
      </c>
      <c r="H135" s="4"/>
      <c r="I135" s="4"/>
    </row>
    <row r="136" spans="1:9" ht="12.75">
      <c r="A136" s="1" t="s">
        <v>161</v>
      </c>
      <c r="B136" s="2">
        <v>334782</v>
      </c>
      <c r="C136" s="2">
        <v>104</v>
      </c>
      <c r="D136" s="17" t="s">
        <v>61</v>
      </c>
      <c r="E136" s="4"/>
      <c r="F136" s="8">
        <v>0.00031068015079502396</v>
      </c>
      <c r="G136" s="4">
        <f t="shared" si="6"/>
        <v>260</v>
      </c>
      <c r="H136" s="4"/>
      <c r="I136" s="4"/>
    </row>
    <row r="137" spans="1:8" ht="12.75">
      <c r="A137" s="1" t="s">
        <v>162</v>
      </c>
      <c r="B137" s="2">
        <v>334782</v>
      </c>
      <c r="C137" s="2">
        <v>225</v>
      </c>
      <c r="D137" s="17" t="s">
        <v>61</v>
      </c>
      <c r="F137" s="8">
        <v>0.0006720915352341716</v>
      </c>
      <c r="G137" s="4">
        <f t="shared" si="6"/>
        <v>563</v>
      </c>
      <c r="H137" s="4"/>
    </row>
    <row r="138" spans="1:8" ht="12.75">
      <c r="A138" s="1" t="s">
        <v>163</v>
      </c>
      <c r="B138" s="2">
        <v>334782</v>
      </c>
      <c r="C138" s="2">
        <v>246</v>
      </c>
      <c r="D138" s="17" t="s">
        <v>61</v>
      </c>
      <c r="F138" s="8">
        <v>0.0007348244034360485</v>
      </c>
      <c r="G138" s="4">
        <f t="shared" si="6"/>
        <v>616</v>
      </c>
      <c r="H138" s="4"/>
    </row>
    <row r="139" spans="1:9" ht="12.75">
      <c r="A139" s="1" t="s">
        <v>164</v>
      </c>
      <c r="B139" s="2">
        <v>334782</v>
      </c>
      <c r="C139" s="2">
        <v>194</v>
      </c>
      <c r="D139" s="3" t="s">
        <v>63</v>
      </c>
      <c r="E139" s="4"/>
      <c r="F139" s="8">
        <v>0.0006441309703996227</v>
      </c>
      <c r="G139" s="4">
        <f t="shared" si="6"/>
        <v>540</v>
      </c>
      <c r="H139" s="4"/>
      <c r="I139" s="4"/>
    </row>
    <row r="140" spans="1:9" ht="12.75">
      <c r="A140" s="1" t="s">
        <v>165</v>
      </c>
      <c r="B140" s="2">
        <v>334782</v>
      </c>
      <c r="C140" s="2">
        <v>606</v>
      </c>
      <c r="D140" s="17" t="s">
        <v>61</v>
      </c>
      <c r="E140" s="4"/>
      <c r="F140" s="8">
        <v>0.001810105986110411</v>
      </c>
      <c r="G140" s="4">
        <f t="shared" si="6"/>
        <v>1517</v>
      </c>
      <c r="H140" s="4"/>
      <c r="I140" s="4"/>
    </row>
    <row r="141" spans="1:9" ht="12.75">
      <c r="A141" s="1" t="s">
        <v>166</v>
      </c>
      <c r="B141" s="2">
        <v>334782</v>
      </c>
      <c r="C141" s="2">
        <v>119</v>
      </c>
      <c r="D141" s="17" t="s">
        <v>61</v>
      </c>
      <c r="E141" s="4"/>
      <c r="F141" s="8">
        <v>0.0003554430040104273</v>
      </c>
      <c r="G141" s="4">
        <f t="shared" si="6"/>
        <v>298</v>
      </c>
      <c r="H141" s="4"/>
      <c r="I141" s="4"/>
    </row>
    <row r="142" spans="1:9" ht="12.75">
      <c r="A142" s="1" t="s">
        <v>167</v>
      </c>
      <c r="B142" s="2">
        <v>334782</v>
      </c>
      <c r="C142" s="2"/>
      <c r="D142" s="3" t="s">
        <v>104</v>
      </c>
      <c r="E142" s="4"/>
      <c r="F142" s="8">
        <v>0.0002594948012487149</v>
      </c>
      <c r="G142" s="4">
        <f t="shared" si="6"/>
        <v>218</v>
      </c>
      <c r="H142" s="4"/>
      <c r="I142" s="4"/>
    </row>
    <row r="143" spans="1:9" ht="12.75">
      <c r="A143" s="1" t="s">
        <v>168</v>
      </c>
      <c r="B143" s="2">
        <v>334782</v>
      </c>
      <c r="C143" s="2">
        <v>34</v>
      </c>
      <c r="D143" s="17" t="s">
        <v>61</v>
      </c>
      <c r="E143" s="4"/>
      <c r="F143" s="8">
        <v>0.0002594948012487149</v>
      </c>
      <c r="G143" s="4">
        <f t="shared" si="6"/>
        <v>218</v>
      </c>
      <c r="H143" s="4"/>
      <c r="I143" s="4"/>
    </row>
    <row r="144" spans="1:9" ht="12.75">
      <c r="A144" s="1" t="s">
        <v>169</v>
      </c>
      <c r="B144" s="2">
        <v>334782</v>
      </c>
      <c r="C144" s="2">
        <v>2600</v>
      </c>
      <c r="D144" s="17" t="s">
        <v>61</v>
      </c>
      <c r="E144" s="4"/>
      <c r="F144" s="8">
        <v>0.007766225285471853</v>
      </c>
      <c r="G144" s="4">
        <f t="shared" si="6"/>
        <v>6510</v>
      </c>
      <c r="H144" s="4"/>
      <c r="I144" s="4"/>
    </row>
    <row r="145" spans="1:9" ht="12.75">
      <c r="A145" s="1" t="s">
        <v>170</v>
      </c>
      <c r="B145" s="2">
        <v>334782</v>
      </c>
      <c r="C145" s="2">
        <v>89</v>
      </c>
      <c r="D145" s="17" t="s">
        <v>61</v>
      </c>
      <c r="E145" s="4"/>
      <c r="F145" s="8">
        <v>0.00026585242387930846</v>
      </c>
      <c r="G145" s="4">
        <f t="shared" si="6"/>
        <v>223</v>
      </c>
      <c r="H145" s="4"/>
      <c r="I145" s="4"/>
    </row>
    <row r="146" spans="1:9" ht="12.75">
      <c r="A146" s="1" t="s">
        <v>226</v>
      </c>
      <c r="B146" s="2">
        <v>334782</v>
      </c>
      <c r="C146" s="2">
        <v>75</v>
      </c>
      <c r="D146" s="17" t="s">
        <v>61</v>
      </c>
      <c r="E146" s="4"/>
      <c r="F146" s="8">
        <v>0.0002594948012487149</v>
      </c>
      <c r="G146" s="4">
        <f t="shared" si="6"/>
        <v>218</v>
      </c>
      <c r="H146" s="4"/>
      <c r="I146" s="4"/>
    </row>
    <row r="147" spans="1:9" ht="12.75">
      <c r="A147" s="10" t="s">
        <v>38</v>
      </c>
      <c r="D147" s="1" t="s">
        <v>1</v>
      </c>
      <c r="E147" s="4">
        <f>'States at $106.17m'!C44</f>
        <v>1321962</v>
      </c>
      <c r="F147" s="8"/>
      <c r="H147" s="4">
        <f>SUM(G148:G153)</f>
        <v>30851</v>
      </c>
      <c r="I147" s="4">
        <f>E147-H147</f>
        <v>1291111</v>
      </c>
    </row>
    <row r="148" spans="1:9" ht="12.75">
      <c r="A148" s="1" t="s">
        <v>230</v>
      </c>
      <c r="B148" s="2">
        <v>239405</v>
      </c>
      <c r="C148" s="9">
        <v>120</v>
      </c>
      <c r="D148" s="3" t="s">
        <v>104</v>
      </c>
      <c r="E148" s="4"/>
      <c r="F148" s="8">
        <v>0.0015219426075442695</v>
      </c>
      <c r="G148" s="4">
        <f aca="true" t="shared" si="7" ref="G148:G153">ROUND(F148*$E$147,0)</f>
        <v>2012</v>
      </c>
      <c r="H148" s="4"/>
      <c r="I148" s="4"/>
    </row>
    <row r="149" spans="1:9" ht="12.75">
      <c r="A149" s="1" t="s">
        <v>171</v>
      </c>
      <c r="B149" s="2">
        <v>239405</v>
      </c>
      <c r="D149" s="3" t="s">
        <v>104</v>
      </c>
      <c r="E149" s="4"/>
      <c r="F149" s="8">
        <v>0.004888520789016182</v>
      </c>
      <c r="G149" s="4">
        <f t="shared" si="7"/>
        <v>6462</v>
      </c>
      <c r="H149" s="4"/>
      <c r="I149" s="4"/>
    </row>
    <row r="150" spans="1:9" ht="12.75">
      <c r="A150" s="1" t="s">
        <v>221</v>
      </c>
      <c r="B150" s="2">
        <v>239405</v>
      </c>
      <c r="C150" s="9">
        <v>150</v>
      </c>
      <c r="D150" s="17" t="s">
        <v>104</v>
      </c>
      <c r="E150" s="4"/>
      <c r="F150" s="8">
        <v>0.0047165824079476665</v>
      </c>
      <c r="G150" s="4">
        <f t="shared" si="7"/>
        <v>6235</v>
      </c>
      <c r="H150" s="4"/>
      <c r="I150" s="4"/>
    </row>
    <row r="151" spans="1:9" ht="12.75">
      <c r="A151" s="1" t="s">
        <v>172</v>
      </c>
      <c r="B151" s="2">
        <v>239405</v>
      </c>
      <c r="D151" s="3" t="s">
        <v>104</v>
      </c>
      <c r="E151" s="4"/>
      <c r="F151" s="8">
        <v>0.0047165824079476665</v>
      </c>
      <c r="G151" s="4">
        <f t="shared" si="7"/>
        <v>6235</v>
      </c>
      <c r="H151" s="4"/>
      <c r="I151" s="4"/>
    </row>
    <row r="152" spans="1:9" ht="12.75">
      <c r="A152" s="1" t="s">
        <v>173</v>
      </c>
      <c r="B152" s="2">
        <v>239405</v>
      </c>
      <c r="D152" s="3" t="s">
        <v>104</v>
      </c>
      <c r="E152" s="4"/>
      <c r="F152" s="8">
        <v>0.0004936030078521955</v>
      </c>
      <c r="G152" s="4">
        <f t="shared" si="7"/>
        <v>653</v>
      </c>
      <c r="H152" s="4"/>
      <c r="I152" s="4"/>
    </row>
    <row r="153" spans="1:9" ht="12.75">
      <c r="A153" s="1" t="s">
        <v>174</v>
      </c>
      <c r="B153" s="2">
        <v>239405</v>
      </c>
      <c r="D153" s="3" t="s">
        <v>63</v>
      </c>
      <c r="E153" s="4"/>
      <c r="F153" s="8">
        <v>0.006999989922271923</v>
      </c>
      <c r="G153" s="4">
        <f t="shared" si="7"/>
        <v>9254</v>
      </c>
      <c r="H153" s="4"/>
      <c r="I153" s="4"/>
    </row>
    <row r="154" spans="1:9" ht="12.75">
      <c r="A154" s="10" t="s">
        <v>40</v>
      </c>
      <c r="E154" s="4">
        <f>'States at $106.17m'!C46</f>
        <v>732650</v>
      </c>
      <c r="F154" s="8"/>
      <c r="H154" s="4">
        <f>G155</f>
        <v>2076</v>
      </c>
      <c r="I154" s="4">
        <f>E154-H154</f>
        <v>730574</v>
      </c>
    </row>
    <row r="155" spans="1:8" ht="12.75">
      <c r="A155" s="1" t="s">
        <v>175</v>
      </c>
      <c r="B155" s="2">
        <v>84702</v>
      </c>
      <c r="C155" s="20">
        <v>240</v>
      </c>
      <c r="D155" s="3" t="s">
        <v>61</v>
      </c>
      <c r="E155" s="4"/>
      <c r="F155" s="8">
        <v>0.002833486275437696</v>
      </c>
      <c r="G155" s="4">
        <f>ROUND(F155*$E$154,0)</f>
        <v>2076</v>
      </c>
      <c r="H155" s="4"/>
    </row>
    <row r="156" spans="1:9" ht="12.75">
      <c r="A156" s="10" t="s">
        <v>42</v>
      </c>
      <c r="D156" s="1" t="s">
        <v>1</v>
      </c>
      <c r="E156" s="4">
        <f>'States at $106.17m'!C48</f>
        <v>688506</v>
      </c>
      <c r="F156" s="8"/>
      <c r="H156" s="4">
        <f>SUM(G157:G163)</f>
        <v>122416</v>
      </c>
      <c r="I156" s="4">
        <f>E156-H156</f>
        <v>566090</v>
      </c>
    </row>
    <row r="157" spans="1:9" ht="12.75">
      <c r="A157" s="1" t="s">
        <v>176</v>
      </c>
      <c r="D157" s="3" t="s">
        <v>63</v>
      </c>
      <c r="E157" s="4"/>
      <c r="F157" s="8">
        <v>0.028200018101843246</v>
      </c>
      <c r="G157" s="4">
        <f aca="true" t="shared" si="8" ref="G157:G163">ROUND(F157*$E$156,0)</f>
        <v>19416</v>
      </c>
      <c r="H157" s="4"/>
      <c r="I157" s="4"/>
    </row>
    <row r="158" spans="1:9" ht="12.75">
      <c r="A158" s="1" t="s">
        <v>177</v>
      </c>
      <c r="D158" s="3" t="s">
        <v>63</v>
      </c>
      <c r="E158" s="4"/>
      <c r="F158" s="8">
        <v>0.0037999654706550325</v>
      </c>
      <c r="G158" s="4">
        <f t="shared" si="8"/>
        <v>2616</v>
      </c>
      <c r="H158" s="4"/>
      <c r="I158" s="4"/>
    </row>
    <row r="159" spans="1:9" ht="12.75">
      <c r="A159" s="1" t="s">
        <v>178</v>
      </c>
      <c r="D159" s="3" t="s">
        <v>63</v>
      </c>
      <c r="E159" s="4"/>
      <c r="F159" s="8">
        <v>0.0584000055600775</v>
      </c>
      <c r="G159" s="4">
        <f t="shared" si="8"/>
        <v>40209</v>
      </c>
      <c r="H159" s="4"/>
      <c r="I159" s="4"/>
    </row>
    <row r="160" spans="1:9" ht="12.75">
      <c r="A160" s="1" t="s">
        <v>179</v>
      </c>
      <c r="D160" s="3" t="s">
        <v>63</v>
      </c>
      <c r="E160" s="4"/>
      <c r="F160" s="8">
        <v>0.046000006002356396</v>
      </c>
      <c r="G160" s="4">
        <f t="shared" si="8"/>
        <v>31671</v>
      </c>
      <c r="H160" s="4"/>
      <c r="I160" s="4"/>
    </row>
    <row r="161" spans="1:9" ht="12.75">
      <c r="A161" s="1" t="s">
        <v>180</v>
      </c>
      <c r="D161" s="3" t="s">
        <v>63</v>
      </c>
      <c r="E161" s="4"/>
      <c r="F161" s="8">
        <v>0.018600038825768495</v>
      </c>
      <c r="G161" s="4">
        <f t="shared" si="8"/>
        <v>12806</v>
      </c>
      <c r="H161" s="4"/>
      <c r="I161" s="4"/>
    </row>
    <row r="162" spans="1:9" ht="12.75">
      <c r="A162" s="1" t="s">
        <v>181</v>
      </c>
      <c r="D162" s="3" t="s">
        <v>63</v>
      </c>
      <c r="E162" s="4"/>
      <c r="F162" s="8">
        <v>0.011600027610839433</v>
      </c>
      <c r="G162" s="4">
        <f t="shared" si="8"/>
        <v>7987</v>
      </c>
      <c r="H162" s="4"/>
      <c r="I162" s="4"/>
    </row>
    <row r="163" spans="1:9" ht="12.75">
      <c r="A163" s="1" t="s">
        <v>182</v>
      </c>
      <c r="D163" s="3" t="s">
        <v>63</v>
      </c>
      <c r="E163" s="4"/>
      <c r="F163" s="8">
        <v>0.011200002148211765</v>
      </c>
      <c r="G163" s="4">
        <f t="shared" si="8"/>
        <v>7711</v>
      </c>
      <c r="H163" s="4"/>
      <c r="I163" s="4"/>
    </row>
    <row r="164" spans="1:9" ht="12.75">
      <c r="A164" s="10" t="s">
        <v>45</v>
      </c>
      <c r="D164" s="1" t="s">
        <v>1</v>
      </c>
      <c r="E164" s="4">
        <f>'States at $106.17m'!C51</f>
        <v>792627</v>
      </c>
      <c r="F164" s="8"/>
      <c r="H164" s="4">
        <f>SUM(G165:G167)</f>
        <v>15828</v>
      </c>
      <c r="I164" s="4">
        <f>E164-H164</f>
        <v>776799</v>
      </c>
    </row>
    <row r="165" spans="1:9" ht="12.75">
      <c r="A165" s="1" t="s">
        <v>133</v>
      </c>
      <c r="B165" s="2">
        <v>110884</v>
      </c>
      <c r="C165" s="2">
        <v>997</v>
      </c>
      <c r="D165" s="3" t="s">
        <v>67</v>
      </c>
      <c r="E165" s="4"/>
      <c r="F165" s="8">
        <v>0.008991396419851418</v>
      </c>
      <c r="G165" s="4">
        <f>ROUND(F165*$E$164,0)</f>
        <v>7127</v>
      </c>
      <c r="H165" s="4"/>
      <c r="I165" s="4"/>
    </row>
    <row r="166" spans="1:8" ht="12.75">
      <c r="A166" s="1" t="s">
        <v>183</v>
      </c>
      <c r="B166" s="2">
        <v>110884</v>
      </c>
      <c r="D166" s="3" t="s">
        <v>104</v>
      </c>
      <c r="E166" s="4"/>
      <c r="F166" s="8">
        <v>0.00411621727864527</v>
      </c>
      <c r="G166" s="4">
        <f>ROUND(F166*$E$164,0)</f>
        <v>3263</v>
      </c>
      <c r="H166" s="21"/>
    </row>
    <row r="167" spans="1:9" ht="12.75">
      <c r="A167" s="1" t="s">
        <v>184</v>
      </c>
      <c r="B167" s="2">
        <v>110884</v>
      </c>
      <c r="D167" s="3" t="s">
        <v>104</v>
      </c>
      <c r="E167" s="4"/>
      <c r="F167" s="8">
        <v>0.006860362131075451</v>
      </c>
      <c r="G167" s="4">
        <f>ROUND(F167*$E$164,0)</f>
        <v>5438</v>
      </c>
      <c r="H167" s="21"/>
      <c r="I167" s="4"/>
    </row>
    <row r="168" spans="1:9" ht="12.75">
      <c r="A168" s="10" t="s">
        <v>48</v>
      </c>
      <c r="E168" s="4">
        <f>'States at $106.17m'!C54</f>
        <v>2174446</v>
      </c>
      <c r="F168" s="8"/>
      <c r="H168" s="4">
        <f>SUM(G169:G189)</f>
        <v>88684</v>
      </c>
      <c r="I168" s="4">
        <f>E168-H168</f>
        <v>2085762</v>
      </c>
    </row>
    <row r="169" spans="1:8" ht="12.75">
      <c r="A169" s="1" t="s">
        <v>185</v>
      </c>
      <c r="B169" s="4"/>
      <c r="D169" s="3" t="s">
        <v>63</v>
      </c>
      <c r="E169" s="4"/>
      <c r="F169" s="8">
        <v>0.008470001840288146</v>
      </c>
      <c r="G169" s="4">
        <f aca="true" t="shared" si="9" ref="G169:G189">ROUND(F169*$E$168,0)</f>
        <v>18418</v>
      </c>
      <c r="H169" s="4"/>
    </row>
    <row r="170" spans="1:8" ht="12.75">
      <c r="A170" s="1" t="s">
        <v>186</v>
      </c>
      <c r="B170" s="4"/>
      <c r="D170" s="3" t="s">
        <v>104</v>
      </c>
      <c r="E170" s="4"/>
      <c r="F170" s="8">
        <v>0.00021156186597865882</v>
      </c>
      <c r="G170" s="4">
        <f t="shared" si="9"/>
        <v>460</v>
      </c>
      <c r="H170" s="4"/>
    </row>
    <row r="171" spans="1:8" ht="12.75">
      <c r="A171" s="1" t="s">
        <v>187</v>
      </c>
      <c r="B171" s="4"/>
      <c r="D171" s="3" t="s">
        <v>63</v>
      </c>
      <c r="E171" s="4"/>
      <c r="F171" s="8">
        <v>0.000246997228164446</v>
      </c>
      <c r="G171" s="4">
        <f t="shared" si="9"/>
        <v>537</v>
      </c>
      <c r="H171" s="4"/>
    </row>
    <row r="172" spans="1:8" ht="12.75">
      <c r="A172" s="1" t="s">
        <v>188</v>
      </c>
      <c r="B172" s="4"/>
      <c r="D172" s="3" t="s">
        <v>63</v>
      </c>
      <c r="E172" s="4"/>
      <c r="F172" s="8">
        <v>0.000246997228164446</v>
      </c>
      <c r="G172" s="4">
        <f t="shared" si="9"/>
        <v>537</v>
      </c>
      <c r="H172" s="4"/>
    </row>
    <row r="173" spans="1:8" ht="12.75">
      <c r="A173" s="1" t="s">
        <v>189</v>
      </c>
      <c r="B173" s="4"/>
      <c r="D173" s="3" t="s">
        <v>63</v>
      </c>
      <c r="E173" s="4"/>
      <c r="F173" s="8">
        <v>0.0006040016251752418</v>
      </c>
      <c r="G173" s="4">
        <f t="shared" si="9"/>
        <v>1313</v>
      </c>
      <c r="H173" s="4"/>
    </row>
    <row r="174" spans="1:8" ht="12.75">
      <c r="A174" s="1" t="s">
        <v>190</v>
      </c>
      <c r="B174" s="4"/>
      <c r="D174" s="3" t="s">
        <v>63</v>
      </c>
      <c r="E174" s="4"/>
      <c r="F174" s="8">
        <v>0.0024990057717628076</v>
      </c>
      <c r="G174" s="4">
        <f t="shared" si="9"/>
        <v>5434</v>
      </c>
      <c r="H174" s="4"/>
    </row>
    <row r="175" spans="1:8" ht="12.75">
      <c r="A175" s="1" t="s">
        <v>191</v>
      </c>
      <c r="B175" s="4"/>
      <c r="D175" s="3" t="s">
        <v>63</v>
      </c>
      <c r="E175" s="4"/>
      <c r="F175" s="8">
        <v>0.0019489949348438216</v>
      </c>
      <c r="G175" s="4">
        <f t="shared" si="9"/>
        <v>4238</v>
      </c>
      <c r="H175" s="4"/>
    </row>
    <row r="176" spans="1:8" ht="12.75">
      <c r="A176" s="1" t="s">
        <v>192</v>
      </c>
      <c r="B176" s="4"/>
      <c r="D176" s="3" t="s">
        <v>63</v>
      </c>
      <c r="E176" s="4"/>
      <c r="F176" s="8">
        <v>0.000892010846271721</v>
      </c>
      <c r="G176" s="4">
        <f t="shared" si="9"/>
        <v>1940</v>
      </c>
      <c r="H176" s="4"/>
    </row>
    <row r="177" spans="1:8" ht="12.75">
      <c r="A177" s="1" t="s">
        <v>193</v>
      </c>
      <c r="B177" s="4"/>
      <c r="D177" s="3" t="s">
        <v>63</v>
      </c>
      <c r="E177" s="4"/>
      <c r="F177" s="8">
        <v>0.0006860006037265448</v>
      </c>
      <c r="G177" s="4">
        <f t="shared" si="9"/>
        <v>1492</v>
      </c>
      <c r="H177" s="4"/>
    </row>
    <row r="178" spans="1:8" ht="12.75">
      <c r="A178" s="1" t="s">
        <v>194</v>
      </c>
      <c r="B178" s="4"/>
      <c r="D178" s="3" t="s">
        <v>63</v>
      </c>
      <c r="E178" s="4"/>
      <c r="F178" s="8">
        <v>0.0004119954777775891</v>
      </c>
      <c r="G178" s="4">
        <f t="shared" si="9"/>
        <v>896</v>
      </c>
      <c r="H178" s="4"/>
    </row>
    <row r="179" spans="1:8" ht="12.75">
      <c r="A179" s="1" t="s">
        <v>195</v>
      </c>
      <c r="B179" s="4"/>
      <c r="D179" s="3" t="s">
        <v>63</v>
      </c>
      <c r="E179" s="4"/>
      <c r="F179" s="8">
        <v>0.0027869899855465234</v>
      </c>
      <c r="G179" s="4">
        <f t="shared" si="9"/>
        <v>6060</v>
      </c>
      <c r="H179" s="4"/>
    </row>
    <row r="180" spans="1:8" ht="12.75">
      <c r="A180" s="1" t="s">
        <v>196</v>
      </c>
      <c r="B180" s="4"/>
      <c r="D180" s="3" t="s">
        <v>63</v>
      </c>
      <c r="E180" s="4"/>
      <c r="F180" s="8">
        <v>0.0007960077725728946</v>
      </c>
      <c r="G180" s="4">
        <f t="shared" si="9"/>
        <v>1731</v>
      </c>
      <c r="H180" s="4"/>
    </row>
    <row r="181" spans="1:8" ht="12.75">
      <c r="A181" s="1" t="s">
        <v>197</v>
      </c>
      <c r="B181" s="4"/>
      <c r="D181" s="3" t="s">
        <v>63</v>
      </c>
      <c r="E181" s="4"/>
      <c r="F181" s="8">
        <v>0.0021690092725365215</v>
      </c>
      <c r="G181" s="4">
        <f t="shared" si="9"/>
        <v>4716</v>
      </c>
      <c r="H181" s="4"/>
    </row>
    <row r="182" spans="1:8" ht="12.75">
      <c r="A182" s="1" t="s">
        <v>198</v>
      </c>
      <c r="B182" s="4"/>
      <c r="D182" s="3" t="s">
        <v>63</v>
      </c>
      <c r="E182" s="4"/>
      <c r="F182" s="8">
        <v>0.0008229906630446408</v>
      </c>
      <c r="G182" s="4">
        <f t="shared" si="9"/>
        <v>1790</v>
      </c>
      <c r="H182" s="4"/>
    </row>
    <row r="183" spans="1:8" ht="12.75">
      <c r="A183" s="1" t="s">
        <v>199</v>
      </c>
      <c r="B183" s="4"/>
      <c r="D183" s="3" t="s">
        <v>63</v>
      </c>
      <c r="E183" s="4"/>
      <c r="F183" s="8">
        <v>0.0013170101266862962</v>
      </c>
      <c r="G183" s="4">
        <f t="shared" si="9"/>
        <v>2864</v>
      </c>
      <c r="H183" s="4"/>
    </row>
    <row r="184" spans="1:8" ht="12.75">
      <c r="A184" s="1" t="s">
        <v>200</v>
      </c>
      <c r="B184" s="4"/>
      <c r="D184" s="3" t="s">
        <v>63</v>
      </c>
      <c r="E184" s="4"/>
      <c r="F184" s="8">
        <v>0.0027819885229938366</v>
      </c>
      <c r="G184" s="4">
        <f t="shared" si="9"/>
        <v>6049</v>
      </c>
      <c r="H184" s="4"/>
    </row>
    <row r="185" spans="1:8" ht="12.75">
      <c r="A185" s="1" t="s">
        <v>201</v>
      </c>
      <c r="B185" s="4"/>
      <c r="D185" s="3" t="s">
        <v>63</v>
      </c>
      <c r="E185" s="4"/>
      <c r="F185" s="8">
        <v>0.0017440099921219462</v>
      </c>
      <c r="G185" s="4">
        <f t="shared" si="9"/>
        <v>3792</v>
      </c>
      <c r="H185" s="4"/>
    </row>
    <row r="186" spans="1:8" ht="12.75">
      <c r="A186" s="65" t="s">
        <v>231</v>
      </c>
      <c r="B186" s="4"/>
      <c r="D186" s="3" t="s">
        <v>63</v>
      </c>
      <c r="E186" s="4"/>
      <c r="F186" s="8">
        <v>0.000246997228164446</v>
      </c>
      <c r="G186" s="4">
        <f t="shared" si="9"/>
        <v>537</v>
      </c>
      <c r="H186" s="4"/>
    </row>
    <row r="187" spans="1:8" ht="12.75">
      <c r="A187" s="1" t="s">
        <v>202</v>
      </c>
      <c r="B187" s="4"/>
      <c r="D187" s="3" t="s">
        <v>63</v>
      </c>
      <c r="E187" s="4"/>
      <c r="F187" s="8">
        <v>0.001057009095884864</v>
      </c>
      <c r="G187" s="4">
        <f t="shared" si="9"/>
        <v>2298</v>
      </c>
      <c r="H187" s="4"/>
    </row>
    <row r="188" spans="1:8" ht="12.75">
      <c r="A188" s="1" t="s">
        <v>228</v>
      </c>
      <c r="B188" s="4"/>
      <c r="D188" s="3" t="s">
        <v>63</v>
      </c>
      <c r="E188" s="4"/>
      <c r="F188" s="8">
        <v>0.001866995956292519</v>
      </c>
      <c r="G188" s="4">
        <f t="shared" si="9"/>
        <v>4060</v>
      </c>
      <c r="H188" s="4"/>
    </row>
    <row r="189" spans="1:8" ht="12.75">
      <c r="A189" s="1" t="s">
        <v>203</v>
      </c>
      <c r="B189" s="4"/>
      <c r="D189" s="3" t="s">
        <v>63</v>
      </c>
      <c r="E189" s="4"/>
      <c r="F189" s="8">
        <v>0.008978000391764562</v>
      </c>
      <c r="G189" s="4">
        <f t="shared" si="9"/>
        <v>19522</v>
      </c>
      <c r="H189" s="4"/>
    </row>
    <row r="190" spans="1:9" ht="12.75">
      <c r="A190" s="10" t="s">
        <v>51</v>
      </c>
      <c r="B190" s="4"/>
      <c r="D190" s="3"/>
      <c r="E190" s="4">
        <f>'States at $106.17m'!C57</f>
        <v>317352</v>
      </c>
      <c r="F190" s="8"/>
      <c r="G190" s="4"/>
      <c r="H190" s="16">
        <f>G191</f>
        <v>11419</v>
      </c>
      <c r="I190" s="4">
        <f>E190-H190</f>
        <v>305933</v>
      </c>
    </row>
    <row r="191" spans="1:8" ht="13.5" thickBot="1">
      <c r="A191" s="1" t="s">
        <v>204</v>
      </c>
      <c r="B191" s="4"/>
      <c r="D191" s="3" t="s">
        <v>104</v>
      </c>
      <c r="E191" s="4"/>
      <c r="F191" s="8">
        <v>0.03598287831841386</v>
      </c>
      <c r="G191" s="4">
        <f>ROUND(F191*$E$190,0)</f>
        <v>11419</v>
      </c>
      <c r="H191" s="4"/>
    </row>
    <row r="192" spans="1:9" ht="13.5" thickTop="1">
      <c r="A192" s="66" t="s">
        <v>205</v>
      </c>
      <c r="B192" s="66"/>
      <c r="C192" s="66"/>
      <c r="D192" s="66"/>
      <c r="E192" s="23">
        <f>SUM(E11:E191)</f>
        <v>54810030</v>
      </c>
      <c r="F192" s="22"/>
      <c r="G192" s="23">
        <f>SUM(G11:G191)</f>
        <v>1144425</v>
      </c>
      <c r="H192" s="23">
        <f>SUM(H11:H191)</f>
        <v>1144425</v>
      </c>
      <c r="I192" s="23">
        <f>SUM(I11:I191)</f>
        <v>53665605</v>
      </c>
    </row>
    <row r="194" spans="1:4" ht="12.75">
      <c r="A194" s="67"/>
      <c r="B194" s="67"/>
      <c r="C194" s="67"/>
      <c r="D194" s="67"/>
    </row>
    <row r="196" spans="1:4" ht="12.75">
      <c r="A196" s="10"/>
      <c r="B196" s="10"/>
      <c r="C196" s="10"/>
      <c r="D196" s="10"/>
    </row>
    <row r="197" spans="1:4" ht="12.75">
      <c r="A197" s="10"/>
      <c r="B197" s="10"/>
      <c r="C197" s="10"/>
      <c r="D197" s="10"/>
    </row>
    <row r="198" spans="1:4" ht="12.75">
      <c r="A198" s="10"/>
      <c r="B198" s="10"/>
      <c r="C198" s="10"/>
      <c r="D198" s="10"/>
    </row>
    <row r="199" spans="1:4" ht="12.75">
      <c r="A199" s="10"/>
      <c r="B199" s="10"/>
      <c r="C199" s="10"/>
      <c r="D199" s="10"/>
    </row>
    <row r="200" spans="1:4" ht="12.75">
      <c r="A200" s="10"/>
      <c r="B200" s="10"/>
      <c r="C200" s="10"/>
      <c r="D200" s="10"/>
    </row>
    <row r="201" spans="1:4" ht="12.75">
      <c r="A201" s="10"/>
      <c r="B201" s="10"/>
      <c r="C201" s="10"/>
      <c r="D201" s="10"/>
    </row>
    <row r="202" spans="1:4" ht="12.75">
      <c r="A202" s="10"/>
      <c r="B202" s="10"/>
      <c r="C202" s="10"/>
      <c r="D202" s="10"/>
    </row>
    <row r="203" spans="1:4" ht="12.75">
      <c r="A203" s="10"/>
      <c r="B203" s="10"/>
      <c r="C203" s="10"/>
      <c r="D203" s="10"/>
    </row>
    <row r="204" spans="1:4" ht="12.75">
      <c r="A204" s="10"/>
      <c r="B204" s="10"/>
      <c r="C204" s="10"/>
      <c r="D204" s="10"/>
    </row>
    <row r="205" spans="1:4" ht="12.75">
      <c r="A205" s="10"/>
      <c r="B205" s="10"/>
      <c r="C205" s="10"/>
      <c r="D205" s="10"/>
    </row>
    <row r="206" spans="1:4" ht="12.75">
      <c r="A206" s="10"/>
      <c r="B206" s="10"/>
      <c r="C206" s="10"/>
      <c r="D206" s="10"/>
    </row>
    <row r="207" spans="1:4" ht="12.75">
      <c r="A207" s="10"/>
      <c r="B207" s="10"/>
      <c r="C207" s="10"/>
      <c r="D207" s="10"/>
    </row>
    <row r="208" spans="1:4" ht="12.75">
      <c r="A208" s="10"/>
      <c r="B208" s="10"/>
      <c r="C208" s="10"/>
      <c r="D208" s="10"/>
    </row>
    <row r="209" spans="1:4" ht="12.75">
      <c r="A209" s="10"/>
      <c r="B209" s="10"/>
      <c r="C209" s="10"/>
      <c r="D209" s="10"/>
    </row>
    <row r="210" spans="1:4" ht="12.75">
      <c r="A210" s="10"/>
      <c r="B210" s="10"/>
      <c r="C210" s="10"/>
      <c r="D210" s="10"/>
    </row>
    <row r="211" spans="1:4" ht="12.75">
      <c r="A211" s="10"/>
      <c r="B211" s="10"/>
      <c r="C211" s="10"/>
      <c r="D211" s="10"/>
    </row>
    <row r="212" spans="1:4" ht="12.75">
      <c r="A212" s="10"/>
      <c r="B212" s="10"/>
      <c r="C212" s="10"/>
      <c r="D212" s="10"/>
    </row>
    <row r="213" spans="1:4" ht="12.75">
      <c r="A213" s="10"/>
      <c r="B213" s="10"/>
      <c r="C213" s="10"/>
      <c r="D213" s="10"/>
    </row>
    <row r="214" spans="1:4" ht="12.75">
      <c r="A214" s="10"/>
      <c r="B214" s="10"/>
      <c r="C214" s="10"/>
      <c r="D214" s="10"/>
    </row>
    <row r="215" spans="1:4" ht="12.75">
      <c r="A215" s="10"/>
      <c r="B215" s="10"/>
      <c r="C215" s="10"/>
      <c r="D215" s="10"/>
    </row>
    <row r="216" spans="1:4" ht="12.75">
      <c r="A216" s="10"/>
      <c r="B216" s="10"/>
      <c r="C216" s="10"/>
      <c r="D216" s="10"/>
    </row>
    <row r="217" spans="1:4" ht="12.75">
      <c r="A217" s="10"/>
      <c r="B217" s="10"/>
      <c r="C217" s="10"/>
      <c r="D217" s="10"/>
    </row>
    <row r="218" spans="1:4" ht="12.75">
      <c r="A218" s="10"/>
      <c r="B218" s="10"/>
      <c r="C218" s="10"/>
      <c r="D218" s="10"/>
    </row>
    <row r="219" spans="1:4" ht="12.75">
      <c r="A219" s="10"/>
      <c r="B219" s="10"/>
      <c r="C219" s="10"/>
      <c r="D219" s="10"/>
    </row>
    <row r="220" spans="1:4" ht="12.75">
      <c r="A220" s="10"/>
      <c r="B220" s="10"/>
      <c r="C220" s="10"/>
      <c r="D220" s="10"/>
    </row>
    <row r="221" spans="1:4" ht="12.75">
      <c r="A221" s="10"/>
      <c r="B221" s="10"/>
      <c r="C221" s="10"/>
      <c r="D221" s="10"/>
    </row>
    <row r="222" spans="1:4" ht="12.75">
      <c r="A222" s="10"/>
      <c r="B222" s="10"/>
      <c r="C222" s="10"/>
      <c r="D222" s="10"/>
    </row>
    <row r="446" ht="12.75">
      <c r="H446" s="25"/>
    </row>
    <row r="449" ht="12.75">
      <c r="H449" s="25"/>
    </row>
    <row r="450" ht="12.75">
      <c r="H450" s="25"/>
    </row>
    <row r="451" ht="12.75">
      <c r="H451" s="25"/>
    </row>
    <row r="452" ht="12.75">
      <c r="H452" s="25"/>
    </row>
    <row r="453" ht="12.75">
      <c r="H453" s="25"/>
    </row>
    <row r="454" ht="12.75">
      <c r="H454" s="25"/>
    </row>
    <row r="455" ht="12.75">
      <c r="H455" s="25"/>
    </row>
    <row r="456" ht="12.75">
      <c r="H456" s="25"/>
    </row>
    <row r="457" ht="12.75">
      <c r="H457" s="25"/>
    </row>
    <row r="458" ht="12.75">
      <c r="H458" s="25"/>
    </row>
    <row r="459" ht="12.75">
      <c r="H459" s="25"/>
    </row>
    <row r="460" ht="12.75">
      <c r="H460" s="25"/>
    </row>
    <row r="461" ht="12.75">
      <c r="H461" s="25"/>
    </row>
    <row r="462" ht="12.75">
      <c r="H462" s="25"/>
    </row>
    <row r="463" ht="12.75">
      <c r="H463" s="25"/>
    </row>
    <row r="464" ht="12.75">
      <c r="H464" s="25"/>
    </row>
    <row r="465" ht="12.75">
      <c r="H465" s="25"/>
    </row>
    <row r="466" ht="12.75">
      <c r="H466" s="25"/>
    </row>
    <row r="467" ht="12.75">
      <c r="H467" s="25"/>
    </row>
    <row r="468" ht="12.75">
      <c r="H468" s="25"/>
    </row>
    <row r="469" ht="12.75">
      <c r="H469" s="25"/>
    </row>
    <row r="470" ht="12.75">
      <c r="H470" s="25"/>
    </row>
    <row r="471" ht="12.75">
      <c r="H471" s="25"/>
    </row>
    <row r="472" ht="12.75">
      <c r="H472" s="25"/>
    </row>
    <row r="473" ht="12.75">
      <c r="H473" s="25"/>
    </row>
    <row r="474" ht="12.75">
      <c r="H474" s="25"/>
    </row>
    <row r="475" ht="12.75">
      <c r="H475" s="25"/>
    </row>
    <row r="476" ht="12.75">
      <c r="H476" s="25"/>
    </row>
    <row r="477" ht="12.75">
      <c r="H477" s="25"/>
    </row>
    <row r="478" ht="12.75">
      <c r="H478" s="25"/>
    </row>
    <row r="479" ht="12.75">
      <c r="H479" s="25"/>
    </row>
    <row r="480" ht="12.75">
      <c r="H480" s="25"/>
    </row>
    <row r="481" ht="12.75">
      <c r="H481" s="25"/>
    </row>
    <row r="482" ht="12.75">
      <c r="H482" s="25"/>
    </row>
    <row r="483" ht="12.75">
      <c r="H483" s="25"/>
    </row>
    <row r="484" ht="12.75">
      <c r="H484" s="25"/>
    </row>
    <row r="485" ht="12.75">
      <c r="H485" s="25"/>
    </row>
    <row r="486" ht="12.75">
      <c r="H486" s="25"/>
    </row>
    <row r="487" ht="12.75">
      <c r="H487" s="25"/>
    </row>
    <row r="488" ht="12.75">
      <c r="H488" s="25"/>
    </row>
    <row r="489" ht="12.75">
      <c r="H489" s="25"/>
    </row>
    <row r="490" ht="12.75">
      <c r="H490" s="25"/>
    </row>
    <row r="491" ht="12.75">
      <c r="H491" s="25"/>
    </row>
    <row r="492" ht="12.75">
      <c r="H492" s="25"/>
    </row>
    <row r="493" ht="12.75">
      <c r="H493" s="25"/>
    </row>
    <row r="494" ht="12.75">
      <c r="H494" s="25"/>
    </row>
    <row r="495" ht="12.75">
      <c r="H495" s="25"/>
    </row>
    <row r="496" ht="12.75">
      <c r="H496" s="25"/>
    </row>
    <row r="497" ht="12.75">
      <c r="H497" s="25"/>
    </row>
    <row r="498" ht="12.75">
      <c r="H498" s="25"/>
    </row>
    <row r="499" ht="12.75">
      <c r="H499" s="25"/>
    </row>
    <row r="500" ht="12.75">
      <c r="H500" s="25"/>
    </row>
    <row r="501" spans="8:10" ht="12.75">
      <c r="H501" s="25"/>
      <c r="J501" s="4"/>
    </row>
    <row r="503" ht="12.75">
      <c r="H503" s="4"/>
    </row>
    <row r="506" ht="12.75">
      <c r="H506" s="4"/>
    </row>
    <row r="507" ht="12.75">
      <c r="H507" s="4"/>
    </row>
    <row r="508" ht="12.75">
      <c r="H508" s="4"/>
    </row>
    <row r="509" ht="12.75">
      <c r="H509" s="4"/>
    </row>
    <row r="510" ht="12.75">
      <c r="H510" s="4"/>
    </row>
    <row r="511" ht="12.75">
      <c r="H511" s="4"/>
    </row>
    <row r="512" ht="12.75">
      <c r="H512" s="4"/>
    </row>
  </sheetData>
  <sheetProtection/>
  <mergeCells count="1">
    <mergeCell ref="A1:H1"/>
  </mergeCells>
  <printOptions gridLines="1" horizontalCentered="1"/>
  <pageMargins left="0.25" right="0.25" top="0.5" bottom="0.75" header="0.5" footer="0.5"/>
  <pageSetup horizontalDpi="600" verticalDpi="600" orientation="landscape" scale="76" r:id="rId1"/>
  <headerFooter alignWithMargins="0">
    <oddFooter xml:space="preserve">&amp;C                                &amp;"Arial,Regular"              </oddFooter>
  </headerFooter>
  <rowBreaks count="4" manualBreakCount="4">
    <brk id="34" max="5" man="1"/>
    <brk id="75" max="5" man="1"/>
    <brk id="114" max="5" man="1"/>
    <brk id="15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zoomScale="115" zoomScaleNormal="11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E2"/>
    </sheetView>
  </sheetViews>
  <sheetFormatPr defaultColWidth="9.00390625" defaultRowHeight="12.75"/>
  <cols>
    <col min="1" max="1" width="32.25390625" style="24" customWidth="1"/>
    <col min="2" max="2" width="7.25390625" style="24" hidden="1" customWidth="1"/>
    <col min="3" max="3" width="21.00390625" style="24" customWidth="1"/>
    <col min="4" max="4" width="18.125" style="24" customWidth="1"/>
    <col min="5" max="5" width="23.875" style="24" bestFit="1" customWidth="1"/>
    <col min="6" max="6" width="11.50390625" style="24" hidden="1" customWidth="1"/>
    <col min="7" max="7" width="12.625" style="24" hidden="1" customWidth="1"/>
    <col min="8" max="8" width="11.50390625" style="24" hidden="1" customWidth="1"/>
    <col min="9" max="9" width="12.625" style="24" hidden="1" customWidth="1"/>
    <col min="10" max="10" width="11.50390625" style="24" hidden="1" customWidth="1"/>
    <col min="11" max="11" width="12.625" style="24" hidden="1" customWidth="1"/>
    <col min="12" max="12" width="11.625" style="24" bestFit="1" customWidth="1"/>
    <col min="13" max="16384" width="8.875" style="24" customWidth="1"/>
  </cols>
  <sheetData>
    <row r="1" spans="1:5" s="5" customFormat="1" ht="12.75" customHeight="1">
      <c r="A1" s="193" t="s">
        <v>287</v>
      </c>
      <c r="B1" s="193"/>
      <c r="C1" s="193"/>
      <c r="D1" s="193"/>
      <c r="E1" s="193"/>
    </row>
    <row r="2" spans="1:5" ht="14.25" customHeight="1">
      <c r="A2" s="194"/>
      <c r="B2" s="194"/>
      <c r="C2" s="194"/>
      <c r="D2" s="194"/>
      <c r="E2" s="194"/>
    </row>
    <row r="3" spans="1:5" ht="12.75">
      <c r="A3" s="5" t="s">
        <v>286</v>
      </c>
      <c r="B3" s="58">
        <v>50000000</v>
      </c>
      <c r="C3" s="63">
        <v>25000000</v>
      </c>
      <c r="E3" s="27" t="s">
        <v>267</v>
      </c>
    </row>
    <row r="4" spans="1:5" ht="12.75">
      <c r="A4" s="35" t="s">
        <v>239</v>
      </c>
      <c r="C4" s="34"/>
      <c r="E4" s="36"/>
    </row>
    <row r="5" spans="1:11" ht="38.25">
      <c r="A5" s="37" t="s">
        <v>0</v>
      </c>
      <c r="B5" s="37" t="s">
        <v>251</v>
      </c>
      <c r="C5" s="37" t="s">
        <v>246</v>
      </c>
      <c r="D5" s="38" t="s">
        <v>233</v>
      </c>
      <c r="E5" s="38" t="s">
        <v>247</v>
      </c>
      <c r="F5" s="38" t="s">
        <v>236</v>
      </c>
      <c r="G5" s="39" t="s">
        <v>252</v>
      </c>
      <c r="H5" s="38" t="s">
        <v>237</v>
      </c>
      <c r="I5" s="39" t="s">
        <v>253</v>
      </c>
      <c r="J5" s="38" t="s">
        <v>238</v>
      </c>
      <c r="K5" s="39" t="s">
        <v>254</v>
      </c>
    </row>
    <row r="6" spans="3:11" ht="12.75">
      <c r="C6" s="34"/>
      <c r="G6" s="59"/>
      <c r="I6" s="59"/>
      <c r="K6" s="59"/>
    </row>
    <row r="7" spans="1:11" ht="12.75">
      <c r="A7" s="34" t="s">
        <v>2</v>
      </c>
      <c r="B7" s="40">
        <v>0.00860045</v>
      </c>
      <c r="C7" s="33">
        <v>0</v>
      </c>
      <c r="D7" s="28"/>
      <c r="E7" s="28">
        <f aca="true" t="shared" si="0" ref="E7:E57">C7-D7</f>
        <v>0</v>
      </c>
      <c r="F7" s="61" t="e">
        <f>#REF!</f>
        <v>#REF!</v>
      </c>
      <c r="G7" s="41" t="e">
        <f>ROUND($E7*F7,0)</f>
        <v>#REF!</v>
      </c>
      <c r="H7" s="61" t="e">
        <f>#REF!</f>
        <v>#REF!</v>
      </c>
      <c r="I7" s="41" t="e">
        <f>ROUND($E7*H7,0)</f>
        <v>#REF!</v>
      </c>
      <c r="J7" s="61" t="e">
        <f>#REF!</f>
        <v>#REF!</v>
      </c>
      <c r="K7" s="41" t="e">
        <f>ROUND($E7*J7,0)</f>
        <v>#REF!</v>
      </c>
    </row>
    <row r="8" spans="1:11" ht="12.75">
      <c r="A8" s="34" t="s">
        <v>3</v>
      </c>
      <c r="B8" s="40">
        <v>0.00548986</v>
      </c>
      <c r="C8" s="33">
        <v>1167785</v>
      </c>
      <c r="D8" s="28">
        <f>'Tribes at $25m'!H11</f>
        <v>358511</v>
      </c>
      <c r="E8" s="28">
        <f t="shared" si="0"/>
        <v>809274</v>
      </c>
      <c r="F8" s="61" t="e">
        <f>#REF!</f>
        <v>#REF!</v>
      </c>
      <c r="G8" s="41" t="e">
        <f aca="true" t="shared" si="1" ref="G8:G57">ROUND($E8*F8,0)</f>
        <v>#REF!</v>
      </c>
      <c r="H8" s="61" t="e">
        <f>#REF!</f>
        <v>#REF!</v>
      </c>
      <c r="I8" s="41" t="e">
        <f aca="true" t="shared" si="2" ref="I8:I57">ROUND($E8*H8,0)</f>
        <v>#REF!</v>
      </c>
      <c r="J8" s="61" t="e">
        <f>#REF!</f>
        <v>#REF!</v>
      </c>
      <c r="K8" s="41" t="e">
        <f aca="true" t="shared" si="3" ref="K8:K57">ROUND($E8*J8,0)</f>
        <v>#REF!</v>
      </c>
    </row>
    <row r="9" spans="1:11" ht="12.75">
      <c r="A9" s="34" t="s">
        <v>4</v>
      </c>
      <c r="B9" s="40">
        <v>0.00415928</v>
      </c>
      <c r="C9" s="33">
        <v>0</v>
      </c>
      <c r="D9" s="28"/>
      <c r="E9" s="28">
        <f t="shared" si="0"/>
        <v>0</v>
      </c>
      <c r="F9" s="61" t="e">
        <f>#REF!</f>
        <v>#REF!</v>
      </c>
      <c r="G9" s="41" t="e">
        <f t="shared" si="1"/>
        <v>#REF!</v>
      </c>
      <c r="H9" s="61" t="e">
        <f>#REF!</f>
        <v>#REF!</v>
      </c>
      <c r="I9" s="41" t="e">
        <f t="shared" si="2"/>
        <v>#REF!</v>
      </c>
      <c r="J9" s="61" t="e">
        <f>#REF!</f>
        <v>#REF!</v>
      </c>
      <c r="K9" s="41" t="e">
        <f t="shared" si="3"/>
        <v>#REF!</v>
      </c>
    </row>
    <row r="10" spans="1:11" ht="12.75">
      <c r="A10" s="34" t="s">
        <v>5</v>
      </c>
      <c r="B10" s="40">
        <v>0.00656255</v>
      </c>
      <c r="C10" s="33">
        <v>0</v>
      </c>
      <c r="D10" s="28"/>
      <c r="E10" s="28">
        <f t="shared" si="0"/>
        <v>0</v>
      </c>
      <c r="F10" s="61" t="e">
        <f>#REF!</f>
        <v>#REF!</v>
      </c>
      <c r="G10" s="41" t="e">
        <f t="shared" si="1"/>
        <v>#REF!</v>
      </c>
      <c r="H10" s="61" t="e">
        <f>#REF!</f>
        <v>#REF!</v>
      </c>
      <c r="I10" s="41" t="e">
        <f t="shared" si="2"/>
        <v>#REF!</v>
      </c>
      <c r="J10" s="61" t="e">
        <f>#REF!</f>
        <v>#REF!</v>
      </c>
      <c r="K10" s="41" t="e">
        <f t="shared" si="3"/>
        <v>#REF!</v>
      </c>
    </row>
    <row r="11" spans="1:11" ht="12.75">
      <c r="A11" s="34" t="s">
        <v>6</v>
      </c>
      <c r="B11" s="40">
        <v>0.04613891</v>
      </c>
      <c r="C11" s="33">
        <v>0</v>
      </c>
      <c r="D11" s="28"/>
      <c r="E11" s="28">
        <f t="shared" si="0"/>
        <v>0</v>
      </c>
      <c r="F11" s="61" t="e">
        <f>#REF!</f>
        <v>#REF!</v>
      </c>
      <c r="G11" s="41" t="e">
        <f>ROUND($E11*F11,0)-2</f>
        <v>#REF!</v>
      </c>
      <c r="H11" s="61" t="e">
        <f>#REF!</f>
        <v>#REF!</v>
      </c>
      <c r="I11" s="41" t="e">
        <f t="shared" si="2"/>
        <v>#REF!</v>
      </c>
      <c r="J11" s="61" t="e">
        <f>#REF!</f>
        <v>#REF!</v>
      </c>
      <c r="K11" s="41" t="e">
        <f>ROUND($E11*J11,0)-1</f>
        <v>#REF!</v>
      </c>
    </row>
    <row r="12" spans="1:11" ht="12.75">
      <c r="A12" s="34" t="s">
        <v>7</v>
      </c>
      <c r="B12" s="40">
        <v>0.0160872</v>
      </c>
      <c r="C12" s="33">
        <v>0</v>
      </c>
      <c r="D12" s="28"/>
      <c r="E12" s="28">
        <f t="shared" si="0"/>
        <v>0</v>
      </c>
      <c r="F12" s="61" t="e">
        <f>#REF!</f>
        <v>#REF!</v>
      </c>
      <c r="G12" s="41" t="e">
        <f t="shared" si="1"/>
        <v>#REF!</v>
      </c>
      <c r="H12" s="61" t="e">
        <f>#REF!</f>
        <v>#REF!</v>
      </c>
      <c r="I12" s="41" t="e">
        <f t="shared" si="2"/>
        <v>#REF!</v>
      </c>
      <c r="J12" s="61" t="e">
        <f>#REF!</f>
        <v>#REF!</v>
      </c>
      <c r="K12" s="41" t="e">
        <f t="shared" si="3"/>
        <v>#REF!</v>
      </c>
    </row>
    <row r="13" spans="1:11" ht="12.75">
      <c r="A13" s="34" t="s">
        <v>8</v>
      </c>
      <c r="B13" s="40">
        <v>0.02098632</v>
      </c>
      <c r="C13" s="33">
        <v>4956918</v>
      </c>
      <c r="D13" s="28"/>
      <c r="E13" s="28">
        <f t="shared" si="0"/>
        <v>4956918</v>
      </c>
      <c r="F13" s="61" t="e">
        <f>#REF!</f>
        <v>#REF!</v>
      </c>
      <c r="G13" s="41" t="e">
        <f t="shared" si="1"/>
        <v>#REF!</v>
      </c>
      <c r="H13" s="61" t="e">
        <f>#REF!</f>
        <v>#REF!</v>
      </c>
      <c r="I13" s="41" t="e">
        <f t="shared" si="2"/>
        <v>#REF!</v>
      </c>
      <c r="J13" s="61" t="e">
        <f>#REF!</f>
        <v>#REF!</v>
      </c>
      <c r="K13" s="41" t="e">
        <f t="shared" si="3"/>
        <v>#REF!</v>
      </c>
    </row>
    <row r="14" spans="1:11" ht="12.75">
      <c r="A14" s="34" t="s">
        <v>9</v>
      </c>
      <c r="B14" s="40">
        <v>0.00278553</v>
      </c>
      <c r="C14" s="33">
        <v>0</v>
      </c>
      <c r="D14" s="28"/>
      <c r="E14" s="28">
        <f t="shared" si="0"/>
        <v>0</v>
      </c>
      <c r="F14" s="61" t="e">
        <f>#REF!</f>
        <v>#REF!</v>
      </c>
      <c r="G14" s="41" t="e">
        <f t="shared" si="1"/>
        <v>#REF!</v>
      </c>
      <c r="H14" s="61" t="e">
        <f>#REF!</f>
        <v>#REF!</v>
      </c>
      <c r="I14" s="41" t="e">
        <f t="shared" si="2"/>
        <v>#REF!</v>
      </c>
      <c r="J14" s="61" t="e">
        <f>#REF!</f>
        <v>#REF!</v>
      </c>
      <c r="K14" s="41" t="e">
        <f t="shared" si="3"/>
        <v>#REF!</v>
      </c>
    </row>
    <row r="15" spans="1:11" ht="12.75">
      <c r="A15" s="34" t="s">
        <v>55</v>
      </c>
      <c r="B15" s="40">
        <v>0.00325921</v>
      </c>
      <c r="C15" s="33">
        <v>0</v>
      </c>
      <c r="D15" s="28"/>
      <c r="E15" s="28">
        <f t="shared" si="0"/>
        <v>0</v>
      </c>
      <c r="F15" s="61" t="e">
        <f>#REF!</f>
        <v>#REF!</v>
      </c>
      <c r="G15" s="41" t="e">
        <f t="shared" si="1"/>
        <v>#REF!</v>
      </c>
      <c r="H15" s="61" t="e">
        <f>#REF!</f>
        <v>#REF!</v>
      </c>
      <c r="I15" s="41" t="e">
        <f t="shared" si="2"/>
        <v>#REF!</v>
      </c>
      <c r="J15" s="61" t="e">
        <f>#REF!</f>
        <v>#REF!</v>
      </c>
      <c r="K15" s="41" t="e">
        <f t="shared" si="3"/>
        <v>#REF!</v>
      </c>
    </row>
    <row r="16" spans="1:11" ht="12.75">
      <c r="A16" s="34" t="s">
        <v>10</v>
      </c>
      <c r="B16" s="40">
        <v>0.01360848</v>
      </c>
      <c r="C16" s="33">
        <v>0</v>
      </c>
      <c r="D16" s="28"/>
      <c r="E16" s="28">
        <f t="shared" si="0"/>
        <v>0</v>
      </c>
      <c r="F16" s="61" t="e">
        <f>#REF!</f>
        <v>#REF!</v>
      </c>
      <c r="G16" s="41" t="e">
        <f t="shared" si="1"/>
        <v>#REF!</v>
      </c>
      <c r="H16" s="61" t="e">
        <f>#REF!</f>
        <v>#REF!</v>
      </c>
      <c r="I16" s="41" t="e">
        <f t="shared" si="2"/>
        <v>#REF!</v>
      </c>
      <c r="J16" s="61" t="e">
        <f>#REF!</f>
        <v>#REF!</v>
      </c>
      <c r="K16" s="41" t="e">
        <f t="shared" si="3"/>
        <v>#REF!</v>
      </c>
    </row>
    <row r="17" spans="1:11" ht="12.75">
      <c r="A17" s="34" t="s">
        <v>11</v>
      </c>
      <c r="B17" s="40">
        <v>0.01075959</v>
      </c>
      <c r="C17" s="33">
        <v>0</v>
      </c>
      <c r="D17" s="28"/>
      <c r="E17" s="28">
        <f t="shared" si="0"/>
        <v>0</v>
      </c>
      <c r="F17" s="61" t="e">
        <f>#REF!</f>
        <v>#REF!</v>
      </c>
      <c r="G17" s="41" t="e">
        <f t="shared" si="1"/>
        <v>#REF!</v>
      </c>
      <c r="H17" s="61" t="e">
        <f>#REF!</f>
        <v>#REF!</v>
      </c>
      <c r="I17" s="41" t="e">
        <f t="shared" si="2"/>
        <v>#REF!</v>
      </c>
      <c r="J17" s="61" t="e">
        <f>#REF!</f>
        <v>#REF!</v>
      </c>
      <c r="K17" s="41" t="e">
        <f t="shared" si="3"/>
        <v>#REF!</v>
      </c>
    </row>
    <row r="18" spans="1:11" ht="12.75">
      <c r="A18" s="34" t="s">
        <v>12</v>
      </c>
      <c r="B18" s="40">
        <v>0.00108355</v>
      </c>
      <c r="C18" s="33">
        <v>0</v>
      </c>
      <c r="D18" s="28"/>
      <c r="E18" s="28">
        <f t="shared" si="0"/>
        <v>0</v>
      </c>
      <c r="F18" s="61" t="e">
        <f>#REF!</f>
        <v>#REF!</v>
      </c>
      <c r="G18" s="41" t="e">
        <f t="shared" si="1"/>
        <v>#REF!</v>
      </c>
      <c r="H18" s="61" t="e">
        <f>#REF!</f>
        <v>#REF!</v>
      </c>
      <c r="I18" s="41" t="e">
        <f t="shared" si="2"/>
        <v>#REF!</v>
      </c>
      <c r="J18" s="61" t="e">
        <f>#REF!</f>
        <v>#REF!</v>
      </c>
      <c r="K18" s="41" t="e">
        <f t="shared" si="3"/>
        <v>#REF!</v>
      </c>
    </row>
    <row r="19" spans="1:11" ht="12.75">
      <c r="A19" s="34" t="s">
        <v>13</v>
      </c>
      <c r="B19" s="40">
        <v>0.00627508</v>
      </c>
      <c r="C19" s="33">
        <v>0</v>
      </c>
      <c r="D19" s="28"/>
      <c r="E19" s="28">
        <f t="shared" si="0"/>
        <v>0</v>
      </c>
      <c r="F19" s="61" t="e">
        <f>#REF!</f>
        <v>#REF!</v>
      </c>
      <c r="G19" s="41" t="e">
        <f t="shared" si="1"/>
        <v>#REF!</v>
      </c>
      <c r="H19" s="61" t="e">
        <f>#REF!</f>
        <v>#REF!</v>
      </c>
      <c r="I19" s="41" t="e">
        <f t="shared" si="2"/>
        <v>#REF!</v>
      </c>
      <c r="J19" s="61" t="e">
        <f>#REF!</f>
        <v>#REF!</v>
      </c>
      <c r="K19" s="41" t="e">
        <f t="shared" si="3"/>
        <v>#REF!</v>
      </c>
    </row>
    <row r="20" spans="1:11" ht="12.75">
      <c r="A20" s="34" t="s">
        <v>14</v>
      </c>
      <c r="B20" s="40">
        <v>0.05808651</v>
      </c>
      <c r="C20" s="33">
        <v>0</v>
      </c>
      <c r="D20" s="28"/>
      <c r="E20" s="28">
        <f t="shared" si="0"/>
        <v>0</v>
      </c>
      <c r="F20" s="61" t="e">
        <f>#REF!</f>
        <v>#REF!</v>
      </c>
      <c r="G20" s="41" t="e">
        <f t="shared" si="1"/>
        <v>#REF!</v>
      </c>
      <c r="H20" s="61" t="e">
        <f>#REF!</f>
        <v>#REF!</v>
      </c>
      <c r="I20" s="41" t="e">
        <f t="shared" si="2"/>
        <v>#REF!</v>
      </c>
      <c r="J20" s="61" t="e">
        <f>#REF!</f>
        <v>#REF!</v>
      </c>
      <c r="K20" s="41" t="e">
        <f t="shared" si="3"/>
        <v>#REF!</v>
      </c>
    </row>
    <row r="21" spans="1:11" ht="12.75">
      <c r="A21" s="34" t="s">
        <v>15</v>
      </c>
      <c r="B21" s="40">
        <v>0.02629994</v>
      </c>
      <c r="C21" s="33">
        <v>0</v>
      </c>
      <c r="D21" s="28"/>
      <c r="E21" s="28">
        <f t="shared" si="0"/>
        <v>0</v>
      </c>
      <c r="F21" s="61" t="e">
        <f>#REF!</f>
        <v>#REF!</v>
      </c>
      <c r="G21" s="41" t="e">
        <f t="shared" si="1"/>
        <v>#REF!</v>
      </c>
      <c r="H21" s="61" t="e">
        <f>#REF!</f>
        <v>#REF!</v>
      </c>
      <c r="I21" s="41" t="e">
        <f t="shared" si="2"/>
        <v>#REF!</v>
      </c>
      <c r="J21" s="61" t="e">
        <f>#REF!</f>
        <v>#REF!</v>
      </c>
      <c r="K21" s="41" t="e">
        <f t="shared" si="3"/>
        <v>#REF!</v>
      </c>
    </row>
    <row r="22" spans="1:11" ht="12.75">
      <c r="A22" s="34" t="s">
        <v>16</v>
      </c>
      <c r="B22" s="40">
        <v>0.01863912</v>
      </c>
      <c r="C22" s="33">
        <v>0</v>
      </c>
      <c r="D22" s="28"/>
      <c r="E22" s="28">
        <f t="shared" si="0"/>
        <v>0</v>
      </c>
      <c r="F22" s="61" t="e">
        <f>#REF!</f>
        <v>#REF!</v>
      </c>
      <c r="G22" s="41" t="e">
        <f t="shared" si="1"/>
        <v>#REF!</v>
      </c>
      <c r="H22" s="61" t="e">
        <f>#REF!</f>
        <v>#REF!</v>
      </c>
      <c r="I22" s="41" t="e">
        <f t="shared" si="2"/>
        <v>#REF!</v>
      </c>
      <c r="J22" s="61" t="e">
        <f>#REF!</f>
        <v>#REF!</v>
      </c>
      <c r="K22" s="41" t="e">
        <f t="shared" si="3"/>
        <v>#REF!</v>
      </c>
    </row>
    <row r="23" spans="1:11" ht="12.75">
      <c r="A23" s="34" t="s">
        <v>17</v>
      </c>
      <c r="B23" s="40">
        <v>0.00855992</v>
      </c>
      <c r="C23" s="33">
        <v>0</v>
      </c>
      <c r="D23" s="28"/>
      <c r="E23" s="28">
        <f t="shared" si="0"/>
        <v>0</v>
      </c>
      <c r="F23" s="61" t="e">
        <f>#REF!</f>
        <v>#REF!</v>
      </c>
      <c r="G23" s="41" t="e">
        <f t="shared" si="1"/>
        <v>#REF!</v>
      </c>
      <c r="H23" s="61" t="e">
        <f>#REF!</f>
        <v>#REF!</v>
      </c>
      <c r="I23" s="41" t="e">
        <f t="shared" si="2"/>
        <v>#REF!</v>
      </c>
      <c r="J23" s="61" t="e">
        <f>#REF!</f>
        <v>#REF!</v>
      </c>
      <c r="K23" s="41" t="e">
        <f t="shared" si="3"/>
        <v>#REF!</v>
      </c>
    </row>
    <row r="24" spans="1:11" ht="12.75">
      <c r="A24" s="34" t="s">
        <v>18</v>
      </c>
      <c r="B24" s="40">
        <v>0.0136864</v>
      </c>
      <c r="C24" s="33">
        <v>0</v>
      </c>
      <c r="D24" s="28"/>
      <c r="E24" s="28">
        <f t="shared" si="0"/>
        <v>0</v>
      </c>
      <c r="F24" s="61" t="e">
        <f>#REF!</f>
        <v>#REF!</v>
      </c>
      <c r="G24" s="41" t="e">
        <f t="shared" si="1"/>
        <v>#REF!</v>
      </c>
      <c r="H24" s="61" t="e">
        <f>#REF!</f>
        <v>#REF!</v>
      </c>
      <c r="I24" s="41" t="e">
        <f t="shared" si="2"/>
        <v>#REF!</v>
      </c>
      <c r="J24" s="61" t="e">
        <f>#REF!</f>
        <v>#REF!</v>
      </c>
      <c r="K24" s="41" t="e">
        <f t="shared" si="3"/>
        <v>#REF!</v>
      </c>
    </row>
    <row r="25" spans="1:11" ht="12.75">
      <c r="A25" s="34" t="s">
        <v>19</v>
      </c>
      <c r="B25" s="40">
        <v>0.00879264</v>
      </c>
      <c r="C25" s="33">
        <v>0</v>
      </c>
      <c r="D25" s="28"/>
      <c r="E25" s="28">
        <f t="shared" si="0"/>
        <v>0</v>
      </c>
      <c r="F25" s="61" t="e">
        <f>#REF!</f>
        <v>#REF!</v>
      </c>
      <c r="G25" s="41" t="e">
        <f t="shared" si="1"/>
        <v>#REF!</v>
      </c>
      <c r="H25" s="61" t="e">
        <f>#REF!</f>
        <v>#REF!</v>
      </c>
      <c r="I25" s="41" t="e">
        <f t="shared" si="2"/>
        <v>#REF!</v>
      </c>
      <c r="J25" s="61" t="e">
        <f>#REF!</f>
        <v>#REF!</v>
      </c>
      <c r="K25" s="41" t="e">
        <f t="shared" si="3"/>
        <v>#REF!</v>
      </c>
    </row>
    <row r="26" spans="1:11" ht="12.75">
      <c r="A26" s="34" t="s">
        <v>20</v>
      </c>
      <c r="B26" s="40">
        <v>0.01359579</v>
      </c>
      <c r="C26" s="33">
        <v>5768233</v>
      </c>
      <c r="D26" s="28">
        <f>'Tribes at $25m'!H21</f>
        <v>210829</v>
      </c>
      <c r="E26" s="28">
        <f t="shared" si="0"/>
        <v>5557404</v>
      </c>
      <c r="F26" s="61" t="e">
        <f>#REF!</f>
        <v>#REF!</v>
      </c>
      <c r="G26" s="41" t="e">
        <f t="shared" si="1"/>
        <v>#REF!</v>
      </c>
      <c r="H26" s="61" t="e">
        <f>#REF!</f>
        <v>#REF!</v>
      </c>
      <c r="I26" s="41" t="e">
        <f t="shared" si="2"/>
        <v>#REF!</v>
      </c>
      <c r="J26" s="61" t="e">
        <f>#REF!</f>
        <v>#REF!</v>
      </c>
      <c r="K26" s="41" t="e">
        <f t="shared" si="3"/>
        <v>#REF!</v>
      </c>
    </row>
    <row r="27" spans="1:11" ht="12.75">
      <c r="A27" s="34" t="s">
        <v>21</v>
      </c>
      <c r="B27" s="40">
        <v>0.01606896</v>
      </c>
      <c r="C27" s="33">
        <v>0</v>
      </c>
      <c r="D27" s="28"/>
      <c r="E27" s="28">
        <f t="shared" si="0"/>
        <v>0</v>
      </c>
      <c r="F27" s="61" t="e">
        <f>#REF!</f>
        <v>#REF!</v>
      </c>
      <c r="G27" s="41" t="e">
        <f t="shared" si="1"/>
        <v>#REF!</v>
      </c>
      <c r="H27" s="61" t="e">
        <f>#REF!</f>
        <v>#REF!</v>
      </c>
      <c r="I27" s="41" t="e">
        <f t="shared" si="2"/>
        <v>#REF!</v>
      </c>
      <c r="J27" s="61" t="e">
        <f>#REF!</f>
        <v>#REF!</v>
      </c>
      <c r="K27" s="41" t="e">
        <f t="shared" si="3"/>
        <v>#REF!</v>
      </c>
    </row>
    <row r="28" spans="1:11" ht="12.75">
      <c r="A28" s="34" t="s">
        <v>22</v>
      </c>
      <c r="B28" s="40">
        <v>0.04197959</v>
      </c>
      <c r="C28" s="33">
        <v>7490761</v>
      </c>
      <c r="D28" s="28">
        <f>'Tribes at $25m'!H27</f>
        <v>2996</v>
      </c>
      <c r="E28" s="28">
        <f t="shared" si="0"/>
        <v>7487765</v>
      </c>
      <c r="F28" s="61" t="e">
        <f>#REF!</f>
        <v>#REF!</v>
      </c>
      <c r="G28" s="41" t="e">
        <f t="shared" si="1"/>
        <v>#REF!</v>
      </c>
      <c r="H28" s="61" t="e">
        <f>#REF!</f>
        <v>#REF!</v>
      </c>
      <c r="I28" s="41" t="e">
        <f t="shared" si="2"/>
        <v>#REF!</v>
      </c>
      <c r="J28" s="61" t="e">
        <f>#REF!</f>
        <v>#REF!</v>
      </c>
      <c r="K28" s="41" t="e">
        <f t="shared" si="3"/>
        <v>#REF!</v>
      </c>
    </row>
    <row r="29" spans="1:11" ht="12.75">
      <c r="A29" s="34" t="s">
        <v>23</v>
      </c>
      <c r="B29" s="40">
        <v>0.05514805</v>
      </c>
      <c r="C29" s="33">
        <v>0</v>
      </c>
      <c r="D29" s="28"/>
      <c r="E29" s="28">
        <f t="shared" si="0"/>
        <v>0</v>
      </c>
      <c r="F29" s="61" t="e">
        <f>#REF!</f>
        <v>#REF!</v>
      </c>
      <c r="G29" s="41" t="e">
        <f t="shared" si="1"/>
        <v>#REF!</v>
      </c>
      <c r="H29" s="61" t="e">
        <f>#REF!</f>
        <v>#REF!</v>
      </c>
      <c r="I29" s="41" t="e">
        <f t="shared" si="2"/>
        <v>#REF!</v>
      </c>
      <c r="J29" s="61" t="e">
        <f>#REF!</f>
        <v>#REF!</v>
      </c>
      <c r="K29" s="41" t="e">
        <f t="shared" si="3"/>
        <v>#REF!</v>
      </c>
    </row>
    <row r="30" spans="1:11" ht="12.75">
      <c r="A30" s="34" t="s">
        <v>24</v>
      </c>
      <c r="B30" s="40">
        <v>0.03973105</v>
      </c>
      <c r="C30" s="33">
        <v>0</v>
      </c>
      <c r="D30" s="28"/>
      <c r="E30" s="28">
        <f t="shared" si="0"/>
        <v>0</v>
      </c>
      <c r="F30" s="61" t="e">
        <f>#REF!</f>
        <v>#REF!</v>
      </c>
      <c r="G30" s="41" t="e">
        <f t="shared" si="1"/>
        <v>#REF!</v>
      </c>
      <c r="H30" s="61" t="e">
        <f>#REF!</f>
        <v>#REF!</v>
      </c>
      <c r="I30" s="41" t="e">
        <f t="shared" si="2"/>
        <v>#REF!</v>
      </c>
      <c r="J30" s="61" t="e">
        <f>#REF!</f>
        <v>#REF!</v>
      </c>
      <c r="K30" s="41" t="e">
        <f t="shared" si="3"/>
        <v>#REF!</v>
      </c>
    </row>
    <row r="31" spans="1:11" ht="12.75">
      <c r="A31" s="34" t="s">
        <v>25</v>
      </c>
      <c r="B31" s="40">
        <v>0.00737355</v>
      </c>
      <c r="C31" s="33">
        <v>0</v>
      </c>
      <c r="D31" s="28"/>
      <c r="E31" s="28">
        <f t="shared" si="0"/>
        <v>0</v>
      </c>
      <c r="F31" s="61" t="e">
        <f>#REF!</f>
        <v>#REF!</v>
      </c>
      <c r="G31" s="41" t="e">
        <f t="shared" si="1"/>
        <v>#REF!</v>
      </c>
      <c r="H31" s="61" t="e">
        <f>#REF!</f>
        <v>#REF!</v>
      </c>
      <c r="I31" s="41" t="e">
        <f t="shared" si="2"/>
        <v>#REF!</v>
      </c>
      <c r="J31" s="61" t="e">
        <f>#REF!</f>
        <v>#REF!</v>
      </c>
      <c r="K31" s="41" t="e">
        <f t="shared" si="3"/>
        <v>#REF!</v>
      </c>
    </row>
    <row r="32" spans="1:11" ht="12.75">
      <c r="A32" s="34" t="s">
        <v>26</v>
      </c>
      <c r="B32" s="40">
        <v>0.02320202</v>
      </c>
      <c r="C32" s="33">
        <v>0</v>
      </c>
      <c r="D32" s="28"/>
      <c r="E32" s="28">
        <f t="shared" si="0"/>
        <v>0</v>
      </c>
      <c r="F32" s="61" t="e">
        <f>#REF!</f>
        <v>#REF!</v>
      </c>
      <c r="G32" s="41" t="e">
        <f t="shared" si="1"/>
        <v>#REF!</v>
      </c>
      <c r="H32" s="61" t="e">
        <f>#REF!</f>
        <v>#REF!</v>
      </c>
      <c r="I32" s="41" t="e">
        <f t="shared" si="2"/>
        <v>#REF!</v>
      </c>
      <c r="J32" s="61" t="e">
        <f>#REF!</f>
        <v>#REF!</v>
      </c>
      <c r="K32" s="41" t="e">
        <f t="shared" si="3"/>
        <v>#REF!</v>
      </c>
    </row>
    <row r="33" spans="1:11" ht="12.75">
      <c r="A33" s="34" t="s">
        <v>27</v>
      </c>
      <c r="B33" s="40">
        <v>0.00736027</v>
      </c>
      <c r="C33" s="33">
        <v>0</v>
      </c>
      <c r="D33" s="28"/>
      <c r="E33" s="28">
        <f t="shared" si="0"/>
        <v>0</v>
      </c>
      <c r="F33" s="61" t="e">
        <f>#REF!</f>
        <v>#REF!</v>
      </c>
      <c r="G33" s="41" t="e">
        <f t="shared" si="1"/>
        <v>#REF!</v>
      </c>
      <c r="H33" s="61" t="e">
        <f>#REF!</f>
        <v>#REF!</v>
      </c>
      <c r="I33" s="41" t="e">
        <f t="shared" si="2"/>
        <v>#REF!</v>
      </c>
      <c r="J33" s="61" t="e">
        <f>#REF!</f>
        <v>#REF!</v>
      </c>
      <c r="K33" s="41" t="e">
        <f t="shared" si="3"/>
        <v>#REF!</v>
      </c>
    </row>
    <row r="34" spans="1:11" ht="12.75">
      <c r="A34" s="34" t="s">
        <v>28</v>
      </c>
      <c r="B34" s="40">
        <v>0.00921776</v>
      </c>
      <c r="C34" s="33">
        <v>0</v>
      </c>
      <c r="D34" s="28"/>
      <c r="E34" s="28">
        <f t="shared" si="0"/>
        <v>0</v>
      </c>
      <c r="F34" s="61" t="e">
        <f>#REF!</f>
        <v>#REF!</v>
      </c>
      <c r="G34" s="41" t="e">
        <f t="shared" si="1"/>
        <v>#REF!</v>
      </c>
      <c r="H34" s="61" t="e">
        <f>#REF!</f>
        <v>#REF!</v>
      </c>
      <c r="I34" s="41" t="e">
        <f t="shared" si="2"/>
        <v>#REF!</v>
      </c>
      <c r="J34" s="61" t="e">
        <f>#REF!</f>
        <v>#REF!</v>
      </c>
      <c r="K34" s="41" t="e">
        <f t="shared" si="3"/>
        <v>#REF!</v>
      </c>
    </row>
    <row r="35" spans="1:11" ht="12.75">
      <c r="A35" s="34" t="s">
        <v>29</v>
      </c>
      <c r="B35" s="40">
        <v>0.00195349</v>
      </c>
      <c r="C35" s="33">
        <v>0</v>
      </c>
      <c r="D35" s="28"/>
      <c r="E35" s="28">
        <f t="shared" si="0"/>
        <v>0</v>
      </c>
      <c r="F35" s="61" t="e">
        <f>#REF!</f>
        <v>#REF!</v>
      </c>
      <c r="G35" s="41" t="e">
        <f t="shared" si="1"/>
        <v>#REF!</v>
      </c>
      <c r="H35" s="61" t="e">
        <f>#REF!</f>
        <v>#REF!</v>
      </c>
      <c r="I35" s="41" t="e">
        <f t="shared" si="2"/>
        <v>#REF!</v>
      </c>
      <c r="J35" s="61" t="e">
        <f>#REF!</f>
        <v>#REF!</v>
      </c>
      <c r="K35" s="41" t="e">
        <f t="shared" si="3"/>
        <v>#REF!</v>
      </c>
    </row>
    <row r="36" spans="1:11" ht="12.75">
      <c r="A36" s="34" t="s">
        <v>30</v>
      </c>
      <c r="B36" s="40">
        <v>0.00794588</v>
      </c>
      <c r="C36" s="33">
        <v>2433385</v>
      </c>
      <c r="D36" s="28"/>
      <c r="E36" s="28">
        <f t="shared" si="0"/>
        <v>2433385</v>
      </c>
      <c r="F36" s="61" t="e">
        <f>#REF!</f>
        <v>#REF!</v>
      </c>
      <c r="G36" s="41" t="e">
        <f t="shared" si="1"/>
        <v>#REF!</v>
      </c>
      <c r="H36" s="61" t="e">
        <f>#REF!</f>
        <v>#REF!</v>
      </c>
      <c r="I36" s="41" t="e">
        <f t="shared" si="2"/>
        <v>#REF!</v>
      </c>
      <c r="J36" s="61" t="e">
        <f>#REF!</f>
        <v>#REF!</v>
      </c>
      <c r="K36" s="41" t="e">
        <f t="shared" si="3"/>
        <v>#REF!</v>
      </c>
    </row>
    <row r="37" spans="1:11" ht="12.75">
      <c r="A37" s="34" t="s">
        <v>31</v>
      </c>
      <c r="B37" s="40">
        <v>0.03897152</v>
      </c>
      <c r="C37" s="33">
        <v>0</v>
      </c>
      <c r="D37" s="28"/>
      <c r="E37" s="28">
        <f t="shared" si="0"/>
        <v>0</v>
      </c>
      <c r="F37" s="61" t="e">
        <f>#REF!</f>
        <v>#REF!</v>
      </c>
      <c r="G37" s="41" t="e">
        <f t="shared" si="1"/>
        <v>#REF!</v>
      </c>
      <c r="H37" s="61" t="e">
        <f>#REF!</f>
        <v>#REF!</v>
      </c>
      <c r="I37" s="41" t="e">
        <f t="shared" si="2"/>
        <v>#REF!</v>
      </c>
      <c r="J37" s="61" t="e">
        <f>#REF!</f>
        <v>#REF!</v>
      </c>
      <c r="K37" s="41" t="e">
        <f t="shared" si="3"/>
        <v>#REF!</v>
      </c>
    </row>
    <row r="38" spans="1:11" ht="12.75">
      <c r="A38" s="34" t="s">
        <v>32</v>
      </c>
      <c r="B38" s="40">
        <v>0.00520713</v>
      </c>
      <c r="C38" s="33">
        <v>0</v>
      </c>
      <c r="D38" s="28"/>
      <c r="E38" s="28">
        <f t="shared" si="0"/>
        <v>0</v>
      </c>
      <c r="F38" s="61" t="e">
        <f>#REF!</f>
        <v>#REF!</v>
      </c>
      <c r="G38" s="41" t="e">
        <f t="shared" si="1"/>
        <v>#REF!</v>
      </c>
      <c r="H38" s="61" t="e">
        <f>#REF!</f>
        <v>#REF!</v>
      </c>
      <c r="I38" s="41" t="e">
        <f t="shared" si="2"/>
        <v>#REF!</v>
      </c>
      <c r="J38" s="61" t="e">
        <f>#REF!</f>
        <v>#REF!</v>
      </c>
      <c r="K38" s="41" t="e">
        <f t="shared" si="3"/>
        <v>#REF!</v>
      </c>
    </row>
    <row r="39" spans="1:11" ht="12.75">
      <c r="A39" s="34" t="s">
        <v>33</v>
      </c>
      <c r="B39" s="40">
        <v>0.12724791</v>
      </c>
      <c r="C39" s="33">
        <v>0</v>
      </c>
      <c r="D39" s="28"/>
      <c r="E39" s="28">
        <f t="shared" si="0"/>
        <v>0</v>
      </c>
      <c r="F39" s="61" t="e">
        <f>#REF!</f>
        <v>#REF!</v>
      </c>
      <c r="G39" s="41" t="e">
        <f t="shared" si="1"/>
        <v>#REF!</v>
      </c>
      <c r="H39" s="61" t="e">
        <f>#REF!</f>
        <v>#REF!</v>
      </c>
      <c r="I39" s="41" t="e">
        <f t="shared" si="2"/>
        <v>#REF!</v>
      </c>
      <c r="J39" s="61" t="e">
        <f>#REF!</f>
        <v>#REF!</v>
      </c>
      <c r="K39" s="41" t="e">
        <f t="shared" si="3"/>
        <v>#REF!</v>
      </c>
    </row>
    <row r="40" spans="1:11" ht="12.75">
      <c r="A40" s="34" t="s">
        <v>34</v>
      </c>
      <c r="B40" s="40">
        <v>0.0189638</v>
      </c>
      <c r="C40" s="33">
        <v>0</v>
      </c>
      <c r="D40" s="28"/>
      <c r="E40" s="28">
        <f t="shared" si="0"/>
        <v>0</v>
      </c>
      <c r="F40" s="61" t="e">
        <f>#REF!</f>
        <v>#REF!</v>
      </c>
      <c r="G40" s="41" t="e">
        <f t="shared" si="1"/>
        <v>#REF!</v>
      </c>
      <c r="H40" s="61" t="e">
        <f>#REF!</f>
        <v>#REF!</v>
      </c>
      <c r="I40" s="41" t="e">
        <f t="shared" si="2"/>
        <v>#REF!</v>
      </c>
      <c r="J40" s="61" t="e">
        <f>#REF!</f>
        <v>#REF!</v>
      </c>
      <c r="K40" s="41" t="e">
        <f t="shared" si="3"/>
        <v>#REF!</v>
      </c>
    </row>
    <row r="41" spans="1:11" ht="12.75">
      <c r="A41" s="34" t="s">
        <v>35</v>
      </c>
      <c r="B41" s="40">
        <v>0.00799548</v>
      </c>
      <c r="C41" s="33">
        <v>0</v>
      </c>
      <c r="D41" s="28"/>
      <c r="E41" s="28">
        <f t="shared" si="0"/>
        <v>0</v>
      </c>
      <c r="F41" s="61" t="e">
        <f>#REF!</f>
        <v>#REF!</v>
      </c>
      <c r="G41" s="41" t="e">
        <f t="shared" si="1"/>
        <v>#REF!</v>
      </c>
      <c r="H41" s="61" t="e">
        <f>#REF!</f>
        <v>#REF!</v>
      </c>
      <c r="I41" s="41" t="e">
        <f t="shared" si="2"/>
        <v>#REF!</v>
      </c>
      <c r="J41" s="61" t="e">
        <f>#REF!</f>
        <v>#REF!</v>
      </c>
      <c r="K41" s="41" t="e">
        <f t="shared" si="3"/>
        <v>#REF!</v>
      </c>
    </row>
    <row r="42" spans="1:11" ht="12.75">
      <c r="A42" s="34" t="s">
        <v>36</v>
      </c>
      <c r="B42" s="40">
        <v>0.0513862</v>
      </c>
      <c r="C42" s="33">
        <v>0</v>
      </c>
      <c r="D42" s="28"/>
      <c r="E42" s="28">
        <f t="shared" si="0"/>
        <v>0</v>
      </c>
      <c r="F42" s="61" t="e">
        <f>#REF!</f>
        <v>#REF!</v>
      </c>
      <c r="G42" s="41" t="e">
        <f t="shared" si="1"/>
        <v>#REF!</v>
      </c>
      <c r="H42" s="61" t="e">
        <f>#REF!</f>
        <v>#REF!</v>
      </c>
      <c r="I42" s="41" t="e">
        <f t="shared" si="2"/>
        <v>#REF!</v>
      </c>
      <c r="J42" s="61" t="e">
        <f>#REF!</f>
        <v>#REF!</v>
      </c>
      <c r="K42" s="41" t="e">
        <f t="shared" si="3"/>
        <v>#REF!</v>
      </c>
    </row>
    <row r="43" spans="1:11" ht="12.75">
      <c r="A43" s="34" t="s">
        <v>37</v>
      </c>
      <c r="B43" s="40">
        <v>0.00790558</v>
      </c>
      <c r="C43" s="33">
        <v>0</v>
      </c>
      <c r="D43" s="28"/>
      <c r="E43" s="28">
        <f t="shared" si="0"/>
        <v>0</v>
      </c>
      <c r="F43" s="61" t="e">
        <f>#REF!</f>
        <v>#REF!</v>
      </c>
      <c r="G43" s="41" t="e">
        <f t="shared" si="1"/>
        <v>#REF!</v>
      </c>
      <c r="H43" s="61" t="e">
        <f>#REF!</f>
        <v>#REF!</v>
      </c>
      <c r="I43" s="41" t="e">
        <f t="shared" si="2"/>
        <v>#REF!</v>
      </c>
      <c r="J43" s="61" t="e">
        <f>#REF!</f>
        <v>#REF!</v>
      </c>
      <c r="K43" s="41" t="e">
        <f t="shared" si="3"/>
        <v>#REF!</v>
      </c>
    </row>
    <row r="44" spans="1:11" ht="12.75">
      <c r="A44" s="34" t="s">
        <v>38</v>
      </c>
      <c r="B44" s="40">
        <v>0.01246826</v>
      </c>
      <c r="C44" s="33">
        <v>0</v>
      </c>
      <c r="D44" s="28"/>
      <c r="E44" s="28">
        <f t="shared" si="0"/>
        <v>0</v>
      </c>
      <c r="F44" s="61" t="e">
        <f>#REF!</f>
        <v>#REF!</v>
      </c>
      <c r="G44" s="41" t="e">
        <f t="shared" si="1"/>
        <v>#REF!</v>
      </c>
      <c r="H44" s="61" t="e">
        <f>#REF!</f>
        <v>#REF!</v>
      </c>
      <c r="I44" s="41" t="e">
        <f t="shared" si="2"/>
        <v>#REF!</v>
      </c>
      <c r="J44" s="61" t="e">
        <f>#REF!</f>
        <v>#REF!</v>
      </c>
      <c r="K44" s="41" t="e">
        <f t="shared" si="3"/>
        <v>#REF!</v>
      </c>
    </row>
    <row r="45" spans="1:11" ht="12.75">
      <c r="A45" s="34" t="s">
        <v>39</v>
      </c>
      <c r="B45" s="40">
        <v>0.0683509</v>
      </c>
      <c r="C45" s="33">
        <v>0</v>
      </c>
      <c r="D45" s="28"/>
      <c r="E45" s="28">
        <f t="shared" si="0"/>
        <v>0</v>
      </c>
      <c r="F45" s="61" t="e">
        <f>#REF!</f>
        <v>#REF!</v>
      </c>
      <c r="G45" s="41" t="e">
        <f t="shared" si="1"/>
        <v>#REF!</v>
      </c>
      <c r="H45" s="61" t="e">
        <f>#REF!</f>
        <v>#REF!</v>
      </c>
      <c r="I45" s="41" t="e">
        <f t="shared" si="2"/>
        <v>#REF!</v>
      </c>
      <c r="J45" s="61" t="e">
        <f>#REF!</f>
        <v>#REF!</v>
      </c>
      <c r="K45" s="41" t="e">
        <f t="shared" si="3"/>
        <v>#REF!</v>
      </c>
    </row>
    <row r="46" spans="1:11" ht="12.75">
      <c r="A46" s="34" t="s">
        <v>40</v>
      </c>
      <c r="B46" s="40">
        <v>0.00691008</v>
      </c>
      <c r="C46" s="33">
        <v>1265202</v>
      </c>
      <c r="D46" s="28">
        <f>'Tribes at $25m'!H29</f>
        <v>3585</v>
      </c>
      <c r="E46" s="28">
        <f t="shared" si="0"/>
        <v>1261617</v>
      </c>
      <c r="F46" s="61" t="e">
        <f>#REF!</f>
        <v>#REF!</v>
      </c>
      <c r="G46" s="41" t="e">
        <f t="shared" si="1"/>
        <v>#REF!</v>
      </c>
      <c r="H46" s="61" t="e">
        <f>#REF!</f>
        <v>#REF!</v>
      </c>
      <c r="I46" s="41" t="e">
        <f t="shared" si="2"/>
        <v>#REF!</v>
      </c>
      <c r="J46" s="61" t="e">
        <f>#REF!</f>
        <v>#REF!</v>
      </c>
      <c r="K46" s="41" t="e">
        <f t="shared" si="3"/>
        <v>#REF!</v>
      </c>
    </row>
    <row r="47" spans="1:11" ht="12.75">
      <c r="A47" s="34" t="s">
        <v>41</v>
      </c>
      <c r="B47" s="40">
        <v>0.00683051</v>
      </c>
      <c r="C47" s="33">
        <v>0</v>
      </c>
      <c r="D47" s="28"/>
      <c r="E47" s="28">
        <f t="shared" si="0"/>
        <v>0</v>
      </c>
      <c r="F47" s="61" t="e">
        <f>#REF!</f>
        <v>#REF!</v>
      </c>
      <c r="G47" s="41" t="e">
        <f t="shared" si="1"/>
        <v>#REF!</v>
      </c>
      <c r="H47" s="61" t="e">
        <f>#REF!</f>
        <v>#REF!</v>
      </c>
      <c r="I47" s="41" t="e">
        <f t="shared" si="2"/>
        <v>#REF!</v>
      </c>
      <c r="J47" s="61" t="e">
        <f>#REF!</f>
        <v>#REF!</v>
      </c>
      <c r="K47" s="41" t="e">
        <f t="shared" si="3"/>
        <v>#REF!</v>
      </c>
    </row>
    <row r="48" spans="1:11" ht="12.75">
      <c r="A48" s="34" t="s">
        <v>42</v>
      </c>
      <c r="B48" s="40">
        <v>0.00649373</v>
      </c>
      <c r="C48" s="33">
        <v>0</v>
      </c>
      <c r="D48" s="28"/>
      <c r="E48" s="28">
        <f t="shared" si="0"/>
        <v>0</v>
      </c>
      <c r="F48" s="61" t="e">
        <f>#REF!</f>
        <v>#REF!</v>
      </c>
      <c r="G48" s="41" t="e">
        <f t="shared" si="1"/>
        <v>#REF!</v>
      </c>
      <c r="H48" s="61" t="e">
        <f>#REF!</f>
        <v>#REF!</v>
      </c>
      <c r="I48" s="41" t="e">
        <f t="shared" si="2"/>
        <v>#REF!</v>
      </c>
      <c r="J48" s="61" t="e">
        <f>#REF!</f>
        <v>#REF!</v>
      </c>
      <c r="K48" s="41" t="e">
        <f t="shared" si="3"/>
        <v>#REF!</v>
      </c>
    </row>
    <row r="49" spans="1:11" ht="12.75">
      <c r="A49" s="34" t="s">
        <v>43</v>
      </c>
      <c r="B49" s="40">
        <v>0.01386403</v>
      </c>
      <c r="C49" s="33">
        <v>0</v>
      </c>
      <c r="D49" s="28"/>
      <c r="E49" s="28">
        <f t="shared" si="0"/>
        <v>0</v>
      </c>
      <c r="F49" s="61" t="e">
        <f>#REF!</f>
        <v>#REF!</v>
      </c>
      <c r="G49" s="41" t="e">
        <f t="shared" si="1"/>
        <v>#REF!</v>
      </c>
      <c r="H49" s="61" t="e">
        <f>#REF!</f>
        <v>#REF!</v>
      </c>
      <c r="I49" s="41" t="e">
        <f t="shared" si="2"/>
        <v>#REF!</v>
      </c>
      <c r="J49" s="61" t="e">
        <f>#REF!</f>
        <v>#REF!</v>
      </c>
      <c r="K49" s="41" t="e">
        <f t="shared" si="3"/>
        <v>#REF!</v>
      </c>
    </row>
    <row r="50" spans="1:11" ht="12.75">
      <c r="A50" s="34" t="s">
        <v>44</v>
      </c>
      <c r="B50" s="40">
        <v>0.02263997</v>
      </c>
      <c r="C50" s="33">
        <v>0</v>
      </c>
      <c r="D50" s="28"/>
      <c r="E50" s="28">
        <f t="shared" si="0"/>
        <v>0</v>
      </c>
      <c r="F50" s="61" t="e">
        <f>#REF!</f>
        <v>#REF!</v>
      </c>
      <c r="G50" s="41" t="e">
        <f t="shared" si="1"/>
        <v>#REF!</v>
      </c>
      <c r="H50" s="61" t="e">
        <f>#REF!</f>
        <v>#REF!</v>
      </c>
      <c r="I50" s="41" t="e">
        <f t="shared" si="2"/>
        <v>#REF!</v>
      </c>
      <c r="J50" s="61" t="e">
        <f>#REF!</f>
        <v>#REF!</v>
      </c>
      <c r="K50" s="41" t="e">
        <f t="shared" si="3"/>
        <v>#REF!</v>
      </c>
    </row>
    <row r="51" spans="1:11" ht="12.75">
      <c r="A51" s="34" t="s">
        <v>45</v>
      </c>
      <c r="B51" s="40">
        <v>0.00747576</v>
      </c>
      <c r="C51" s="33">
        <v>0</v>
      </c>
      <c r="D51" s="28"/>
      <c r="E51" s="28">
        <f t="shared" si="0"/>
        <v>0</v>
      </c>
      <c r="F51" s="61" t="e">
        <f>#REF!</f>
        <v>#REF!</v>
      </c>
      <c r="G51" s="41" t="e">
        <f t="shared" si="1"/>
        <v>#REF!</v>
      </c>
      <c r="H51" s="61" t="e">
        <f>#REF!</f>
        <v>#REF!</v>
      </c>
      <c r="I51" s="41" t="e">
        <f t="shared" si="2"/>
        <v>#REF!</v>
      </c>
      <c r="J51" s="61" t="e">
        <f>#REF!</f>
        <v>#REF!</v>
      </c>
      <c r="K51" s="41" t="e">
        <f t="shared" si="3"/>
        <v>#REF!</v>
      </c>
    </row>
    <row r="52" spans="1:11" ht="12.75">
      <c r="A52" s="34" t="s">
        <v>46</v>
      </c>
      <c r="B52" s="40">
        <v>0.00595572</v>
      </c>
      <c r="C52" s="33">
        <v>1917716</v>
      </c>
      <c r="D52" s="28"/>
      <c r="E52" s="28">
        <f t="shared" si="0"/>
        <v>1917716</v>
      </c>
      <c r="F52" s="61" t="e">
        <f>#REF!</f>
        <v>#REF!</v>
      </c>
      <c r="G52" s="41" t="e">
        <f t="shared" si="1"/>
        <v>#REF!</v>
      </c>
      <c r="H52" s="61" t="e">
        <f>#REF!</f>
        <v>#REF!</v>
      </c>
      <c r="I52" s="41" t="e">
        <f t="shared" si="2"/>
        <v>#REF!</v>
      </c>
      <c r="J52" s="61" t="e">
        <f>#REF!</f>
        <v>#REF!</v>
      </c>
      <c r="K52" s="41" t="e">
        <f t="shared" si="3"/>
        <v>#REF!</v>
      </c>
    </row>
    <row r="53" spans="1:11" ht="12.75">
      <c r="A53" s="34" t="s">
        <v>47</v>
      </c>
      <c r="B53" s="40">
        <v>0.01957379</v>
      </c>
      <c r="C53" s="33">
        <v>0</v>
      </c>
      <c r="D53" s="28"/>
      <c r="E53" s="28">
        <f t="shared" si="0"/>
        <v>0</v>
      </c>
      <c r="F53" s="61" t="e">
        <f>#REF!</f>
        <v>#REF!</v>
      </c>
      <c r="G53" s="41" t="e">
        <f t="shared" si="1"/>
        <v>#REF!</v>
      </c>
      <c r="H53" s="61" t="e">
        <f>#REF!</f>
        <v>#REF!</v>
      </c>
      <c r="I53" s="41" t="e">
        <f t="shared" si="2"/>
        <v>#REF!</v>
      </c>
      <c r="J53" s="61" t="e">
        <f>#REF!</f>
        <v>#REF!</v>
      </c>
      <c r="K53" s="41" t="e">
        <f t="shared" si="3"/>
        <v>#REF!</v>
      </c>
    </row>
    <row r="54" spans="1:11" ht="12.75">
      <c r="A54" s="34" t="s">
        <v>48</v>
      </c>
      <c r="B54" s="40">
        <v>0.02050857</v>
      </c>
      <c r="C54" s="33">
        <v>0</v>
      </c>
      <c r="D54" s="28"/>
      <c r="E54" s="28">
        <f t="shared" si="0"/>
        <v>0</v>
      </c>
      <c r="F54" s="61" t="e">
        <f>#REF!</f>
        <v>#REF!</v>
      </c>
      <c r="G54" s="41" t="e">
        <f t="shared" si="1"/>
        <v>#REF!</v>
      </c>
      <c r="H54" s="61" t="e">
        <f>#REF!</f>
        <v>#REF!</v>
      </c>
      <c r="I54" s="41" t="e">
        <f t="shared" si="2"/>
        <v>#REF!</v>
      </c>
      <c r="J54" s="61" t="e">
        <f>#REF!</f>
        <v>#REF!</v>
      </c>
      <c r="K54" s="41" t="e">
        <f t="shared" si="3"/>
        <v>#REF!</v>
      </c>
    </row>
    <row r="55" spans="1:11" ht="12.75">
      <c r="A55" s="34" t="s">
        <v>49</v>
      </c>
      <c r="B55" s="40">
        <v>0.00905733</v>
      </c>
      <c r="C55" s="33">
        <v>0</v>
      </c>
      <c r="D55" s="28"/>
      <c r="E55" s="28">
        <f t="shared" si="0"/>
        <v>0</v>
      </c>
      <c r="F55" s="61" t="e">
        <f>#REF!</f>
        <v>#REF!</v>
      </c>
      <c r="G55" s="41" t="e">
        <f t="shared" si="1"/>
        <v>#REF!</v>
      </c>
      <c r="H55" s="61" t="e">
        <f>#REF!</f>
        <v>#REF!</v>
      </c>
      <c r="I55" s="41" t="e">
        <f t="shared" si="2"/>
        <v>#REF!</v>
      </c>
      <c r="J55" s="61" t="e">
        <f>#REF!</f>
        <v>#REF!</v>
      </c>
      <c r="K55" s="41" t="e">
        <f t="shared" si="3"/>
        <v>#REF!</v>
      </c>
    </row>
    <row r="56" spans="1:11" ht="12.75">
      <c r="A56" s="34" t="s">
        <v>50</v>
      </c>
      <c r="B56" s="40">
        <v>0.03576365</v>
      </c>
      <c r="C56" s="33">
        <v>0</v>
      </c>
      <c r="D56" s="28"/>
      <c r="E56" s="28">
        <f t="shared" si="0"/>
        <v>0</v>
      </c>
      <c r="F56" s="61" t="e">
        <f>#REF!</f>
        <v>#REF!</v>
      </c>
      <c r="G56" s="41" t="e">
        <f t="shared" si="1"/>
        <v>#REF!</v>
      </c>
      <c r="H56" s="61" t="e">
        <f>#REF!</f>
        <v>#REF!</v>
      </c>
      <c r="I56" s="41" t="e">
        <f t="shared" si="2"/>
        <v>#REF!</v>
      </c>
      <c r="J56" s="61" t="e">
        <f>#REF!</f>
        <v>#REF!</v>
      </c>
      <c r="K56" s="41" t="e">
        <f t="shared" si="3"/>
        <v>#REF!</v>
      </c>
    </row>
    <row r="57" spans="1:11" ht="13.5" thickBot="1">
      <c r="A57" s="42" t="s">
        <v>51</v>
      </c>
      <c r="B57" s="43">
        <v>0.00299313</v>
      </c>
      <c r="C57" s="62">
        <v>0</v>
      </c>
      <c r="D57" s="44"/>
      <c r="E57" s="29">
        <f t="shared" si="0"/>
        <v>0</v>
      </c>
      <c r="F57" s="61" t="e">
        <f>#REF!</f>
        <v>#REF!</v>
      </c>
      <c r="G57" s="41" t="e">
        <f t="shared" si="1"/>
        <v>#REF!</v>
      </c>
      <c r="H57" s="61" t="e">
        <f>#REF!</f>
        <v>#REF!</v>
      </c>
      <c r="I57" s="41" t="e">
        <f t="shared" si="2"/>
        <v>#REF!</v>
      </c>
      <c r="J57" s="61" t="e">
        <f>#REF!</f>
        <v>#REF!</v>
      </c>
      <c r="K57" s="41" t="e">
        <f t="shared" si="3"/>
        <v>#REF!</v>
      </c>
    </row>
    <row r="58" spans="1:11" ht="13.5" thickTop="1">
      <c r="A58" s="45" t="s">
        <v>54</v>
      </c>
      <c r="B58" s="40"/>
      <c r="C58" s="28">
        <f>SUM(C7:C57)</f>
        <v>25000000</v>
      </c>
      <c r="D58" s="28">
        <f>SUM(D7:D57)</f>
        <v>575921</v>
      </c>
      <c r="E58" s="60">
        <f>SUM(E7:E57)</f>
        <v>24424079</v>
      </c>
      <c r="F58" s="56"/>
      <c r="G58" s="56" t="e">
        <f>SUM(G7:G57)</f>
        <v>#REF!</v>
      </c>
      <c r="H58" s="56"/>
      <c r="I58" s="56" t="e">
        <f>SUM(I7:I57)</f>
        <v>#REF!</v>
      </c>
      <c r="J58" s="56"/>
      <c r="K58" s="56" t="e">
        <f>SUM(K7:K57)</f>
        <v>#REF!</v>
      </c>
    </row>
    <row r="59" spans="3:11" ht="12.75">
      <c r="C59" s="45" t="s">
        <v>1</v>
      </c>
      <c r="F59" s="29"/>
      <c r="G59" s="29" t="e">
        <f>ROUND(SUMPRODUCT(F7:F57,$E7:$E57),0)</f>
        <v>#REF!</v>
      </c>
      <c r="H59" s="29"/>
      <c r="I59" s="29" t="e">
        <f>ROUND(SUMPRODUCT(H7:H57,$E7:$E57),0)</f>
        <v>#REF!</v>
      </c>
      <c r="J59" s="29"/>
      <c r="K59" s="29" t="e">
        <f>ROUND(SUMPRODUCT(J7:J57,$E7:$E57),0)</f>
        <v>#REF!</v>
      </c>
    </row>
    <row r="60" spans="2:10" ht="12.75">
      <c r="B60" s="29"/>
      <c r="C60" s="69"/>
      <c r="D60" s="69"/>
      <c r="E60" s="70"/>
      <c r="F60" s="31"/>
      <c r="G60" s="31"/>
      <c r="H60" s="31"/>
      <c r="I60" s="31"/>
      <c r="J60" s="31"/>
    </row>
    <row r="61" spans="1:10" ht="12.75">
      <c r="A61" s="48"/>
      <c r="B61" s="29"/>
      <c r="C61" s="49"/>
      <c r="D61" s="50"/>
      <c r="E61" s="71"/>
      <c r="F61" s="31"/>
      <c r="G61" s="31"/>
      <c r="H61" s="31"/>
      <c r="I61" s="31"/>
      <c r="J61" s="31"/>
    </row>
    <row r="62" spans="1:10" ht="12.75">
      <c r="A62" s="51"/>
      <c r="B62" s="29"/>
      <c r="C62" s="49"/>
      <c r="D62" s="50"/>
      <c r="E62" s="71"/>
      <c r="F62" s="31"/>
      <c r="G62" s="31"/>
      <c r="H62" s="31"/>
      <c r="I62" s="31"/>
      <c r="J62" s="31"/>
    </row>
    <row r="63" spans="1:10" ht="12.75">
      <c r="A63" s="48"/>
      <c r="B63" s="29"/>
      <c r="C63" s="49"/>
      <c r="D63" s="50"/>
      <c r="E63" s="41"/>
      <c r="F63" s="31"/>
      <c r="G63" s="31"/>
      <c r="H63" s="31"/>
      <c r="I63" s="31"/>
      <c r="J63" s="31"/>
    </row>
    <row r="64" spans="1:10" ht="12.75">
      <c r="A64" s="51"/>
      <c r="B64" s="29"/>
      <c r="C64" s="49"/>
      <c r="D64" s="50"/>
      <c r="E64" s="41"/>
      <c r="F64" s="31"/>
      <c r="G64" s="31"/>
      <c r="H64" s="31"/>
      <c r="I64" s="31"/>
      <c r="J64" s="31"/>
    </row>
    <row r="65" spans="1:10" ht="12.75">
      <c r="A65" s="52"/>
      <c r="B65" s="50"/>
      <c r="C65" s="49"/>
      <c r="D65" s="50"/>
      <c r="E65" s="41"/>
      <c r="F65" s="31"/>
      <c r="G65" s="31"/>
      <c r="H65" s="31"/>
      <c r="I65" s="31"/>
      <c r="J65" s="31"/>
    </row>
    <row r="66" spans="1:5" ht="12.75">
      <c r="A66" s="31"/>
      <c r="B66" s="31"/>
      <c r="C66" s="31"/>
      <c r="D66" s="31"/>
      <c r="E66" s="31"/>
    </row>
  </sheetData>
  <mergeCells count="2">
    <mergeCell ref="A1:E1"/>
    <mergeCell ref="A2:E2"/>
  </mergeCells>
  <conditionalFormatting sqref="G5 I5 K5">
    <cfRule type="cellIs" priority="1" dxfId="0" operator="equal" stopIfTrue="1">
      <formula>MAX($F$8:$F$58)</formula>
    </cfRule>
    <cfRule type="cellIs" priority="2" dxfId="1" operator="equal" stopIfTrue="1">
      <formula>DMIN($F$6:$F$58,$F$6,$F$6:$F$7)</formula>
    </cfRule>
  </conditionalFormatting>
  <printOptions gridLines="1"/>
  <pageMargins left="0.64" right="0.75" top="0.22" bottom="0.17" header="0.17" footer="0.33"/>
  <pageSetup horizontalDpi="600" verticalDpi="600" orientation="portrait" scale="93" r:id="rId1"/>
  <headerFooter alignWithMargins="0">
    <oddFooter xml:space="preserve">&amp;C&amp;"Arial,Regular"                                    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 transitionEvaluation="1" transitionEntry="1"/>
  <dimension ref="A1:J351"/>
  <sheetViews>
    <sheetView workbookViewId="0" topLeftCell="A1">
      <selection activeCell="A3" sqref="A3"/>
    </sheetView>
  </sheetViews>
  <sheetFormatPr defaultColWidth="15.625" defaultRowHeight="12.75"/>
  <cols>
    <col min="1" max="1" width="36.125" style="9" customWidth="1"/>
    <col min="2" max="2" width="16.50390625" style="9" customWidth="1"/>
    <col min="3" max="3" width="12.50390625" style="9" bestFit="1" customWidth="1"/>
    <col min="4" max="4" width="7.75390625" style="9" bestFit="1" customWidth="1"/>
    <col min="5" max="9" width="17.50390625" style="9" customWidth="1"/>
    <col min="10" max="10" width="16.375" style="9" customWidth="1"/>
    <col min="11" max="16384" width="10.00390625" style="9" customWidth="1"/>
  </cols>
  <sheetData>
    <row r="1" spans="1:10" ht="12.75" customHeight="1">
      <c r="A1" s="193" t="s">
        <v>250</v>
      </c>
      <c r="B1" s="193"/>
      <c r="C1" s="193"/>
      <c r="D1" s="193"/>
      <c r="E1" s="193"/>
      <c r="F1" s="32"/>
      <c r="G1" s="32"/>
      <c r="H1" s="32"/>
      <c r="I1" s="64"/>
      <c r="J1" s="64"/>
    </row>
    <row r="2" spans="1:9" ht="12.75">
      <c r="A2" s="5" t="s">
        <v>286</v>
      </c>
      <c r="B2" s="63">
        <v>25000000</v>
      </c>
      <c r="C2" s="5"/>
      <c r="D2" s="5"/>
      <c r="E2" s="89" t="s">
        <v>267</v>
      </c>
      <c r="G2" s="34"/>
      <c r="I2" s="27"/>
    </row>
    <row r="3" spans="1:9" ht="12.75">
      <c r="A3" s="5"/>
      <c r="B3" s="5"/>
      <c r="C3" s="5"/>
      <c r="D3" s="5"/>
      <c r="E3" s="33"/>
      <c r="G3" s="34"/>
      <c r="I3" s="12" t="s">
        <v>1</v>
      </c>
    </row>
    <row r="4" spans="1:4" ht="14.25">
      <c r="A4" s="11" t="s">
        <v>240</v>
      </c>
      <c r="B4" s="11"/>
      <c r="C4" s="11"/>
      <c r="D4" s="11"/>
    </row>
    <row r="5" spans="1:4" ht="12.75">
      <c r="A5" s="1" t="s">
        <v>241</v>
      </c>
      <c r="B5" s="1" t="s">
        <v>213</v>
      </c>
      <c r="C5" s="1"/>
      <c r="D5" s="1"/>
    </row>
    <row r="6" spans="1:4" ht="12.75">
      <c r="A6" s="1" t="s">
        <v>58</v>
      </c>
      <c r="B6" s="1" t="s">
        <v>214</v>
      </c>
      <c r="C6" s="1"/>
      <c r="D6" s="1"/>
    </row>
    <row r="7" spans="1:4" ht="14.25" customHeight="1">
      <c r="A7" s="1" t="s">
        <v>215</v>
      </c>
      <c r="B7" s="1" t="s">
        <v>242</v>
      </c>
      <c r="C7" s="1"/>
      <c r="D7" s="1"/>
    </row>
    <row r="8" spans="1:10" ht="12.75">
      <c r="A8" s="1" t="s">
        <v>216</v>
      </c>
      <c r="B8" s="1" t="s">
        <v>217</v>
      </c>
      <c r="C8" s="1"/>
      <c r="D8" s="1"/>
      <c r="I8" s="6"/>
      <c r="J8" s="6"/>
    </row>
    <row r="9" spans="1:9" s="13" customFormat="1" ht="53.25" customHeight="1">
      <c r="A9" s="57" t="s">
        <v>56</v>
      </c>
      <c r="B9" s="57" t="s">
        <v>222</v>
      </c>
      <c r="C9" s="57" t="s">
        <v>223</v>
      </c>
      <c r="D9" s="57" t="s">
        <v>59</v>
      </c>
      <c r="E9" s="57" t="s">
        <v>243</v>
      </c>
      <c r="F9" s="57" t="s">
        <v>244</v>
      </c>
      <c r="G9" s="57" t="s">
        <v>234</v>
      </c>
      <c r="H9" s="57" t="s">
        <v>235</v>
      </c>
      <c r="I9" s="57" t="s">
        <v>245</v>
      </c>
    </row>
    <row r="10" ht="12.75">
      <c r="F10" s="8"/>
    </row>
    <row r="11" spans="1:9" ht="12.75">
      <c r="A11" s="10" t="s">
        <v>3</v>
      </c>
      <c r="E11" s="4">
        <f>'States at $25m'!C8</f>
        <v>1167785</v>
      </c>
      <c r="F11" s="8"/>
      <c r="H11" s="4">
        <f>SUM(G12:G20)</f>
        <v>358511</v>
      </c>
      <c r="I11" s="4">
        <f>E11-H11</f>
        <v>809274</v>
      </c>
    </row>
    <row r="12" spans="1:9" ht="12.75">
      <c r="A12" s="1" t="s">
        <v>65</v>
      </c>
      <c r="B12" s="2">
        <v>54295</v>
      </c>
      <c r="C12" s="14">
        <v>164</v>
      </c>
      <c r="D12" s="3" t="s">
        <v>63</v>
      </c>
      <c r="E12" s="4"/>
      <c r="F12" s="8">
        <v>0.008540014003698509</v>
      </c>
      <c r="G12" s="4">
        <f aca="true" t="shared" si="0" ref="G12:G20">ROUND(F12*$E$11,0)</f>
        <v>9973</v>
      </c>
      <c r="H12" s="4"/>
      <c r="I12" s="1"/>
    </row>
    <row r="13" spans="1:9" ht="12.75">
      <c r="A13" s="1" t="s">
        <v>66</v>
      </c>
      <c r="B13" s="2">
        <v>54295</v>
      </c>
      <c r="C13" s="14">
        <v>2029</v>
      </c>
      <c r="D13" s="3" t="s">
        <v>63</v>
      </c>
      <c r="E13" s="4"/>
      <c r="F13" s="8">
        <v>0.13824948163427553</v>
      </c>
      <c r="G13" s="4">
        <f t="shared" si="0"/>
        <v>161446</v>
      </c>
      <c r="H13" s="4"/>
      <c r="I13" s="1"/>
    </row>
    <row r="14" spans="1:8" ht="12.75">
      <c r="A14" s="1" t="s">
        <v>68</v>
      </c>
      <c r="B14" s="2">
        <v>54295</v>
      </c>
      <c r="C14" s="14">
        <v>111</v>
      </c>
      <c r="D14" s="3" t="s">
        <v>63</v>
      </c>
      <c r="E14" s="4"/>
      <c r="F14" s="8">
        <v>0.006801462774591368</v>
      </c>
      <c r="G14" s="4">
        <f t="shared" si="0"/>
        <v>7943</v>
      </c>
      <c r="H14" s="4"/>
    </row>
    <row r="15" spans="1:9" ht="12.75">
      <c r="A15" s="1" t="s">
        <v>69</v>
      </c>
      <c r="B15" s="2">
        <v>54295</v>
      </c>
      <c r="C15" s="14">
        <v>229</v>
      </c>
      <c r="D15" s="3" t="s">
        <v>63</v>
      </c>
      <c r="E15" s="4"/>
      <c r="F15" s="8">
        <v>0.020739953934464747</v>
      </c>
      <c r="G15" s="4">
        <f t="shared" si="0"/>
        <v>24220</v>
      </c>
      <c r="H15" s="4"/>
      <c r="I15" s="1" t="s">
        <v>1</v>
      </c>
    </row>
    <row r="16" spans="1:8" ht="12.75">
      <c r="A16" s="1" t="s">
        <v>70</v>
      </c>
      <c r="B16" s="2">
        <v>54295</v>
      </c>
      <c r="C16" s="14">
        <v>275</v>
      </c>
      <c r="D16" s="3" t="s">
        <v>63</v>
      </c>
      <c r="E16" s="4"/>
      <c r="F16" s="8">
        <v>0.008234996821375306</v>
      </c>
      <c r="G16" s="4">
        <f t="shared" si="0"/>
        <v>9617</v>
      </c>
      <c r="H16" s="4"/>
    </row>
    <row r="17" spans="1:8" ht="12.75">
      <c r="A17" s="1" t="s">
        <v>71</v>
      </c>
      <c r="B17" s="2">
        <v>54295</v>
      </c>
      <c r="C17" s="14">
        <v>8</v>
      </c>
      <c r="D17" s="3" t="s">
        <v>63</v>
      </c>
      <c r="E17" s="4"/>
      <c r="F17" s="8">
        <v>0.0007014928092082492</v>
      </c>
      <c r="G17" s="4">
        <f t="shared" si="0"/>
        <v>819</v>
      </c>
      <c r="H17" s="4"/>
    </row>
    <row r="18" spans="1:8" ht="12.75">
      <c r="A18" s="1" t="s">
        <v>72</v>
      </c>
      <c r="B18" s="2">
        <v>54295</v>
      </c>
      <c r="C18" s="14">
        <v>1385</v>
      </c>
      <c r="D18" s="3" t="s">
        <v>63</v>
      </c>
      <c r="E18" s="4"/>
      <c r="F18" s="8">
        <v>0.07750752850602771</v>
      </c>
      <c r="G18" s="4">
        <f t="shared" si="0"/>
        <v>90512</v>
      </c>
      <c r="H18" s="4"/>
    </row>
    <row r="19" spans="1:9" ht="12.75">
      <c r="A19" s="1" t="s">
        <v>73</v>
      </c>
      <c r="B19" s="2">
        <v>54295</v>
      </c>
      <c r="C19" s="14">
        <v>1171</v>
      </c>
      <c r="D19" s="3" t="s">
        <v>63</v>
      </c>
      <c r="E19" s="4"/>
      <c r="F19" s="8">
        <v>0.044224969089568085</v>
      </c>
      <c r="G19" s="4">
        <f t="shared" si="0"/>
        <v>51645</v>
      </c>
      <c r="H19" s="4"/>
      <c r="I19" s="1" t="s">
        <v>1</v>
      </c>
    </row>
    <row r="20" spans="1:9" ht="12.75">
      <c r="A20" s="65" t="s">
        <v>229</v>
      </c>
      <c r="B20" s="2">
        <v>54295</v>
      </c>
      <c r="C20" s="7">
        <v>77</v>
      </c>
      <c r="D20" s="3" t="s">
        <v>63</v>
      </c>
      <c r="E20" s="4"/>
      <c r="F20" s="8">
        <v>0.0020000345654999875</v>
      </c>
      <c r="G20" s="4">
        <f t="shared" si="0"/>
        <v>2336</v>
      </c>
      <c r="H20" s="4"/>
      <c r="I20" s="1"/>
    </row>
    <row r="21" spans="1:9" ht="12.75">
      <c r="A21" s="10" t="s">
        <v>20</v>
      </c>
      <c r="E21" s="4">
        <f>'States at $25m'!C26</f>
        <v>5768233</v>
      </c>
      <c r="F21" s="8"/>
      <c r="H21" s="4">
        <f>SUM(G22:G26)</f>
        <v>210829</v>
      </c>
      <c r="I21" s="4">
        <f>E21-H21</f>
        <v>5557404</v>
      </c>
    </row>
    <row r="22" spans="1:9" ht="12.75">
      <c r="A22" s="1" t="s">
        <v>111</v>
      </c>
      <c r="B22" s="2">
        <v>100697</v>
      </c>
      <c r="D22" s="3" t="s">
        <v>63</v>
      </c>
      <c r="F22" s="8">
        <v>0.004349982653408693</v>
      </c>
      <c r="G22" s="4">
        <f>ROUND(F22*$E$21,0)</f>
        <v>25092</v>
      </c>
      <c r="H22" s="4"/>
      <c r="I22" s="4"/>
    </row>
    <row r="23" spans="1:9" ht="12.75">
      <c r="A23" s="1" t="s">
        <v>112</v>
      </c>
      <c r="B23" s="2">
        <v>100697</v>
      </c>
      <c r="D23" s="3" t="s">
        <v>63</v>
      </c>
      <c r="E23" s="4"/>
      <c r="F23" s="8">
        <v>0.004349982653408693</v>
      </c>
      <c r="G23" s="4">
        <f>ROUND(F23*$E$21,0)</f>
        <v>25092</v>
      </c>
      <c r="H23" s="4"/>
      <c r="I23" s="4"/>
    </row>
    <row r="24" spans="1:9" ht="12.75">
      <c r="A24" s="1" t="s">
        <v>113</v>
      </c>
      <c r="B24" s="2">
        <v>100697</v>
      </c>
      <c r="C24" s="2">
        <v>83</v>
      </c>
      <c r="D24" s="3" t="s">
        <v>63</v>
      </c>
      <c r="E24" s="4"/>
      <c r="F24" s="8">
        <v>0.008299995952399157</v>
      </c>
      <c r="G24" s="4">
        <f>ROUND(F24*$E$21,0)</f>
        <v>47876</v>
      </c>
      <c r="H24" s="4"/>
      <c r="I24" s="4"/>
    </row>
    <row r="25" spans="1:9" ht="12.75">
      <c r="A25" s="1" t="s">
        <v>114</v>
      </c>
      <c r="B25" s="2">
        <v>100697</v>
      </c>
      <c r="C25" s="2">
        <v>69</v>
      </c>
      <c r="D25" s="3" t="s">
        <v>63</v>
      </c>
      <c r="E25" s="4"/>
      <c r="F25" s="8">
        <v>0.011579986081232445</v>
      </c>
      <c r="G25" s="4">
        <f>ROUND(F25*$E$21,0)</f>
        <v>66796</v>
      </c>
      <c r="H25" s="4"/>
      <c r="I25" s="4"/>
    </row>
    <row r="26" spans="1:9" ht="12.75">
      <c r="A26" s="1" t="s">
        <v>115</v>
      </c>
      <c r="B26" s="2">
        <v>100697</v>
      </c>
      <c r="C26" s="2">
        <v>95</v>
      </c>
      <c r="D26" s="3" t="s">
        <v>63</v>
      </c>
      <c r="E26" s="4"/>
      <c r="F26" s="8">
        <v>0.00797000143080615</v>
      </c>
      <c r="G26" s="4">
        <f>ROUND(F26*$E$21,0)</f>
        <v>45973</v>
      </c>
      <c r="H26" s="4"/>
      <c r="I26" s="4"/>
    </row>
    <row r="27" spans="1:9" ht="12.75">
      <c r="A27" s="10" t="s">
        <v>22</v>
      </c>
      <c r="E27" s="4">
        <f>'States at $25m'!C28</f>
        <v>7490761</v>
      </c>
      <c r="F27" s="8"/>
      <c r="H27" s="4">
        <f>G28</f>
        <v>2996</v>
      </c>
      <c r="I27" s="4">
        <f>E27-H27</f>
        <v>7487765</v>
      </c>
    </row>
    <row r="28" spans="1:9" ht="12.75">
      <c r="A28" s="1" t="s">
        <v>116</v>
      </c>
      <c r="B28" s="2">
        <v>531692</v>
      </c>
      <c r="C28" s="2">
        <v>127</v>
      </c>
      <c r="D28" s="3" t="s">
        <v>63</v>
      </c>
      <c r="E28" s="4"/>
      <c r="F28" s="8">
        <v>0.0003999964668465162</v>
      </c>
      <c r="G28" s="4">
        <f>ROUND(F28*$E$27,0)</f>
        <v>2996</v>
      </c>
      <c r="H28" s="4"/>
      <c r="I28" s="4"/>
    </row>
    <row r="29" spans="1:9" ht="12.75">
      <c r="A29" s="10" t="s">
        <v>40</v>
      </c>
      <c r="E29" s="4">
        <f>'States at $25m'!C46</f>
        <v>1265202</v>
      </c>
      <c r="F29" s="8"/>
      <c r="H29" s="4">
        <f>G30</f>
        <v>3585</v>
      </c>
      <c r="I29" s="4">
        <f>E29-H29</f>
        <v>1261617</v>
      </c>
    </row>
    <row r="30" spans="1:8" ht="13.5" thickBot="1">
      <c r="A30" s="1" t="s">
        <v>175</v>
      </c>
      <c r="B30" s="2">
        <v>84702</v>
      </c>
      <c r="C30" s="20">
        <v>240</v>
      </c>
      <c r="D30" s="3" t="s">
        <v>61</v>
      </c>
      <c r="E30" s="4"/>
      <c r="F30" s="8">
        <v>0.002833486275437696</v>
      </c>
      <c r="G30" s="4">
        <f>ROUND(F30*$E$29,0)</f>
        <v>3585</v>
      </c>
      <c r="H30" s="4"/>
    </row>
    <row r="31" spans="1:9" ht="13.5" thickTop="1">
      <c r="A31" s="66" t="s">
        <v>205</v>
      </c>
      <c r="B31" s="66"/>
      <c r="C31" s="66"/>
      <c r="D31" s="66"/>
      <c r="E31" s="23">
        <f>SUM(E11:E30)</f>
        <v>15691981</v>
      </c>
      <c r="F31" s="22"/>
      <c r="G31" s="23">
        <f>SUM(G11:G30)</f>
        <v>575921</v>
      </c>
      <c r="H31" s="23">
        <f>SUM(H11:H30)</f>
        <v>575921</v>
      </c>
      <c r="I31" s="23">
        <f>SUM(I11:I30)</f>
        <v>15116060</v>
      </c>
    </row>
    <row r="33" spans="1:4" ht="12.75">
      <c r="A33" s="67"/>
      <c r="B33" s="67"/>
      <c r="C33" s="67"/>
      <c r="D33" s="67"/>
    </row>
    <row r="35" spans="1:4" ht="12.75">
      <c r="A35" s="10"/>
      <c r="B35" s="10"/>
      <c r="C35" s="10"/>
      <c r="D35" s="10"/>
    </row>
    <row r="36" spans="1:4" ht="12.75">
      <c r="A36" s="10"/>
      <c r="B36" s="10"/>
      <c r="C36" s="10"/>
      <c r="D36" s="10"/>
    </row>
    <row r="37" spans="1:4" ht="12.75">
      <c r="A37" s="10"/>
      <c r="B37" s="10"/>
      <c r="C37" s="10"/>
      <c r="D37" s="10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10"/>
      <c r="D60" s="10"/>
    </row>
    <row r="61" spans="1:4" ht="12.75">
      <c r="A61" s="10"/>
      <c r="B61" s="10"/>
      <c r="C61" s="10"/>
      <c r="D61" s="10"/>
    </row>
    <row r="285" ht="12.75">
      <c r="H285" s="25"/>
    </row>
    <row r="288" ht="12.75">
      <c r="H288" s="25"/>
    </row>
    <row r="289" ht="12.75">
      <c r="H289" s="25"/>
    </row>
    <row r="290" ht="12.75">
      <c r="H290" s="25"/>
    </row>
    <row r="291" ht="12.75">
      <c r="H291" s="25"/>
    </row>
    <row r="292" ht="12.75">
      <c r="H292" s="25"/>
    </row>
    <row r="293" ht="12.75">
      <c r="H293" s="25"/>
    </row>
    <row r="294" ht="12.75">
      <c r="H294" s="25"/>
    </row>
    <row r="295" ht="12.75">
      <c r="H295" s="25"/>
    </row>
    <row r="296" ht="12.75">
      <c r="H296" s="25"/>
    </row>
    <row r="297" ht="12.75">
      <c r="H297" s="25"/>
    </row>
    <row r="298" ht="12.75">
      <c r="H298" s="25"/>
    </row>
    <row r="299" ht="12.75">
      <c r="H299" s="25"/>
    </row>
    <row r="300" ht="12.75">
      <c r="H300" s="25"/>
    </row>
    <row r="301" ht="12.75">
      <c r="H301" s="25"/>
    </row>
    <row r="302" ht="12.75">
      <c r="H302" s="25"/>
    </row>
    <row r="303" ht="12.75">
      <c r="H303" s="25"/>
    </row>
    <row r="304" ht="12.75">
      <c r="H304" s="25"/>
    </row>
    <row r="305" ht="12.75">
      <c r="H305" s="25"/>
    </row>
    <row r="306" ht="12.75">
      <c r="H306" s="25"/>
    </row>
    <row r="307" ht="12.75">
      <c r="H307" s="25"/>
    </row>
    <row r="308" ht="12.75">
      <c r="H308" s="25"/>
    </row>
    <row r="309" ht="12.75">
      <c r="H309" s="25"/>
    </row>
    <row r="310" ht="12.75">
      <c r="H310" s="25"/>
    </row>
    <row r="311" ht="12.75">
      <c r="H311" s="25"/>
    </row>
    <row r="312" ht="12.75">
      <c r="H312" s="25"/>
    </row>
    <row r="313" ht="12.75">
      <c r="H313" s="25"/>
    </row>
    <row r="314" ht="12.75">
      <c r="H314" s="25"/>
    </row>
    <row r="315" ht="12.75">
      <c r="H315" s="25"/>
    </row>
    <row r="316" ht="12.75">
      <c r="H316" s="25"/>
    </row>
    <row r="317" ht="12.75">
      <c r="H317" s="25"/>
    </row>
    <row r="318" ht="12.75">
      <c r="H318" s="25"/>
    </row>
    <row r="319" ht="12.75">
      <c r="H319" s="25"/>
    </row>
    <row r="320" ht="12.75">
      <c r="H320" s="25"/>
    </row>
    <row r="321" ht="12.75">
      <c r="H321" s="25"/>
    </row>
    <row r="322" ht="12.75">
      <c r="H322" s="25"/>
    </row>
    <row r="323" ht="12.75">
      <c r="H323" s="25"/>
    </row>
    <row r="324" ht="12.75">
      <c r="H324" s="25"/>
    </row>
    <row r="325" ht="12.75">
      <c r="H325" s="25"/>
    </row>
    <row r="326" ht="12.75">
      <c r="H326" s="25"/>
    </row>
    <row r="327" ht="12.75">
      <c r="H327" s="25"/>
    </row>
    <row r="328" ht="12.75">
      <c r="H328" s="25"/>
    </row>
    <row r="329" ht="12.75">
      <c r="H329" s="25"/>
    </row>
    <row r="330" ht="12.75">
      <c r="H330" s="25"/>
    </row>
    <row r="331" ht="12.75">
      <c r="H331" s="25"/>
    </row>
    <row r="332" ht="12.75">
      <c r="H332" s="25"/>
    </row>
    <row r="333" ht="12.75">
      <c r="H333" s="25"/>
    </row>
    <row r="334" ht="12.75">
      <c r="H334" s="25"/>
    </row>
    <row r="335" ht="12.75">
      <c r="H335" s="25"/>
    </row>
    <row r="336" ht="12.75">
      <c r="H336" s="25"/>
    </row>
    <row r="337" ht="12.75">
      <c r="H337" s="25"/>
    </row>
    <row r="338" ht="12.75">
      <c r="H338" s="25"/>
    </row>
    <row r="339" ht="12.75">
      <c r="H339" s="25"/>
    </row>
    <row r="340" spans="8:10" ht="12.75">
      <c r="H340" s="25"/>
      <c r="J340" s="4"/>
    </row>
    <row r="342" ht="12.75">
      <c r="H342" s="4"/>
    </row>
    <row r="345" ht="12.75">
      <c r="H345" s="4"/>
    </row>
    <row r="346" ht="12.75">
      <c r="H346" s="4"/>
    </row>
    <row r="347" ht="12.75">
      <c r="H347" s="4"/>
    </row>
    <row r="348" ht="12.75">
      <c r="H348" s="4"/>
    </row>
    <row r="349" ht="12.75">
      <c r="H349" s="4"/>
    </row>
    <row r="350" ht="12.75">
      <c r="H350" s="4"/>
    </row>
    <row r="351" ht="12.75">
      <c r="H351" s="4"/>
    </row>
  </sheetData>
  <sheetProtection/>
  <mergeCells count="1">
    <mergeCell ref="A1:E1"/>
  </mergeCells>
  <printOptions gridLines="1" horizontalCentered="1"/>
  <pageMargins left="0.25" right="0.25" top="0.5" bottom="0.75" header="0.5" footer="0.5"/>
  <pageSetup horizontalDpi="600" verticalDpi="600" orientation="landscape" scale="78" r:id="rId1"/>
  <headerFooter alignWithMargins="0">
    <oddFooter xml:space="preserve">&amp;C                                &amp;"Arial,Regular"    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2" sqref="A2:A3"/>
    </sheetView>
  </sheetViews>
  <sheetFormatPr defaultColWidth="9.00390625" defaultRowHeight="12.75"/>
  <cols>
    <col min="1" max="1" width="22.75390625" style="176" customWidth="1"/>
    <col min="2" max="2" width="10.50390625" style="176" customWidth="1"/>
    <col min="3" max="3" width="9.75390625" style="176" customWidth="1"/>
    <col min="4" max="4" width="15.00390625" style="176" bestFit="1" customWidth="1"/>
    <col min="5" max="5" width="9.00390625" style="176" customWidth="1"/>
    <col min="6" max="6" width="14.625" style="176" bestFit="1" customWidth="1"/>
    <col min="7" max="7" width="8.50390625" style="176" bestFit="1" customWidth="1"/>
    <col min="8" max="8" width="7.375" style="176" customWidth="1"/>
    <col min="9" max="9" width="8.75390625" style="176" bestFit="1" customWidth="1"/>
    <col min="10" max="10" width="9.00390625" style="176" customWidth="1"/>
    <col min="11" max="11" width="8.625" style="176" bestFit="1" customWidth="1"/>
    <col min="12" max="16384" width="9.00390625" style="176" customWidth="1"/>
  </cols>
  <sheetData>
    <row r="1" spans="1:11" s="168" customFormat="1" ht="31.5" customHeight="1" thickBot="1">
      <c r="A1" s="198" t="s">
        <v>366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69" customFormat="1" ht="13.5" customHeight="1" thickBot="1">
      <c r="A2" s="200" t="s">
        <v>367</v>
      </c>
      <c r="B2" s="202" t="s">
        <v>368</v>
      </c>
      <c r="C2" s="204" t="s">
        <v>369</v>
      </c>
      <c r="D2" s="205"/>
      <c r="E2" s="205"/>
      <c r="F2" s="205"/>
      <c r="G2" s="205"/>
      <c r="H2" s="205"/>
      <c r="I2" s="205"/>
      <c r="J2" s="205"/>
      <c r="K2" s="206"/>
    </row>
    <row r="3" spans="1:11" s="169" customFormat="1" ht="12" customHeight="1" thickBot="1">
      <c r="A3" s="201"/>
      <c r="B3" s="203"/>
      <c r="C3" s="170" t="s">
        <v>370</v>
      </c>
      <c r="D3" s="170" t="s">
        <v>371</v>
      </c>
      <c r="E3" s="170" t="s">
        <v>372</v>
      </c>
      <c r="F3" s="170" t="s">
        <v>373</v>
      </c>
      <c r="G3" s="170" t="s">
        <v>374</v>
      </c>
      <c r="H3" s="170" t="s">
        <v>375</v>
      </c>
      <c r="I3" s="170" t="s">
        <v>376</v>
      </c>
      <c r="J3" s="170" t="s">
        <v>377</v>
      </c>
      <c r="K3" s="170" t="s">
        <v>378</v>
      </c>
    </row>
    <row r="4" spans="1:11" s="169" customFormat="1" ht="12.75">
      <c r="A4" s="171"/>
      <c r="B4" s="172"/>
      <c r="C4" s="173"/>
      <c r="D4" s="173"/>
      <c r="E4" s="173"/>
      <c r="F4" s="173"/>
      <c r="G4" s="173"/>
      <c r="H4" s="173"/>
      <c r="I4" s="173"/>
      <c r="J4" s="173"/>
      <c r="K4" s="173"/>
    </row>
    <row r="5" spans="1:11" ht="12.75">
      <c r="A5" s="174" t="s">
        <v>379</v>
      </c>
      <c r="B5" s="175">
        <v>28048665</v>
      </c>
      <c r="C5" s="175">
        <v>13246035</v>
      </c>
      <c r="D5" s="175">
        <v>2099670</v>
      </c>
      <c r="E5" s="175">
        <v>9135825</v>
      </c>
      <c r="F5" s="175">
        <v>2477075</v>
      </c>
      <c r="G5" s="175">
        <v>52030</v>
      </c>
      <c r="H5" s="175">
        <v>550830</v>
      </c>
      <c r="I5" s="175">
        <v>16440</v>
      </c>
      <c r="J5" s="175">
        <v>163315</v>
      </c>
      <c r="K5" s="175">
        <v>307445</v>
      </c>
    </row>
    <row r="6" spans="1:11" ht="12.75">
      <c r="A6" s="174" t="s">
        <v>380</v>
      </c>
      <c r="B6" s="175">
        <v>5648225</v>
      </c>
      <c r="C6" s="175">
        <v>2767115</v>
      </c>
      <c r="D6" s="175">
        <v>209295</v>
      </c>
      <c r="E6" s="175">
        <v>816470</v>
      </c>
      <c r="F6" s="175">
        <v>1671345</v>
      </c>
      <c r="G6" s="175">
        <v>22640</v>
      </c>
      <c r="H6" s="175">
        <v>65305</v>
      </c>
      <c r="I6" s="175">
        <v>1925</v>
      </c>
      <c r="J6" s="175">
        <v>52430</v>
      </c>
      <c r="K6" s="175">
        <v>41700</v>
      </c>
    </row>
    <row r="7" spans="1:11" ht="12.75">
      <c r="A7" s="174" t="s">
        <v>381</v>
      </c>
      <c r="B7" s="175">
        <v>6321115</v>
      </c>
      <c r="C7" s="175">
        <v>4097960</v>
      </c>
      <c r="D7" s="175">
        <v>581885</v>
      </c>
      <c r="E7" s="175">
        <v>1216645</v>
      </c>
      <c r="F7" s="175">
        <v>218660</v>
      </c>
      <c r="G7" s="175">
        <v>4390</v>
      </c>
      <c r="H7" s="175">
        <v>108525</v>
      </c>
      <c r="I7" s="175">
        <v>1420</v>
      </c>
      <c r="J7" s="175">
        <v>56080</v>
      </c>
      <c r="K7" s="175">
        <v>35555</v>
      </c>
    </row>
    <row r="8" spans="1:11" ht="12.75">
      <c r="A8" s="174" t="s">
        <v>382</v>
      </c>
      <c r="B8" s="175">
        <v>10357525</v>
      </c>
      <c r="C8" s="175">
        <v>3343400</v>
      </c>
      <c r="D8" s="175">
        <v>1023215</v>
      </c>
      <c r="E8" s="175">
        <v>5160800</v>
      </c>
      <c r="F8" s="175">
        <v>498305</v>
      </c>
      <c r="G8" s="175">
        <v>20240</v>
      </c>
      <c r="H8" s="175">
        <v>196155</v>
      </c>
      <c r="I8" s="175">
        <v>3640</v>
      </c>
      <c r="J8" s="175">
        <v>26980</v>
      </c>
      <c r="K8" s="175">
        <v>84790</v>
      </c>
    </row>
    <row r="9" spans="1:11" ht="12.75">
      <c r="A9" s="174" t="s">
        <v>383</v>
      </c>
      <c r="B9" s="175">
        <v>5721800</v>
      </c>
      <c r="C9" s="175">
        <v>3037565</v>
      </c>
      <c r="D9" s="175">
        <v>285280</v>
      </c>
      <c r="E9" s="175">
        <v>1941905</v>
      </c>
      <c r="F9" s="175">
        <v>88770</v>
      </c>
      <c r="G9" s="175">
        <v>4760</v>
      </c>
      <c r="H9" s="175">
        <v>180845</v>
      </c>
      <c r="I9" s="175">
        <v>9450</v>
      </c>
      <c r="J9" s="175">
        <v>27825</v>
      </c>
      <c r="K9" s="175">
        <v>145395</v>
      </c>
    </row>
    <row r="10" spans="1:11" ht="12.75">
      <c r="A10" s="174" t="s">
        <v>384</v>
      </c>
      <c r="B10" s="175">
        <v>1453365</v>
      </c>
      <c r="C10" s="175">
        <v>519240</v>
      </c>
      <c r="D10" s="175">
        <v>61555</v>
      </c>
      <c r="E10" s="175">
        <v>239630</v>
      </c>
      <c r="F10" s="175">
        <v>592060</v>
      </c>
      <c r="G10" s="175">
        <v>1185</v>
      </c>
      <c r="H10" s="175">
        <v>23500</v>
      </c>
      <c r="I10" s="175">
        <v>290</v>
      </c>
      <c r="J10" s="175">
        <v>8605</v>
      </c>
      <c r="K10" s="175">
        <v>7295</v>
      </c>
    </row>
    <row r="11" spans="1:11" ht="12.75">
      <c r="A11" s="174" t="s">
        <v>385</v>
      </c>
      <c r="B11" s="175">
        <v>4194865</v>
      </c>
      <c r="C11" s="175">
        <v>2247875</v>
      </c>
      <c r="D11" s="175">
        <v>147740</v>
      </c>
      <c r="E11" s="175">
        <v>576845</v>
      </c>
      <c r="F11" s="175">
        <v>1079285</v>
      </c>
      <c r="G11" s="175">
        <v>21455</v>
      </c>
      <c r="H11" s="175">
        <v>41805</v>
      </c>
      <c r="I11" s="175">
        <v>1635</v>
      </c>
      <c r="J11" s="175">
        <v>43825</v>
      </c>
      <c r="K11" s="175">
        <v>34405</v>
      </c>
    </row>
    <row r="12" spans="1:11" ht="12.75">
      <c r="A12" s="174" t="s">
        <v>386</v>
      </c>
      <c r="B12" s="175">
        <v>4413970</v>
      </c>
      <c r="C12" s="175">
        <v>3032075</v>
      </c>
      <c r="D12" s="175">
        <v>318065</v>
      </c>
      <c r="E12" s="175">
        <v>783975</v>
      </c>
      <c r="F12" s="175">
        <v>152675</v>
      </c>
      <c r="G12" s="175">
        <v>3315</v>
      </c>
      <c r="H12" s="175">
        <v>58900</v>
      </c>
      <c r="I12" s="175">
        <v>1000</v>
      </c>
      <c r="J12" s="175">
        <v>38030</v>
      </c>
      <c r="K12" s="175">
        <v>25925</v>
      </c>
    </row>
    <row r="13" spans="1:11" ht="12.75">
      <c r="A13" s="174" t="s">
        <v>387</v>
      </c>
      <c r="B13" s="175">
        <v>1907145</v>
      </c>
      <c r="C13" s="175">
        <v>1065885</v>
      </c>
      <c r="D13" s="175">
        <v>263820</v>
      </c>
      <c r="E13" s="175">
        <v>432670</v>
      </c>
      <c r="F13" s="175">
        <v>65980</v>
      </c>
      <c r="G13" s="175">
        <v>1075</v>
      </c>
      <c r="H13" s="175">
        <v>49620</v>
      </c>
      <c r="I13" s="175">
        <v>420</v>
      </c>
      <c r="J13" s="175">
        <v>18050</v>
      </c>
      <c r="K13" s="175">
        <v>9630</v>
      </c>
    </row>
    <row r="14" spans="1:11" ht="12.75">
      <c r="A14" s="174" t="s">
        <v>388</v>
      </c>
      <c r="B14" s="175">
        <v>5216235</v>
      </c>
      <c r="C14" s="175">
        <v>1257555</v>
      </c>
      <c r="D14" s="175">
        <v>452135</v>
      </c>
      <c r="E14" s="175">
        <v>2874715</v>
      </c>
      <c r="F14" s="175">
        <v>450150</v>
      </c>
      <c r="G14" s="175">
        <v>9465</v>
      </c>
      <c r="H14" s="175">
        <v>98490</v>
      </c>
      <c r="I14" s="175">
        <v>2080</v>
      </c>
      <c r="J14" s="175">
        <v>15135</v>
      </c>
      <c r="K14" s="175">
        <v>56520</v>
      </c>
    </row>
    <row r="15" spans="1:11" ht="12.75">
      <c r="A15" s="174" t="s">
        <v>389</v>
      </c>
      <c r="B15" s="175">
        <v>1973600</v>
      </c>
      <c r="C15" s="175">
        <v>675390</v>
      </c>
      <c r="D15" s="175">
        <v>273790</v>
      </c>
      <c r="E15" s="175">
        <v>898905</v>
      </c>
      <c r="F15" s="175">
        <v>43880</v>
      </c>
      <c r="G15" s="175">
        <v>10525</v>
      </c>
      <c r="H15" s="175">
        <v>59120</v>
      </c>
      <c r="I15" s="175">
        <v>355</v>
      </c>
      <c r="J15" s="175">
        <v>4370</v>
      </c>
      <c r="K15" s="175">
        <v>7265</v>
      </c>
    </row>
    <row r="16" spans="1:11" ht="12.75">
      <c r="A16" s="174" t="s">
        <v>390</v>
      </c>
      <c r="B16" s="175">
        <v>3167690</v>
      </c>
      <c r="C16" s="175">
        <v>1410455</v>
      </c>
      <c r="D16" s="175">
        <v>297290</v>
      </c>
      <c r="E16" s="175">
        <v>1387185</v>
      </c>
      <c r="F16" s="175">
        <v>4275</v>
      </c>
      <c r="G16" s="175">
        <v>250</v>
      </c>
      <c r="H16" s="175">
        <v>38545</v>
      </c>
      <c r="I16" s="175">
        <v>1210</v>
      </c>
      <c r="J16" s="175">
        <v>7475</v>
      </c>
      <c r="K16" s="175">
        <v>21005</v>
      </c>
    </row>
    <row r="17" spans="1:11" ht="12.75">
      <c r="A17" s="174" t="s">
        <v>391</v>
      </c>
      <c r="B17" s="175">
        <v>1585795</v>
      </c>
      <c r="C17" s="175">
        <v>839475</v>
      </c>
      <c r="D17" s="175">
        <v>130065</v>
      </c>
      <c r="E17" s="175">
        <v>511100</v>
      </c>
      <c r="F17" s="175">
        <v>14930</v>
      </c>
      <c r="G17" s="175">
        <v>3845</v>
      </c>
      <c r="H17" s="175">
        <v>65790</v>
      </c>
      <c r="I17" s="175">
        <v>1305</v>
      </c>
      <c r="J17" s="175">
        <v>10030</v>
      </c>
      <c r="K17" s="175">
        <v>9255</v>
      </c>
    </row>
    <row r="18" spans="1:11" ht="12.75">
      <c r="A18" s="174" t="s">
        <v>392</v>
      </c>
      <c r="B18" s="175">
        <v>4136005</v>
      </c>
      <c r="C18" s="175">
        <v>2198090</v>
      </c>
      <c r="D18" s="175">
        <v>155210</v>
      </c>
      <c r="E18" s="175">
        <v>1430805</v>
      </c>
      <c r="F18" s="175">
        <v>73835</v>
      </c>
      <c r="G18" s="175">
        <v>915</v>
      </c>
      <c r="H18" s="175">
        <v>115060</v>
      </c>
      <c r="I18" s="175">
        <v>8150</v>
      </c>
      <c r="J18" s="175">
        <v>17795</v>
      </c>
      <c r="K18" s="175">
        <v>136140</v>
      </c>
    </row>
    <row r="19" spans="1:11" ht="12.75">
      <c r="A19" s="174"/>
      <c r="B19" s="175"/>
      <c r="C19" s="175"/>
      <c r="D19" s="175"/>
      <c r="E19" s="175"/>
      <c r="F19" s="175"/>
      <c r="G19" s="175"/>
      <c r="H19" s="175"/>
      <c r="I19" s="175"/>
      <c r="J19" s="175"/>
      <c r="K19" s="175"/>
    </row>
    <row r="20" spans="1:11" ht="12.75">
      <c r="A20" s="174" t="s">
        <v>2</v>
      </c>
      <c r="B20" s="175">
        <v>551965</v>
      </c>
      <c r="C20" s="175">
        <v>202990</v>
      </c>
      <c r="D20" s="175">
        <v>97295</v>
      </c>
      <c r="E20" s="175">
        <v>236090</v>
      </c>
      <c r="F20" s="175">
        <v>3940</v>
      </c>
      <c r="G20" s="175">
        <v>260</v>
      </c>
      <c r="H20" s="175">
        <v>8620</v>
      </c>
      <c r="I20" s="175">
        <v>65</v>
      </c>
      <c r="J20" s="175">
        <v>815</v>
      </c>
      <c r="K20" s="175">
        <v>1895</v>
      </c>
    </row>
    <row r="21" spans="1:11" ht="12.75">
      <c r="A21" s="174" t="s">
        <v>3</v>
      </c>
      <c r="B21" s="175">
        <v>49270</v>
      </c>
      <c r="C21" s="175">
        <v>16565</v>
      </c>
      <c r="D21" s="175">
        <v>1315</v>
      </c>
      <c r="E21" s="175">
        <v>7580</v>
      </c>
      <c r="F21" s="175">
        <v>18570</v>
      </c>
      <c r="G21" s="175">
        <v>365</v>
      </c>
      <c r="H21" s="175">
        <v>3465</v>
      </c>
      <c r="I21" s="175">
        <v>25</v>
      </c>
      <c r="J21" s="175">
        <v>915</v>
      </c>
      <c r="K21" s="175">
        <v>465</v>
      </c>
    </row>
    <row r="22" spans="1:11" ht="12.75">
      <c r="A22" s="174" t="s">
        <v>4</v>
      </c>
      <c r="B22" s="175">
        <v>439345</v>
      </c>
      <c r="C22" s="175">
        <v>162545</v>
      </c>
      <c r="D22" s="175">
        <v>31550</v>
      </c>
      <c r="E22" s="175">
        <v>218400</v>
      </c>
      <c r="F22" s="175">
        <v>605</v>
      </c>
      <c r="G22" s="175">
        <v>660</v>
      </c>
      <c r="H22" s="175">
        <v>19550</v>
      </c>
      <c r="I22" s="175">
        <v>370</v>
      </c>
      <c r="J22" s="175">
        <v>795</v>
      </c>
      <c r="K22" s="175">
        <v>4870</v>
      </c>
    </row>
    <row r="23" spans="1:11" ht="12.75">
      <c r="A23" s="174" t="s">
        <v>5</v>
      </c>
      <c r="B23" s="175">
        <v>275395</v>
      </c>
      <c r="C23" s="175">
        <v>126790</v>
      </c>
      <c r="D23" s="175">
        <v>44565</v>
      </c>
      <c r="E23" s="175">
        <v>87490</v>
      </c>
      <c r="F23" s="175">
        <v>430</v>
      </c>
      <c r="G23" s="175">
        <v>20</v>
      </c>
      <c r="H23" s="175">
        <v>14520</v>
      </c>
      <c r="I23" s="175">
        <v>120</v>
      </c>
      <c r="J23" s="175">
        <v>710</v>
      </c>
      <c r="K23" s="175">
        <v>760</v>
      </c>
    </row>
    <row r="24" spans="1:11" ht="12.75">
      <c r="A24" s="174" t="s">
        <v>6</v>
      </c>
      <c r="B24" s="175">
        <v>3084760</v>
      </c>
      <c r="C24" s="175">
        <v>1988975</v>
      </c>
      <c r="D24" s="175">
        <v>127755</v>
      </c>
      <c r="E24" s="175">
        <v>793615</v>
      </c>
      <c r="F24" s="175">
        <v>10940</v>
      </c>
      <c r="G24" s="175">
        <v>315</v>
      </c>
      <c r="H24" s="175">
        <v>55120</v>
      </c>
      <c r="I24" s="175">
        <v>6810</v>
      </c>
      <c r="J24" s="175">
        <v>9755</v>
      </c>
      <c r="K24" s="175">
        <v>91475</v>
      </c>
    </row>
    <row r="25" spans="1:11" ht="12.75">
      <c r="A25" s="174" t="s">
        <v>7</v>
      </c>
      <c r="B25" s="175">
        <v>392125</v>
      </c>
      <c r="C25" s="175">
        <v>264430</v>
      </c>
      <c r="D25" s="175">
        <v>27465</v>
      </c>
      <c r="E25" s="175">
        <v>84850</v>
      </c>
      <c r="F25" s="175">
        <v>715</v>
      </c>
      <c r="G25" s="175">
        <v>725</v>
      </c>
      <c r="H25" s="175">
        <v>7105</v>
      </c>
      <c r="I25" s="175">
        <v>350</v>
      </c>
      <c r="J25" s="175">
        <v>4590</v>
      </c>
      <c r="K25" s="175">
        <v>1900</v>
      </c>
    </row>
    <row r="26" spans="1:11" ht="12.75">
      <c r="A26" s="174" t="s">
        <v>8</v>
      </c>
      <c r="B26" s="175">
        <v>364175</v>
      </c>
      <c r="C26" s="175">
        <v>122775</v>
      </c>
      <c r="D26" s="175">
        <v>11270</v>
      </c>
      <c r="E26" s="175">
        <v>71840</v>
      </c>
      <c r="F26" s="175">
        <v>152410</v>
      </c>
      <c r="G26" s="175">
        <v>260</v>
      </c>
      <c r="H26" s="175">
        <v>2245</v>
      </c>
      <c r="I26" s="175">
        <v>75</v>
      </c>
      <c r="J26" s="175">
        <v>1890</v>
      </c>
      <c r="K26" s="175">
        <v>1410</v>
      </c>
    </row>
    <row r="27" spans="1:11" ht="12.75">
      <c r="A27" s="174" t="s">
        <v>9</v>
      </c>
      <c r="B27" s="175">
        <v>78935</v>
      </c>
      <c r="C27" s="175">
        <v>24465</v>
      </c>
      <c r="D27" s="175">
        <v>8525</v>
      </c>
      <c r="E27" s="175">
        <v>22490</v>
      </c>
      <c r="F27" s="175">
        <v>22190</v>
      </c>
      <c r="G27" s="175">
        <v>105</v>
      </c>
      <c r="H27" s="175">
        <v>600</v>
      </c>
      <c r="I27" s="175">
        <v>30</v>
      </c>
      <c r="J27" s="175">
        <v>340</v>
      </c>
      <c r="K27" s="175">
        <v>190</v>
      </c>
    </row>
    <row r="28" spans="1:11" ht="12.75">
      <c r="A28" s="174" t="s">
        <v>55</v>
      </c>
      <c r="B28" s="175">
        <v>74520</v>
      </c>
      <c r="C28" s="175">
        <v>45120</v>
      </c>
      <c r="D28" s="175">
        <v>1735</v>
      </c>
      <c r="E28" s="175">
        <v>21100</v>
      </c>
      <c r="F28" s="175">
        <v>4500</v>
      </c>
      <c r="G28" s="175">
        <v>25</v>
      </c>
      <c r="H28" s="175">
        <v>45</v>
      </c>
      <c r="I28" s="175">
        <v>35</v>
      </c>
      <c r="J28" s="175">
        <v>620</v>
      </c>
      <c r="K28" s="175">
        <v>1340</v>
      </c>
    </row>
    <row r="29" spans="1:11" ht="12.75">
      <c r="A29" s="174" t="s">
        <v>10</v>
      </c>
      <c r="B29" s="175">
        <v>1603440</v>
      </c>
      <c r="C29" s="175">
        <v>103615</v>
      </c>
      <c r="D29" s="175">
        <v>89595</v>
      </c>
      <c r="E29" s="175">
        <v>1339160</v>
      </c>
      <c r="F29" s="175">
        <v>22765</v>
      </c>
      <c r="G29" s="175">
        <v>105</v>
      </c>
      <c r="H29" s="175">
        <v>5550</v>
      </c>
      <c r="I29" s="175">
        <v>720</v>
      </c>
      <c r="J29" s="175">
        <v>1870</v>
      </c>
      <c r="K29" s="175">
        <v>40055</v>
      </c>
    </row>
    <row r="30" spans="1:11" ht="12.75">
      <c r="A30" s="174" t="s">
        <v>11</v>
      </c>
      <c r="B30" s="175">
        <v>786340</v>
      </c>
      <c r="C30" s="175">
        <v>320440</v>
      </c>
      <c r="D30" s="175">
        <v>118870</v>
      </c>
      <c r="E30" s="175">
        <v>321860</v>
      </c>
      <c r="F30" s="175">
        <v>8705</v>
      </c>
      <c r="G30" s="175">
        <v>80</v>
      </c>
      <c r="H30" s="175">
        <v>10980</v>
      </c>
      <c r="I30" s="175">
        <v>370</v>
      </c>
      <c r="J30" s="175">
        <v>1100</v>
      </c>
      <c r="K30" s="175">
        <v>3935</v>
      </c>
    </row>
    <row r="31" spans="1:11" ht="12.75">
      <c r="A31" s="174" t="s">
        <v>12</v>
      </c>
      <c r="B31" s="175">
        <v>100410</v>
      </c>
      <c r="C31" s="175">
        <v>4080</v>
      </c>
      <c r="D31" s="175">
        <v>3595</v>
      </c>
      <c r="E31" s="175">
        <v>49850</v>
      </c>
      <c r="F31" s="175">
        <v>165</v>
      </c>
      <c r="G31" s="175">
        <v>10</v>
      </c>
      <c r="H31" s="175">
        <v>480</v>
      </c>
      <c r="I31" s="175">
        <v>1115</v>
      </c>
      <c r="J31" s="175">
        <v>100</v>
      </c>
      <c r="K31" s="175">
        <v>41020</v>
      </c>
    </row>
    <row r="32" spans="1:11" ht="12.75">
      <c r="A32" s="174" t="s">
        <v>13</v>
      </c>
      <c r="B32" s="175">
        <v>112855</v>
      </c>
      <c r="C32" s="175">
        <v>38305</v>
      </c>
      <c r="D32" s="175">
        <v>6795</v>
      </c>
      <c r="E32" s="175">
        <v>49630</v>
      </c>
      <c r="F32" s="175">
        <v>6620</v>
      </c>
      <c r="G32" s="175">
        <v>455</v>
      </c>
      <c r="H32" s="175">
        <v>9795</v>
      </c>
      <c r="I32" s="175">
        <v>25</v>
      </c>
      <c r="J32" s="175">
        <v>820</v>
      </c>
      <c r="K32" s="175">
        <v>415</v>
      </c>
    </row>
    <row r="33" spans="1:11" ht="12.75">
      <c r="A33" s="174" t="s">
        <v>14</v>
      </c>
      <c r="B33" s="175">
        <v>1172320</v>
      </c>
      <c r="C33" s="175">
        <v>879370</v>
      </c>
      <c r="D33" s="175">
        <v>60885</v>
      </c>
      <c r="E33" s="175">
        <v>197910</v>
      </c>
      <c r="F33" s="175">
        <v>8215</v>
      </c>
      <c r="G33" s="175">
        <v>400</v>
      </c>
      <c r="H33" s="175">
        <v>4995</v>
      </c>
      <c r="I33" s="175">
        <v>310</v>
      </c>
      <c r="J33" s="175">
        <v>9755</v>
      </c>
      <c r="K33" s="175">
        <v>10475</v>
      </c>
    </row>
    <row r="34" spans="1:11" ht="12.75">
      <c r="A34" s="174" t="s">
        <v>15</v>
      </c>
      <c r="B34" s="175">
        <v>573840</v>
      </c>
      <c r="C34" s="175">
        <v>354285</v>
      </c>
      <c r="D34" s="175">
        <v>44070</v>
      </c>
      <c r="E34" s="175">
        <v>144180</v>
      </c>
      <c r="F34" s="175">
        <v>16270</v>
      </c>
      <c r="G34" s="175">
        <v>910</v>
      </c>
      <c r="H34" s="175">
        <v>8725</v>
      </c>
      <c r="I34" s="175">
        <v>75</v>
      </c>
      <c r="J34" s="175">
        <v>3130</v>
      </c>
      <c r="K34" s="175">
        <v>2195</v>
      </c>
    </row>
    <row r="35" spans="1:11" ht="12.75">
      <c r="A35" s="174" t="s">
        <v>16</v>
      </c>
      <c r="B35" s="175">
        <v>277130</v>
      </c>
      <c r="C35" s="175">
        <v>170895</v>
      </c>
      <c r="D35" s="175">
        <v>39560</v>
      </c>
      <c r="E35" s="175">
        <v>51995</v>
      </c>
      <c r="F35" s="175">
        <v>6865</v>
      </c>
      <c r="G35" s="175">
        <v>20</v>
      </c>
      <c r="H35" s="175">
        <v>3430</v>
      </c>
      <c r="I35" s="175">
        <v>60</v>
      </c>
      <c r="J35" s="175">
        <v>2750</v>
      </c>
      <c r="K35" s="175">
        <v>1550</v>
      </c>
    </row>
    <row r="36" spans="1:11" ht="12.75">
      <c r="A36" s="174" t="s">
        <v>17</v>
      </c>
      <c r="B36" s="175">
        <v>262115</v>
      </c>
      <c r="C36" s="175">
        <v>179465</v>
      </c>
      <c r="D36" s="175">
        <v>22635</v>
      </c>
      <c r="E36" s="175">
        <v>54550</v>
      </c>
      <c r="F36" s="175">
        <v>420</v>
      </c>
      <c r="G36" s="175">
        <v>15</v>
      </c>
      <c r="H36" s="175">
        <v>3505</v>
      </c>
      <c r="I36" s="175">
        <v>30</v>
      </c>
      <c r="J36" s="175">
        <v>1010</v>
      </c>
      <c r="K36" s="175">
        <v>485</v>
      </c>
    </row>
    <row r="37" spans="1:11" ht="12.75">
      <c r="A37" s="174" t="s">
        <v>18</v>
      </c>
      <c r="B37" s="175">
        <v>472560</v>
      </c>
      <c r="C37" s="175">
        <v>171880</v>
      </c>
      <c r="D37" s="175">
        <v>49195</v>
      </c>
      <c r="E37" s="175">
        <v>198465</v>
      </c>
      <c r="F37" s="175">
        <v>19455</v>
      </c>
      <c r="G37" s="175">
        <v>8595</v>
      </c>
      <c r="H37" s="175">
        <v>21455</v>
      </c>
      <c r="I37" s="175">
        <v>75</v>
      </c>
      <c r="J37" s="175">
        <v>1835</v>
      </c>
      <c r="K37" s="175">
        <v>1615</v>
      </c>
    </row>
    <row r="38" spans="1:11" ht="12.75">
      <c r="A38" s="174" t="s">
        <v>19</v>
      </c>
      <c r="B38" s="175">
        <v>539620</v>
      </c>
      <c r="C38" s="175">
        <v>254135</v>
      </c>
      <c r="D38" s="175">
        <v>35370</v>
      </c>
      <c r="E38" s="175">
        <v>240050</v>
      </c>
      <c r="F38" s="175">
        <v>1215</v>
      </c>
      <c r="G38" s="175">
        <v>40</v>
      </c>
      <c r="H38" s="175">
        <v>4620</v>
      </c>
      <c r="I38" s="175">
        <v>170</v>
      </c>
      <c r="J38" s="175">
        <v>1070</v>
      </c>
      <c r="K38" s="175">
        <v>2935</v>
      </c>
    </row>
    <row r="39" spans="1:11" ht="12.75">
      <c r="A39" s="174" t="s">
        <v>20</v>
      </c>
      <c r="B39" s="175">
        <v>128775</v>
      </c>
      <c r="C39" s="175">
        <v>5260</v>
      </c>
      <c r="D39" s="175">
        <v>6375</v>
      </c>
      <c r="E39" s="175">
        <v>11180</v>
      </c>
      <c r="F39" s="175">
        <v>96805</v>
      </c>
      <c r="G39" s="175">
        <v>185</v>
      </c>
      <c r="H39" s="175">
        <v>8065</v>
      </c>
      <c r="I39" s="175">
        <v>45</v>
      </c>
      <c r="J39" s="175">
        <v>515</v>
      </c>
      <c r="K39" s="175">
        <v>345</v>
      </c>
    </row>
    <row r="40" spans="1:11" ht="12.75">
      <c r="A40" s="174" t="s">
        <v>21</v>
      </c>
      <c r="B40" s="175">
        <v>492800</v>
      </c>
      <c r="C40" s="175">
        <v>231095</v>
      </c>
      <c r="D40" s="175">
        <v>17820</v>
      </c>
      <c r="E40" s="175">
        <v>148445</v>
      </c>
      <c r="F40" s="175">
        <v>83295</v>
      </c>
      <c r="G40" s="175">
        <v>990</v>
      </c>
      <c r="H40" s="175">
        <v>5010</v>
      </c>
      <c r="I40" s="175">
        <v>175</v>
      </c>
      <c r="J40" s="175">
        <v>3300</v>
      </c>
      <c r="K40" s="175">
        <v>2660</v>
      </c>
    </row>
    <row r="41" spans="1:11" ht="12.75">
      <c r="A41" s="174" t="s">
        <v>22</v>
      </c>
      <c r="B41" s="175">
        <v>669015</v>
      </c>
      <c r="C41" s="175">
        <v>298065</v>
      </c>
      <c r="D41" s="175">
        <v>22030</v>
      </c>
      <c r="E41" s="175">
        <v>124235</v>
      </c>
      <c r="F41" s="175">
        <v>211520</v>
      </c>
      <c r="G41" s="175">
        <v>455</v>
      </c>
      <c r="H41" s="175">
        <v>3650</v>
      </c>
      <c r="I41" s="175">
        <v>105</v>
      </c>
      <c r="J41" s="175">
        <v>4520</v>
      </c>
      <c r="K41" s="175">
        <v>4440</v>
      </c>
    </row>
    <row r="42" spans="1:11" ht="12.75">
      <c r="A42" s="174" t="s">
        <v>23</v>
      </c>
      <c r="B42" s="175">
        <v>973060</v>
      </c>
      <c r="C42" s="175">
        <v>720640</v>
      </c>
      <c r="D42" s="175">
        <v>90315</v>
      </c>
      <c r="E42" s="175">
        <v>96680</v>
      </c>
      <c r="F42" s="175">
        <v>35360</v>
      </c>
      <c r="G42" s="175">
        <v>325</v>
      </c>
      <c r="H42" s="175">
        <v>15950</v>
      </c>
      <c r="I42" s="175">
        <v>220</v>
      </c>
      <c r="J42" s="175">
        <v>8240</v>
      </c>
      <c r="K42" s="175">
        <v>5325</v>
      </c>
    </row>
    <row r="43" spans="1:11" ht="12.75">
      <c r="A43" s="174" t="s">
        <v>24</v>
      </c>
      <c r="B43" s="175">
        <v>454100</v>
      </c>
      <c r="C43" s="175">
        <v>253940</v>
      </c>
      <c r="D43" s="175">
        <v>54100</v>
      </c>
      <c r="E43" s="175">
        <v>83030</v>
      </c>
      <c r="F43" s="175">
        <v>39220</v>
      </c>
      <c r="G43" s="175">
        <v>205</v>
      </c>
      <c r="H43" s="175">
        <v>11030</v>
      </c>
      <c r="I43" s="175">
        <v>90</v>
      </c>
      <c r="J43" s="175">
        <v>8260</v>
      </c>
      <c r="K43" s="175">
        <v>4220</v>
      </c>
    </row>
    <row r="44" spans="1:11" ht="12.75">
      <c r="A44" s="174" t="s">
        <v>25</v>
      </c>
      <c r="B44" s="175">
        <v>330980</v>
      </c>
      <c r="C44" s="175">
        <v>119795</v>
      </c>
      <c r="D44" s="175">
        <v>79730</v>
      </c>
      <c r="E44" s="175">
        <v>121630</v>
      </c>
      <c r="F44" s="175">
        <v>875</v>
      </c>
      <c r="G44" s="175">
        <v>40</v>
      </c>
      <c r="H44" s="175">
        <v>6665</v>
      </c>
      <c r="I44" s="175">
        <v>95</v>
      </c>
      <c r="J44" s="175">
        <v>620</v>
      </c>
      <c r="K44" s="175">
        <v>1525</v>
      </c>
    </row>
    <row r="45" spans="1:11" ht="12.75">
      <c r="A45" s="174" t="s">
        <v>26</v>
      </c>
      <c r="B45" s="175">
        <v>603425</v>
      </c>
      <c r="C45" s="175">
        <v>306070</v>
      </c>
      <c r="D45" s="175">
        <v>96585</v>
      </c>
      <c r="E45" s="175">
        <v>165175</v>
      </c>
      <c r="F45" s="175">
        <v>4220</v>
      </c>
      <c r="G45" s="175">
        <v>55</v>
      </c>
      <c r="H45" s="175">
        <v>27420</v>
      </c>
      <c r="I45" s="175">
        <v>140</v>
      </c>
      <c r="J45" s="175">
        <v>2120</v>
      </c>
      <c r="K45" s="175">
        <v>1640</v>
      </c>
    </row>
    <row r="46" spans="1:11" ht="12.75">
      <c r="A46" s="174" t="s">
        <v>27</v>
      </c>
      <c r="B46" s="175">
        <v>92570</v>
      </c>
      <c r="C46" s="175">
        <v>47915</v>
      </c>
      <c r="D46" s="175">
        <v>12055</v>
      </c>
      <c r="E46" s="175">
        <v>20255</v>
      </c>
      <c r="F46" s="175">
        <v>3200</v>
      </c>
      <c r="G46" s="175">
        <v>370</v>
      </c>
      <c r="H46" s="175">
        <v>7145</v>
      </c>
      <c r="I46" s="175">
        <v>50</v>
      </c>
      <c r="J46" s="175">
        <v>1255</v>
      </c>
      <c r="K46" s="175">
        <v>330</v>
      </c>
    </row>
    <row r="47" spans="1:11" ht="12.75">
      <c r="A47" s="174" t="s">
        <v>28</v>
      </c>
      <c r="B47" s="175">
        <v>170485</v>
      </c>
      <c r="C47" s="175">
        <v>106725</v>
      </c>
      <c r="D47" s="175">
        <v>20545</v>
      </c>
      <c r="E47" s="175">
        <v>36305</v>
      </c>
      <c r="F47" s="175">
        <v>2610</v>
      </c>
      <c r="G47" s="175">
        <v>30</v>
      </c>
      <c r="H47" s="175">
        <v>2360</v>
      </c>
      <c r="I47" s="175">
        <v>45</v>
      </c>
      <c r="J47" s="175">
        <v>1385</v>
      </c>
      <c r="K47" s="175">
        <v>470</v>
      </c>
    </row>
    <row r="48" spans="1:11" ht="12.75">
      <c r="A48" s="174" t="s">
        <v>29</v>
      </c>
      <c r="B48" s="175">
        <v>168855</v>
      </c>
      <c r="C48" s="175">
        <v>72430</v>
      </c>
      <c r="D48" s="175">
        <v>9145</v>
      </c>
      <c r="E48" s="175">
        <v>81720</v>
      </c>
      <c r="F48" s="175">
        <v>2015</v>
      </c>
      <c r="G48" s="175">
        <v>45</v>
      </c>
      <c r="H48" s="175">
        <v>1950</v>
      </c>
      <c r="I48" s="175">
        <v>130</v>
      </c>
      <c r="J48" s="175">
        <v>735</v>
      </c>
      <c r="K48" s="175">
        <v>685</v>
      </c>
    </row>
    <row r="49" spans="1:11" ht="12.75">
      <c r="A49" s="174" t="s">
        <v>30</v>
      </c>
      <c r="B49" s="175">
        <v>104115</v>
      </c>
      <c r="C49" s="175">
        <v>19630</v>
      </c>
      <c r="D49" s="175">
        <v>9590</v>
      </c>
      <c r="E49" s="175">
        <v>12805</v>
      </c>
      <c r="F49" s="175">
        <v>56495</v>
      </c>
      <c r="G49" s="175">
        <v>105</v>
      </c>
      <c r="H49" s="175">
        <v>4220</v>
      </c>
      <c r="I49" s="175">
        <v>25</v>
      </c>
      <c r="J49" s="175">
        <v>860</v>
      </c>
      <c r="K49" s="175">
        <v>380</v>
      </c>
    </row>
    <row r="50" spans="1:11" ht="12.75">
      <c r="A50" s="174" t="s">
        <v>31</v>
      </c>
      <c r="B50" s="175">
        <v>793000</v>
      </c>
      <c r="C50" s="175">
        <v>479615</v>
      </c>
      <c r="D50" s="175">
        <v>25425</v>
      </c>
      <c r="E50" s="175">
        <v>119280</v>
      </c>
      <c r="F50" s="175">
        <v>155130</v>
      </c>
      <c r="G50" s="175">
        <v>325</v>
      </c>
      <c r="H50" s="175">
        <v>1405</v>
      </c>
      <c r="I50" s="175">
        <v>195</v>
      </c>
      <c r="J50" s="175">
        <v>6165</v>
      </c>
      <c r="K50" s="175">
        <v>5455</v>
      </c>
    </row>
    <row r="51" spans="1:11" ht="12.75">
      <c r="A51" s="174" t="s">
        <v>32</v>
      </c>
      <c r="B51" s="175">
        <v>181180</v>
      </c>
      <c r="C51" s="175">
        <v>109505</v>
      </c>
      <c r="D51" s="175">
        <v>31230</v>
      </c>
      <c r="E51" s="175">
        <v>22765</v>
      </c>
      <c r="F51" s="175">
        <v>340</v>
      </c>
      <c r="G51" s="175">
        <v>355</v>
      </c>
      <c r="H51" s="175">
        <v>15520</v>
      </c>
      <c r="I51" s="175">
        <v>295</v>
      </c>
      <c r="J51" s="175">
        <v>605</v>
      </c>
      <c r="K51" s="175">
        <v>570</v>
      </c>
    </row>
    <row r="52" spans="1:11" ht="12.75">
      <c r="A52" s="174" t="s">
        <v>33</v>
      </c>
      <c r="B52" s="175">
        <v>2054625</v>
      </c>
      <c r="C52" s="175">
        <v>1051045</v>
      </c>
      <c r="D52" s="175">
        <v>80135</v>
      </c>
      <c r="E52" s="175">
        <v>243210</v>
      </c>
      <c r="F52" s="175">
        <v>602940</v>
      </c>
      <c r="G52" s="175">
        <v>2425</v>
      </c>
      <c r="H52" s="175">
        <v>20370</v>
      </c>
      <c r="I52" s="175">
        <v>1210</v>
      </c>
      <c r="J52" s="175">
        <v>29535</v>
      </c>
      <c r="K52" s="175">
        <v>23755</v>
      </c>
    </row>
    <row r="53" spans="1:11" ht="12.75">
      <c r="A53" s="174" t="s">
        <v>34</v>
      </c>
      <c r="B53" s="175">
        <v>852555</v>
      </c>
      <c r="C53" s="175">
        <v>158935</v>
      </c>
      <c r="D53" s="175">
        <v>115240</v>
      </c>
      <c r="E53" s="175">
        <v>411325</v>
      </c>
      <c r="F53" s="175">
        <v>136520</v>
      </c>
      <c r="G53" s="175">
        <v>180</v>
      </c>
      <c r="H53" s="175">
        <v>24360</v>
      </c>
      <c r="I53" s="175">
        <v>340</v>
      </c>
      <c r="J53" s="175">
        <v>2565</v>
      </c>
      <c r="K53" s="175">
        <v>3095</v>
      </c>
    </row>
    <row r="54" spans="1:11" ht="12.75">
      <c r="A54" s="174" t="s">
        <v>35</v>
      </c>
      <c r="B54" s="175">
        <v>65825</v>
      </c>
      <c r="C54" s="175">
        <v>22430</v>
      </c>
      <c r="D54" s="175">
        <v>11180</v>
      </c>
      <c r="E54" s="175">
        <v>22155</v>
      </c>
      <c r="F54" s="175">
        <v>6805</v>
      </c>
      <c r="G54" s="175">
        <v>625</v>
      </c>
      <c r="H54" s="175">
        <v>370</v>
      </c>
      <c r="I54" s="175">
        <v>20</v>
      </c>
      <c r="J54" s="175">
        <v>1515</v>
      </c>
      <c r="K54" s="175">
        <v>730</v>
      </c>
    </row>
    <row r="55" spans="1:11" ht="12.75">
      <c r="A55" s="174" t="s">
        <v>36</v>
      </c>
      <c r="B55" s="175">
        <v>1195015</v>
      </c>
      <c r="C55" s="175">
        <v>783180</v>
      </c>
      <c r="D55" s="175">
        <v>69105</v>
      </c>
      <c r="E55" s="175">
        <v>256095</v>
      </c>
      <c r="F55" s="175">
        <v>53255</v>
      </c>
      <c r="G55" s="175">
        <v>1530</v>
      </c>
      <c r="H55" s="175">
        <v>14225</v>
      </c>
      <c r="I55" s="175">
        <v>295</v>
      </c>
      <c r="J55" s="175">
        <v>11790</v>
      </c>
      <c r="K55" s="175">
        <v>5540</v>
      </c>
    </row>
    <row r="56" spans="1:11" ht="12.75">
      <c r="A56" s="174" t="s">
        <v>37</v>
      </c>
      <c r="B56" s="175">
        <v>369600</v>
      </c>
      <c r="C56" s="175">
        <v>207605</v>
      </c>
      <c r="D56" s="175">
        <v>47465</v>
      </c>
      <c r="E56" s="175">
        <v>103000</v>
      </c>
      <c r="F56" s="175">
        <v>445</v>
      </c>
      <c r="G56" s="175">
        <v>10</v>
      </c>
      <c r="H56" s="175">
        <v>8525</v>
      </c>
      <c r="I56" s="175">
        <v>75</v>
      </c>
      <c r="J56" s="175">
        <v>1420</v>
      </c>
      <c r="K56" s="175">
        <v>1055</v>
      </c>
    </row>
    <row r="57" spans="1:11" ht="12.75">
      <c r="A57" s="174" t="s">
        <v>38</v>
      </c>
      <c r="B57" s="175">
        <v>350335</v>
      </c>
      <c r="C57" s="175">
        <v>78435</v>
      </c>
      <c r="D57" s="175">
        <v>8040</v>
      </c>
      <c r="E57" s="175">
        <v>213545</v>
      </c>
      <c r="F57" s="175">
        <v>19180</v>
      </c>
      <c r="G57" s="175">
        <v>45</v>
      </c>
      <c r="H57" s="175">
        <v>27015</v>
      </c>
      <c r="I57" s="175">
        <v>110</v>
      </c>
      <c r="J57" s="175">
        <v>2800</v>
      </c>
      <c r="K57" s="175">
        <v>1165</v>
      </c>
    </row>
    <row r="58" spans="1:11" ht="12.75">
      <c r="A58" s="174" t="s">
        <v>39</v>
      </c>
      <c r="B58" s="175">
        <v>1347235</v>
      </c>
      <c r="C58" s="175">
        <v>717210</v>
      </c>
      <c r="D58" s="175">
        <v>42175</v>
      </c>
      <c r="E58" s="175">
        <v>214355</v>
      </c>
      <c r="F58" s="175">
        <v>321215</v>
      </c>
      <c r="G58" s="175">
        <v>18705</v>
      </c>
      <c r="H58" s="175">
        <v>20030</v>
      </c>
      <c r="I58" s="175">
        <v>230</v>
      </c>
      <c r="J58" s="175">
        <v>8125</v>
      </c>
      <c r="K58" s="175">
        <v>5195</v>
      </c>
    </row>
    <row r="59" spans="1:11" ht="12.75">
      <c r="A59" s="174" t="s">
        <v>40</v>
      </c>
      <c r="B59" s="175">
        <v>130110</v>
      </c>
      <c r="C59" s="175">
        <v>67415</v>
      </c>
      <c r="D59" s="175">
        <v>4225</v>
      </c>
      <c r="E59" s="175">
        <v>14520</v>
      </c>
      <c r="F59" s="175">
        <v>42210</v>
      </c>
      <c r="G59" s="175">
        <v>80</v>
      </c>
      <c r="H59" s="175">
        <v>525</v>
      </c>
      <c r="I59" s="175">
        <v>25</v>
      </c>
      <c r="J59" s="175">
        <v>585</v>
      </c>
      <c r="K59" s="175">
        <v>525</v>
      </c>
    </row>
    <row r="60" spans="1:11" ht="12.75">
      <c r="A60" s="174" t="s">
        <v>41</v>
      </c>
      <c r="B60" s="175">
        <v>438445</v>
      </c>
      <c r="C60" s="175">
        <v>104515</v>
      </c>
      <c r="D60" s="175">
        <v>49100</v>
      </c>
      <c r="E60" s="175">
        <v>237860</v>
      </c>
      <c r="F60" s="175">
        <v>35875</v>
      </c>
      <c r="G60" s="175">
        <v>75</v>
      </c>
      <c r="H60" s="175">
        <v>8045</v>
      </c>
      <c r="I60" s="175">
        <v>175</v>
      </c>
      <c r="J60" s="175">
        <v>935</v>
      </c>
      <c r="K60" s="175">
        <v>1865</v>
      </c>
    </row>
    <row r="61" spans="1:11" ht="12.75">
      <c r="A61" s="174" t="s">
        <v>42</v>
      </c>
      <c r="B61" s="175">
        <v>74065</v>
      </c>
      <c r="C61" s="175">
        <v>26350</v>
      </c>
      <c r="D61" s="175">
        <v>19215</v>
      </c>
      <c r="E61" s="175">
        <v>19460</v>
      </c>
      <c r="F61" s="175">
        <v>5840</v>
      </c>
      <c r="G61" s="175">
        <v>125</v>
      </c>
      <c r="H61" s="175">
        <v>1505</v>
      </c>
      <c r="I61" s="175">
        <v>30</v>
      </c>
      <c r="J61" s="175">
        <v>1010</v>
      </c>
      <c r="K61" s="175">
        <v>535</v>
      </c>
    </row>
    <row r="62" spans="1:11" ht="12.75">
      <c r="A62" s="174" t="s">
        <v>43</v>
      </c>
      <c r="B62" s="175">
        <v>618095</v>
      </c>
      <c r="C62" s="175">
        <v>180725</v>
      </c>
      <c r="D62" s="175">
        <v>47570</v>
      </c>
      <c r="E62" s="175">
        <v>342720</v>
      </c>
      <c r="F62" s="175">
        <v>19610</v>
      </c>
      <c r="G62" s="175">
        <v>1635</v>
      </c>
      <c r="H62" s="175">
        <v>22380</v>
      </c>
      <c r="I62" s="175">
        <v>120</v>
      </c>
      <c r="J62" s="175">
        <v>1100</v>
      </c>
      <c r="K62" s="175">
        <v>2235</v>
      </c>
    </row>
    <row r="63" spans="1:11" ht="12.75">
      <c r="A63" s="174" t="s">
        <v>44</v>
      </c>
      <c r="B63" s="175">
        <v>1983080</v>
      </c>
      <c r="C63" s="175">
        <v>821925</v>
      </c>
      <c r="D63" s="175">
        <v>169885</v>
      </c>
      <c r="E63" s="175">
        <v>956640</v>
      </c>
      <c r="F63" s="175">
        <v>2185</v>
      </c>
      <c r="G63" s="175">
        <v>180</v>
      </c>
      <c r="H63" s="175">
        <v>10880</v>
      </c>
      <c r="I63" s="175">
        <v>845</v>
      </c>
      <c r="J63" s="175">
        <v>4280</v>
      </c>
      <c r="K63" s="175">
        <v>16260</v>
      </c>
    </row>
    <row r="64" spans="1:11" ht="12.75">
      <c r="A64" s="174" t="s">
        <v>45</v>
      </c>
      <c r="B64" s="175">
        <v>150515</v>
      </c>
      <c r="C64" s="175">
        <v>114910</v>
      </c>
      <c r="D64" s="175">
        <v>6490</v>
      </c>
      <c r="E64" s="175">
        <v>22895</v>
      </c>
      <c r="F64" s="175">
        <v>1310</v>
      </c>
      <c r="G64" s="175">
        <v>900</v>
      </c>
      <c r="H64" s="175">
        <v>2870</v>
      </c>
      <c r="I64" s="175">
        <v>70</v>
      </c>
      <c r="J64" s="175">
        <v>745</v>
      </c>
      <c r="K64" s="175">
        <v>325</v>
      </c>
    </row>
    <row r="65" spans="1:11" ht="12.75">
      <c r="A65" s="174" t="s">
        <v>46</v>
      </c>
      <c r="B65" s="175">
        <v>57175</v>
      </c>
      <c r="C65" s="175">
        <v>6095</v>
      </c>
      <c r="D65" s="175">
        <v>8065</v>
      </c>
      <c r="E65" s="175">
        <v>5050</v>
      </c>
      <c r="F65" s="175">
        <v>32620</v>
      </c>
      <c r="G65" s="175">
        <v>95</v>
      </c>
      <c r="H65" s="175">
        <v>4795</v>
      </c>
      <c r="I65" s="175">
        <v>20</v>
      </c>
      <c r="J65" s="175">
        <v>235</v>
      </c>
      <c r="K65" s="175">
        <v>195</v>
      </c>
    </row>
    <row r="66" spans="1:11" ht="12.75">
      <c r="A66" s="174" t="s">
        <v>47</v>
      </c>
      <c r="B66" s="175">
        <v>656520</v>
      </c>
      <c r="C66" s="175">
        <v>167365</v>
      </c>
      <c r="D66" s="175">
        <v>37375</v>
      </c>
      <c r="E66" s="175">
        <v>295515</v>
      </c>
      <c r="F66" s="175">
        <v>118735</v>
      </c>
      <c r="G66" s="175">
        <v>3420</v>
      </c>
      <c r="H66" s="175">
        <v>28145</v>
      </c>
      <c r="I66" s="175">
        <v>220</v>
      </c>
      <c r="J66" s="175">
        <v>2895</v>
      </c>
      <c r="K66" s="175">
        <v>2850</v>
      </c>
    </row>
    <row r="67" spans="1:11" ht="12.75">
      <c r="A67" s="174" t="s">
        <v>48</v>
      </c>
      <c r="B67" s="175">
        <v>551230</v>
      </c>
      <c r="C67" s="175">
        <v>110035</v>
      </c>
      <c r="D67" s="175">
        <v>14505</v>
      </c>
      <c r="E67" s="175">
        <v>366220</v>
      </c>
      <c r="F67" s="175">
        <v>24980</v>
      </c>
      <c r="G67" s="175">
        <v>185</v>
      </c>
      <c r="H67" s="175">
        <v>28975</v>
      </c>
      <c r="I67" s="175">
        <v>85</v>
      </c>
      <c r="J67" s="175">
        <v>4230</v>
      </c>
      <c r="K67" s="175">
        <v>2015</v>
      </c>
    </row>
    <row r="68" spans="1:11" ht="12.75">
      <c r="A68" s="174" t="s">
        <v>49</v>
      </c>
      <c r="B68" s="175">
        <v>232685</v>
      </c>
      <c r="C68" s="175">
        <v>102000</v>
      </c>
      <c r="D68" s="175">
        <v>13870</v>
      </c>
      <c r="E68" s="175">
        <v>76960</v>
      </c>
      <c r="F68" s="175">
        <v>17565</v>
      </c>
      <c r="G68" s="175">
        <v>4480</v>
      </c>
      <c r="H68" s="175">
        <v>15755</v>
      </c>
      <c r="I68" s="175">
        <v>20</v>
      </c>
      <c r="J68" s="175">
        <v>1510</v>
      </c>
      <c r="K68" s="175">
        <v>535</v>
      </c>
    </row>
    <row r="69" spans="1:11" ht="12.75">
      <c r="A69" s="174" t="s">
        <v>50</v>
      </c>
      <c r="B69" s="175">
        <v>499735</v>
      </c>
      <c r="C69" s="175">
        <v>294600</v>
      </c>
      <c r="D69" s="175">
        <v>53690</v>
      </c>
      <c r="E69" s="175">
        <v>89100</v>
      </c>
      <c r="F69" s="175">
        <v>39580</v>
      </c>
      <c r="G69" s="175">
        <v>155</v>
      </c>
      <c r="H69" s="175">
        <v>15005</v>
      </c>
      <c r="I69" s="175">
        <v>100</v>
      </c>
      <c r="J69" s="175">
        <v>5115</v>
      </c>
      <c r="K69" s="175">
        <v>2390</v>
      </c>
    </row>
    <row r="70" spans="1:11" ht="12.75">
      <c r="A70" s="174" t="s">
        <v>51</v>
      </c>
      <c r="B70" s="175">
        <v>48345</v>
      </c>
      <c r="C70" s="175">
        <v>29430</v>
      </c>
      <c r="D70" s="175">
        <v>5345</v>
      </c>
      <c r="E70" s="175">
        <v>10580</v>
      </c>
      <c r="F70" s="175">
        <v>130</v>
      </c>
      <c r="G70" s="175">
        <v>340</v>
      </c>
      <c r="H70" s="175">
        <v>1855</v>
      </c>
      <c r="I70" s="175">
        <v>15</v>
      </c>
      <c r="J70" s="175">
        <v>485</v>
      </c>
      <c r="K70" s="175">
        <v>165</v>
      </c>
    </row>
    <row r="71" spans="1:11" ht="12.75">
      <c r="A71" s="174"/>
      <c r="B71" s="175"/>
      <c r="C71" s="175"/>
      <c r="D71" s="175"/>
      <c r="E71" s="175"/>
      <c r="F71" s="175"/>
      <c r="G71" s="175"/>
      <c r="H71" s="175"/>
      <c r="I71" s="175"/>
      <c r="J71" s="175"/>
      <c r="K71" s="175"/>
    </row>
    <row r="72" spans="1:11" ht="12.75">
      <c r="A72" s="207" t="s">
        <v>393</v>
      </c>
      <c r="B72" s="208"/>
      <c r="C72" s="208"/>
      <c r="D72" s="208"/>
      <c r="E72" s="208"/>
      <c r="F72" s="208"/>
      <c r="G72" s="208"/>
      <c r="H72" s="208"/>
      <c r="I72" s="208"/>
      <c r="J72" s="208"/>
      <c r="K72" s="208"/>
    </row>
    <row r="73" spans="1:11" ht="12.75" customHeight="1">
      <c r="A73" s="209" t="s">
        <v>394</v>
      </c>
      <c r="B73" s="210"/>
      <c r="C73" s="210"/>
      <c r="D73" s="210"/>
      <c r="E73" s="210"/>
      <c r="F73" s="210"/>
      <c r="G73" s="210"/>
      <c r="H73" s="210"/>
      <c r="I73" s="210"/>
      <c r="J73" s="208"/>
      <c r="K73" s="208"/>
    </row>
    <row r="74" spans="1:11" ht="39" customHeight="1">
      <c r="A74" s="209" t="s">
        <v>395</v>
      </c>
      <c r="B74" s="210"/>
      <c r="C74" s="210"/>
      <c r="D74" s="210"/>
      <c r="E74" s="210"/>
      <c r="F74" s="210"/>
      <c r="G74" s="210"/>
      <c r="H74" s="210"/>
      <c r="I74" s="210"/>
      <c r="J74" s="208"/>
      <c r="K74" s="208"/>
    </row>
    <row r="75" spans="1:11" ht="12.75">
      <c r="A75" s="207" t="s">
        <v>396</v>
      </c>
      <c r="B75" s="208"/>
      <c r="C75" s="208"/>
      <c r="D75" s="208"/>
      <c r="E75" s="208"/>
      <c r="F75" s="208"/>
      <c r="G75" s="208"/>
      <c r="H75" s="208"/>
      <c r="I75" s="208"/>
      <c r="J75" s="208"/>
      <c r="K75" s="208"/>
    </row>
    <row r="76" spans="1:11" s="168" customFormat="1" ht="31.5" customHeight="1" thickBot="1">
      <c r="A76" s="199" t="s">
        <v>397</v>
      </c>
      <c r="B76" s="199"/>
      <c r="C76" s="199"/>
      <c r="D76" s="199"/>
      <c r="E76" s="199"/>
      <c r="F76" s="199"/>
      <c r="G76" s="199"/>
      <c r="H76" s="199"/>
      <c r="I76" s="199"/>
      <c r="J76" s="199"/>
      <c r="K76" s="199"/>
    </row>
    <row r="77" spans="1:11" s="169" customFormat="1" ht="13.5" customHeight="1" thickBot="1">
      <c r="A77" s="200" t="s">
        <v>367</v>
      </c>
      <c r="B77" s="202" t="s">
        <v>368</v>
      </c>
      <c r="C77" s="204" t="s">
        <v>369</v>
      </c>
      <c r="D77" s="205"/>
      <c r="E77" s="205"/>
      <c r="F77" s="205"/>
      <c r="G77" s="205"/>
      <c r="H77" s="205"/>
      <c r="I77" s="205"/>
      <c r="J77" s="205"/>
      <c r="K77" s="206"/>
    </row>
    <row r="78" spans="1:11" s="169" customFormat="1" ht="12" customHeight="1" thickBot="1">
      <c r="A78" s="201"/>
      <c r="B78" s="203"/>
      <c r="C78" s="170" t="s">
        <v>370</v>
      </c>
      <c r="D78" s="170" t="s">
        <v>371</v>
      </c>
      <c r="E78" s="170" t="s">
        <v>372</v>
      </c>
      <c r="F78" s="170" t="s">
        <v>373</v>
      </c>
      <c r="G78" s="170" t="s">
        <v>374</v>
      </c>
      <c r="H78" s="170" t="s">
        <v>375</v>
      </c>
      <c r="I78" s="170" t="s">
        <v>376</v>
      </c>
      <c r="J78" s="170" t="s">
        <v>377</v>
      </c>
      <c r="K78" s="170" t="s">
        <v>378</v>
      </c>
    </row>
    <row r="79" spans="1:11" s="169" customFormat="1" ht="12.75">
      <c r="A79" s="171"/>
      <c r="B79" s="172"/>
      <c r="C79" s="173"/>
      <c r="D79" s="173"/>
      <c r="E79" s="173"/>
      <c r="F79" s="173"/>
      <c r="G79" s="173"/>
      <c r="H79" s="173"/>
      <c r="I79" s="173"/>
      <c r="J79" s="173"/>
      <c r="K79" s="173"/>
    </row>
    <row r="80" spans="1:11" ht="12.75">
      <c r="A80" s="174" t="s">
        <v>379</v>
      </c>
      <c r="B80" s="175">
        <v>28048665</v>
      </c>
      <c r="C80" s="177">
        <f aca="true" t="shared" si="0" ref="C80:K93">C5/$B5</f>
        <v>0.4722518879240777</v>
      </c>
      <c r="D80" s="177">
        <f t="shared" si="0"/>
        <v>0.07485810822012384</v>
      </c>
      <c r="E80" s="177">
        <f t="shared" si="0"/>
        <v>0.3257133628284983</v>
      </c>
      <c r="F80" s="177">
        <f t="shared" si="0"/>
        <v>0.08831347231677515</v>
      </c>
      <c r="G80" s="177">
        <f t="shared" si="0"/>
        <v>0.0018549902464163625</v>
      </c>
      <c r="H80" s="177">
        <f t="shared" si="0"/>
        <v>0.019638367815366615</v>
      </c>
      <c r="I80" s="177">
        <f t="shared" si="0"/>
        <v>0.0005861241524329233</v>
      </c>
      <c r="J80" s="177">
        <f t="shared" si="0"/>
        <v>0.0058225587563614884</v>
      </c>
      <c r="K80" s="177">
        <f t="shared" si="0"/>
        <v>0.010961127739947694</v>
      </c>
    </row>
    <row r="81" spans="1:11" ht="12.75">
      <c r="A81" s="174" t="s">
        <v>380</v>
      </c>
      <c r="B81" s="175">
        <v>5648225</v>
      </c>
      <c r="C81" s="177">
        <f t="shared" si="0"/>
        <v>0.4899087766510718</v>
      </c>
      <c r="D81" s="177">
        <f t="shared" si="0"/>
        <v>0.0370550040056832</v>
      </c>
      <c r="E81" s="177">
        <f t="shared" si="0"/>
        <v>0.1445533773884716</v>
      </c>
      <c r="F81" s="177">
        <f t="shared" si="0"/>
        <v>0.2959062360299032</v>
      </c>
      <c r="G81" s="177">
        <f t="shared" si="0"/>
        <v>0.004008338902929682</v>
      </c>
      <c r="H81" s="177">
        <f t="shared" si="0"/>
        <v>0.011562039401758959</v>
      </c>
      <c r="I81" s="177">
        <f t="shared" si="0"/>
        <v>0.0003408150348118214</v>
      </c>
      <c r="J81" s="177">
        <f t="shared" si="0"/>
        <v>0.0092825622208747</v>
      </c>
      <c r="K81" s="177">
        <f t="shared" si="0"/>
        <v>0.007382850364495041</v>
      </c>
    </row>
    <row r="82" spans="1:11" ht="12.75">
      <c r="A82" s="174" t="s">
        <v>381</v>
      </c>
      <c r="B82" s="175">
        <v>6321115</v>
      </c>
      <c r="C82" s="177">
        <f t="shared" si="0"/>
        <v>0.6482970172192722</v>
      </c>
      <c r="D82" s="177">
        <f t="shared" si="0"/>
        <v>0.09205417082271086</v>
      </c>
      <c r="E82" s="177">
        <f t="shared" si="0"/>
        <v>0.1924731633580468</v>
      </c>
      <c r="F82" s="177">
        <f t="shared" si="0"/>
        <v>0.034591998405344625</v>
      </c>
      <c r="G82" s="177">
        <f t="shared" si="0"/>
        <v>0.0006944977270623932</v>
      </c>
      <c r="H82" s="177">
        <f t="shared" si="0"/>
        <v>0.017168648252721238</v>
      </c>
      <c r="I82" s="177">
        <f t="shared" si="0"/>
        <v>0.0002246439117149427</v>
      </c>
      <c r="J82" s="177">
        <f t="shared" si="0"/>
        <v>0.008871852513361962</v>
      </c>
      <c r="K82" s="177">
        <f t="shared" si="0"/>
        <v>0.005624798789454075</v>
      </c>
    </row>
    <row r="83" spans="1:11" ht="12.75">
      <c r="A83" s="174" t="s">
        <v>382</v>
      </c>
      <c r="B83" s="175">
        <v>10357525</v>
      </c>
      <c r="C83" s="177">
        <f t="shared" si="0"/>
        <v>0.3227991243081721</v>
      </c>
      <c r="D83" s="177">
        <f t="shared" si="0"/>
        <v>0.09878952742088482</v>
      </c>
      <c r="E83" s="177">
        <f t="shared" si="0"/>
        <v>0.49826575364288284</v>
      </c>
      <c r="F83" s="177">
        <f t="shared" si="0"/>
        <v>0.048110431787516804</v>
      </c>
      <c r="G83" s="177">
        <f t="shared" si="0"/>
        <v>0.001954134795716158</v>
      </c>
      <c r="H83" s="177">
        <f t="shared" si="0"/>
        <v>0.018938404686447776</v>
      </c>
      <c r="I83" s="177">
        <f t="shared" si="0"/>
        <v>0.00035143530911100864</v>
      </c>
      <c r="J83" s="177">
        <f t="shared" si="0"/>
        <v>0.002604869406542586</v>
      </c>
      <c r="K83" s="177">
        <f t="shared" si="0"/>
        <v>0.008186318642725942</v>
      </c>
    </row>
    <row r="84" spans="1:11" ht="12.75">
      <c r="A84" s="174" t="s">
        <v>383</v>
      </c>
      <c r="B84" s="175">
        <v>5721800</v>
      </c>
      <c r="C84" s="177">
        <f t="shared" si="0"/>
        <v>0.5308757733580342</v>
      </c>
      <c r="D84" s="177">
        <f t="shared" si="0"/>
        <v>0.049858436156454265</v>
      </c>
      <c r="E84" s="177">
        <f t="shared" si="0"/>
        <v>0.3393870809885001</v>
      </c>
      <c r="F84" s="177">
        <f t="shared" si="0"/>
        <v>0.015514348631549513</v>
      </c>
      <c r="G84" s="177">
        <f t="shared" si="0"/>
        <v>0.0008319060435527281</v>
      </c>
      <c r="H84" s="177">
        <f t="shared" si="0"/>
        <v>0.03160631269880108</v>
      </c>
      <c r="I84" s="177">
        <f t="shared" si="0"/>
        <v>0.0016515781747002691</v>
      </c>
      <c r="J84" s="177">
        <f t="shared" si="0"/>
        <v>0.004862980181061904</v>
      </c>
      <c r="K84" s="177">
        <f t="shared" si="0"/>
        <v>0.025410709916459856</v>
      </c>
    </row>
    <row r="85" spans="1:11" ht="12.75">
      <c r="A85" s="174" t="s">
        <v>384</v>
      </c>
      <c r="B85" s="175">
        <v>1453365</v>
      </c>
      <c r="C85" s="177">
        <f t="shared" si="0"/>
        <v>0.35726744486071976</v>
      </c>
      <c r="D85" s="177">
        <f t="shared" si="0"/>
        <v>0.042353434959559365</v>
      </c>
      <c r="E85" s="177">
        <f t="shared" si="0"/>
        <v>0.16487943496643995</v>
      </c>
      <c r="F85" s="177">
        <f t="shared" si="0"/>
        <v>0.40737185772328355</v>
      </c>
      <c r="G85" s="177">
        <f t="shared" si="0"/>
        <v>0.0008153492068406767</v>
      </c>
      <c r="H85" s="177">
        <f t="shared" si="0"/>
        <v>0.016169372456334093</v>
      </c>
      <c r="I85" s="177">
        <f t="shared" si="0"/>
        <v>0.0001995369366951867</v>
      </c>
      <c r="J85" s="177">
        <f t="shared" si="0"/>
        <v>0.005920742552627867</v>
      </c>
      <c r="K85" s="177">
        <f t="shared" si="0"/>
        <v>0.005019386045487541</v>
      </c>
    </row>
    <row r="86" spans="1:11" ht="12.75">
      <c r="A86" s="174" t="s">
        <v>385</v>
      </c>
      <c r="B86" s="175">
        <v>4194865</v>
      </c>
      <c r="C86" s="177">
        <f t="shared" si="0"/>
        <v>0.5358634902434286</v>
      </c>
      <c r="D86" s="177">
        <f t="shared" si="0"/>
        <v>0.03521925020233071</v>
      </c>
      <c r="E86" s="177">
        <f t="shared" si="0"/>
        <v>0.137512172620573</v>
      </c>
      <c r="F86" s="177">
        <f t="shared" si="0"/>
        <v>0.25728718325857924</v>
      </c>
      <c r="G86" s="177">
        <f t="shared" si="0"/>
        <v>0.005114586524238563</v>
      </c>
      <c r="H86" s="177">
        <f t="shared" si="0"/>
        <v>0.009965755751376981</v>
      </c>
      <c r="I86" s="177">
        <f t="shared" si="0"/>
        <v>0.0003897622450305314</v>
      </c>
      <c r="J86" s="177">
        <f t="shared" si="0"/>
        <v>0.0104472968736777</v>
      </c>
      <c r="K86" s="177">
        <f t="shared" si="0"/>
        <v>0.008201694214235737</v>
      </c>
    </row>
    <row r="87" spans="1:11" ht="12.75">
      <c r="A87" s="174" t="s">
        <v>386</v>
      </c>
      <c r="B87" s="175">
        <v>4413970</v>
      </c>
      <c r="C87" s="177">
        <f t="shared" si="0"/>
        <v>0.6869269614428735</v>
      </c>
      <c r="D87" s="177">
        <f t="shared" si="0"/>
        <v>0.07205871358436963</v>
      </c>
      <c r="E87" s="177">
        <f t="shared" si="0"/>
        <v>0.1776122175728426</v>
      </c>
      <c r="F87" s="177">
        <f t="shared" si="0"/>
        <v>0.034589043423494045</v>
      </c>
      <c r="G87" s="177">
        <f t="shared" si="0"/>
        <v>0.0007510245878426904</v>
      </c>
      <c r="H87" s="177">
        <f t="shared" si="0"/>
        <v>0.013343996447642371</v>
      </c>
      <c r="I87" s="177">
        <f t="shared" si="0"/>
        <v>0.0002265534201637075</v>
      </c>
      <c r="J87" s="177">
        <f t="shared" si="0"/>
        <v>0.008615826568825796</v>
      </c>
      <c r="K87" s="177">
        <f t="shared" si="0"/>
        <v>0.005873397417744117</v>
      </c>
    </row>
    <row r="88" spans="1:11" ht="12.75">
      <c r="A88" s="174" t="s">
        <v>387</v>
      </c>
      <c r="B88" s="175">
        <v>1907145</v>
      </c>
      <c r="C88" s="177">
        <f t="shared" si="0"/>
        <v>0.5588903832692322</v>
      </c>
      <c r="D88" s="177">
        <f t="shared" si="0"/>
        <v>0.1383324288399676</v>
      </c>
      <c r="E88" s="177">
        <f t="shared" si="0"/>
        <v>0.22686790988624359</v>
      </c>
      <c r="F88" s="177">
        <f t="shared" si="0"/>
        <v>0.034596215809495345</v>
      </c>
      <c r="G88" s="177">
        <f t="shared" si="0"/>
        <v>0.0005636697786481888</v>
      </c>
      <c r="H88" s="177">
        <f t="shared" si="0"/>
        <v>0.026017948294440117</v>
      </c>
      <c r="I88" s="177">
        <f t="shared" si="0"/>
        <v>0.00022022447165789702</v>
      </c>
      <c r="J88" s="177">
        <f t="shared" si="0"/>
        <v>0.009464408841488194</v>
      </c>
      <c r="K88" s="177">
        <f t="shared" si="0"/>
        <v>0.005049432528727496</v>
      </c>
    </row>
    <row r="89" spans="1:11" ht="12.75">
      <c r="A89" s="174" t="s">
        <v>388</v>
      </c>
      <c r="B89" s="175">
        <v>5216235</v>
      </c>
      <c r="C89" s="177">
        <f t="shared" si="0"/>
        <v>0.2410848054200012</v>
      </c>
      <c r="D89" s="177">
        <f t="shared" si="0"/>
        <v>0.08667841843781962</v>
      </c>
      <c r="E89" s="177">
        <f t="shared" si="0"/>
        <v>0.5511091812389588</v>
      </c>
      <c r="F89" s="177">
        <f t="shared" si="0"/>
        <v>0.0862978757667168</v>
      </c>
      <c r="G89" s="177">
        <f t="shared" si="0"/>
        <v>0.0018145271445784172</v>
      </c>
      <c r="H89" s="177">
        <f t="shared" si="0"/>
        <v>0.01888143459794277</v>
      </c>
      <c r="I89" s="177">
        <f t="shared" si="0"/>
        <v>0.00039875504075257345</v>
      </c>
      <c r="J89" s="177">
        <f t="shared" si="0"/>
        <v>0.002901518048937596</v>
      </c>
      <c r="K89" s="177">
        <f t="shared" si="0"/>
        <v>0.010835401395834351</v>
      </c>
    </row>
    <row r="90" spans="1:11" ht="12.75">
      <c r="A90" s="174" t="s">
        <v>389</v>
      </c>
      <c r="B90" s="175">
        <v>1973600</v>
      </c>
      <c r="C90" s="177">
        <f t="shared" si="0"/>
        <v>0.34221220105391165</v>
      </c>
      <c r="D90" s="177">
        <f t="shared" si="0"/>
        <v>0.13872618565058775</v>
      </c>
      <c r="E90" s="177">
        <f t="shared" si="0"/>
        <v>0.4554646331576814</v>
      </c>
      <c r="F90" s="177">
        <f t="shared" si="0"/>
        <v>0.02223348196189704</v>
      </c>
      <c r="G90" s="177">
        <f t="shared" si="0"/>
        <v>0.005332894203486016</v>
      </c>
      <c r="H90" s="177">
        <f t="shared" si="0"/>
        <v>0.02995541143088772</v>
      </c>
      <c r="I90" s="177">
        <f t="shared" si="0"/>
        <v>0.000179874341305229</v>
      </c>
      <c r="J90" s="177">
        <f t="shared" si="0"/>
        <v>0.002214227807053101</v>
      </c>
      <c r="K90" s="177">
        <f t="shared" si="0"/>
        <v>0.0036810903931901095</v>
      </c>
    </row>
    <row r="91" spans="1:11" ht="12.75">
      <c r="A91" s="174" t="s">
        <v>390</v>
      </c>
      <c r="B91" s="175">
        <v>3167690</v>
      </c>
      <c r="C91" s="177">
        <f t="shared" si="0"/>
        <v>0.44526295186713344</v>
      </c>
      <c r="D91" s="177">
        <f t="shared" si="0"/>
        <v>0.09385072402918215</v>
      </c>
      <c r="E91" s="177">
        <f t="shared" si="0"/>
        <v>0.4379169047476237</v>
      </c>
      <c r="F91" s="177">
        <f t="shared" si="0"/>
        <v>0.0013495638777784441</v>
      </c>
      <c r="G91" s="177">
        <f t="shared" si="0"/>
        <v>7.892186419756984E-05</v>
      </c>
      <c r="H91" s="177">
        <f t="shared" si="0"/>
        <v>0.012168173021981317</v>
      </c>
      <c r="I91" s="177">
        <f t="shared" si="0"/>
        <v>0.000381981822716238</v>
      </c>
      <c r="J91" s="177">
        <f t="shared" si="0"/>
        <v>0.002359763739507338</v>
      </c>
      <c r="K91" s="177">
        <f t="shared" si="0"/>
        <v>0.006631015029879818</v>
      </c>
    </row>
    <row r="92" spans="1:11" ht="12.75">
      <c r="A92" s="174" t="s">
        <v>391</v>
      </c>
      <c r="B92" s="175">
        <v>1585795</v>
      </c>
      <c r="C92" s="177">
        <f t="shared" si="0"/>
        <v>0.5293717031520467</v>
      </c>
      <c r="D92" s="177">
        <f t="shared" si="0"/>
        <v>0.08201879814225672</v>
      </c>
      <c r="E92" s="177">
        <f t="shared" si="0"/>
        <v>0.3222989100104364</v>
      </c>
      <c r="F92" s="177">
        <f t="shared" si="0"/>
        <v>0.009414836091676414</v>
      </c>
      <c r="G92" s="177">
        <f t="shared" si="0"/>
        <v>0.0024246513578362904</v>
      </c>
      <c r="H92" s="177">
        <f t="shared" si="0"/>
        <v>0.041487077459570754</v>
      </c>
      <c r="I92" s="177">
        <f t="shared" si="0"/>
        <v>0.0008229310850393651</v>
      </c>
      <c r="J92" s="177">
        <f t="shared" si="0"/>
        <v>0.006324903281950063</v>
      </c>
      <c r="K92" s="177">
        <f t="shared" si="0"/>
        <v>0.005836189419187222</v>
      </c>
    </row>
    <row r="93" spans="1:11" ht="12.75">
      <c r="A93" s="174" t="s">
        <v>392</v>
      </c>
      <c r="B93" s="175">
        <v>4136005</v>
      </c>
      <c r="C93" s="177">
        <f t="shared" si="0"/>
        <v>0.5314524523060297</v>
      </c>
      <c r="D93" s="177">
        <f t="shared" si="0"/>
        <v>0.03752655037892846</v>
      </c>
      <c r="E93" s="177">
        <f t="shared" si="0"/>
        <v>0.3459388951415678</v>
      </c>
      <c r="F93" s="177">
        <f t="shared" si="0"/>
        <v>0.01785176758732158</v>
      </c>
      <c r="G93" s="177">
        <f t="shared" si="0"/>
        <v>0.00022122797240332158</v>
      </c>
      <c r="H93" s="177">
        <f t="shared" si="0"/>
        <v>0.02781911530571167</v>
      </c>
      <c r="I93" s="177">
        <f t="shared" si="0"/>
        <v>0.001970500519220842</v>
      </c>
      <c r="J93" s="177">
        <f t="shared" si="0"/>
        <v>0.004302460949636182</v>
      </c>
      <c r="K93" s="177">
        <f t="shared" si="0"/>
        <v>0.0329158209431565</v>
      </c>
    </row>
    <row r="94" spans="1:11" ht="12.75">
      <c r="A94" s="174"/>
      <c r="B94" s="175"/>
      <c r="C94" s="177"/>
      <c r="D94" s="177"/>
      <c r="E94" s="177"/>
      <c r="F94" s="177"/>
      <c r="G94" s="177"/>
      <c r="H94" s="177"/>
      <c r="I94" s="177"/>
      <c r="J94" s="177"/>
      <c r="K94" s="177"/>
    </row>
    <row r="95" spans="1:11" ht="12.75">
      <c r="A95" s="174" t="s">
        <v>2</v>
      </c>
      <c r="B95" s="175">
        <v>551965</v>
      </c>
      <c r="C95" s="177">
        <f aca="true" t="shared" si="1" ref="C95:K110">C20/$B20</f>
        <v>0.36775882528783527</v>
      </c>
      <c r="D95" s="177">
        <f t="shared" si="1"/>
        <v>0.17627023452573987</v>
      </c>
      <c r="E95" s="177">
        <f t="shared" si="1"/>
        <v>0.42772639569537924</v>
      </c>
      <c r="F95" s="177">
        <f t="shared" si="1"/>
        <v>0.007138133758481063</v>
      </c>
      <c r="G95" s="177">
        <f t="shared" si="1"/>
        <v>0.0004710443596967199</v>
      </c>
      <c r="H95" s="177">
        <f t="shared" si="1"/>
        <v>0.015616932233022022</v>
      </c>
      <c r="I95" s="177">
        <f t="shared" si="1"/>
        <v>0.00011776108992417997</v>
      </c>
      <c r="J95" s="177">
        <f t="shared" si="1"/>
        <v>0.0014765428967416412</v>
      </c>
      <c r="K95" s="177">
        <f t="shared" si="1"/>
        <v>0.0034331886985587852</v>
      </c>
    </row>
    <row r="96" spans="1:11" ht="12.75">
      <c r="A96" s="174" t="s">
        <v>3</v>
      </c>
      <c r="B96" s="175">
        <v>49270</v>
      </c>
      <c r="C96" s="177">
        <f t="shared" si="1"/>
        <v>0.33620864623503144</v>
      </c>
      <c r="D96" s="177">
        <f t="shared" si="1"/>
        <v>0.02668966916988025</v>
      </c>
      <c r="E96" s="177">
        <f t="shared" si="1"/>
        <v>0.15384615384615385</v>
      </c>
      <c r="F96" s="177">
        <f t="shared" si="1"/>
        <v>0.376902780596712</v>
      </c>
      <c r="G96" s="177">
        <f t="shared" si="1"/>
        <v>0.007408159123198701</v>
      </c>
      <c r="H96" s="177">
        <f t="shared" si="1"/>
        <v>0.07032677085447533</v>
      </c>
      <c r="I96" s="177">
        <f t="shared" si="1"/>
        <v>0.0005074081591231987</v>
      </c>
      <c r="J96" s="177">
        <f t="shared" si="1"/>
        <v>0.01857113862390907</v>
      </c>
      <c r="K96" s="177">
        <f t="shared" si="1"/>
        <v>0.009437791759691496</v>
      </c>
    </row>
    <row r="97" spans="1:11" ht="12.75">
      <c r="A97" s="174" t="s">
        <v>4</v>
      </c>
      <c r="B97" s="175">
        <v>439345</v>
      </c>
      <c r="C97" s="177">
        <f t="shared" si="1"/>
        <v>0.36997120713789844</v>
      </c>
      <c r="D97" s="177">
        <f t="shared" si="1"/>
        <v>0.0718114465852576</v>
      </c>
      <c r="E97" s="177">
        <f t="shared" si="1"/>
        <v>0.49710364292298764</v>
      </c>
      <c r="F97" s="177">
        <f t="shared" si="1"/>
        <v>0.0013770499265952725</v>
      </c>
      <c r="G97" s="177">
        <f t="shared" si="1"/>
        <v>0.001502236283558479</v>
      </c>
      <c r="H97" s="177">
        <f t="shared" si="1"/>
        <v>0.04449805961146707</v>
      </c>
      <c r="I97" s="177">
        <f t="shared" si="1"/>
        <v>0.0008421627650252079</v>
      </c>
      <c r="J97" s="177">
        <f t="shared" si="1"/>
        <v>0.0018095118870136225</v>
      </c>
      <c r="K97" s="177">
        <f t="shared" si="1"/>
        <v>0.011084682880196657</v>
      </c>
    </row>
    <row r="98" spans="1:11" ht="12.75">
      <c r="A98" s="174" t="s">
        <v>5</v>
      </c>
      <c r="B98" s="175">
        <v>275395</v>
      </c>
      <c r="C98" s="177">
        <f t="shared" si="1"/>
        <v>0.46039325332703934</v>
      </c>
      <c r="D98" s="177">
        <f t="shared" si="1"/>
        <v>0.1618221100600955</v>
      </c>
      <c r="E98" s="177">
        <f t="shared" si="1"/>
        <v>0.3176891374207956</v>
      </c>
      <c r="F98" s="177">
        <f t="shared" si="1"/>
        <v>0.001561393634597578</v>
      </c>
      <c r="G98" s="177">
        <f t="shared" si="1"/>
        <v>7.262295974872456E-05</v>
      </c>
      <c r="H98" s="177">
        <f t="shared" si="1"/>
        <v>0.05272426877757403</v>
      </c>
      <c r="I98" s="177">
        <f t="shared" si="1"/>
        <v>0.00043573775849234733</v>
      </c>
      <c r="J98" s="177">
        <f t="shared" si="1"/>
        <v>0.0025781150710797217</v>
      </c>
      <c r="K98" s="177">
        <f t="shared" si="1"/>
        <v>0.002759672470451533</v>
      </c>
    </row>
    <row r="99" spans="1:11" ht="12.75">
      <c r="A99" s="174" t="s">
        <v>6</v>
      </c>
      <c r="B99" s="175">
        <v>3084760</v>
      </c>
      <c r="C99" s="177">
        <f t="shared" si="1"/>
        <v>0.6447746340071837</v>
      </c>
      <c r="D99" s="177">
        <f t="shared" si="1"/>
        <v>0.04141489127193039</v>
      </c>
      <c r="E99" s="177">
        <f t="shared" si="1"/>
        <v>0.2572696093050999</v>
      </c>
      <c r="F99" s="177">
        <f t="shared" si="1"/>
        <v>0.0035464671481736016</v>
      </c>
      <c r="G99" s="177">
        <f t="shared" si="1"/>
        <v>0.0001021149133157847</v>
      </c>
      <c r="H99" s="177">
        <f t="shared" si="1"/>
        <v>0.017868488958622388</v>
      </c>
      <c r="I99" s="177">
        <f t="shared" si="1"/>
        <v>0.002207627173588869</v>
      </c>
      <c r="J99" s="177">
        <f t="shared" si="1"/>
        <v>0.0031623205695094593</v>
      </c>
      <c r="K99" s="177">
        <f t="shared" si="1"/>
        <v>0.02965384665257589</v>
      </c>
    </row>
    <row r="100" spans="1:11" ht="12.75">
      <c r="A100" s="174" t="s">
        <v>7</v>
      </c>
      <c r="B100" s="175">
        <v>392125</v>
      </c>
      <c r="C100" s="177">
        <f t="shared" si="1"/>
        <v>0.6743512910423972</v>
      </c>
      <c r="D100" s="177">
        <f t="shared" si="1"/>
        <v>0.07004144086707045</v>
      </c>
      <c r="E100" s="177">
        <f t="shared" si="1"/>
        <v>0.21638508128785464</v>
      </c>
      <c r="F100" s="177">
        <f t="shared" si="1"/>
        <v>0.001823398151099777</v>
      </c>
      <c r="G100" s="177">
        <f t="shared" si="1"/>
        <v>0.0018489002231431304</v>
      </c>
      <c r="H100" s="177">
        <f t="shared" si="1"/>
        <v>0.01811922218680268</v>
      </c>
      <c r="I100" s="177">
        <f t="shared" si="1"/>
        <v>0.0008925725215173732</v>
      </c>
      <c r="J100" s="177">
        <f t="shared" si="1"/>
        <v>0.011705451067899266</v>
      </c>
      <c r="K100" s="177">
        <f t="shared" si="1"/>
        <v>0.0048453936882371694</v>
      </c>
    </row>
    <row r="101" spans="1:11" ht="12.75">
      <c r="A101" s="174" t="s">
        <v>8</v>
      </c>
      <c r="B101" s="175">
        <v>364175</v>
      </c>
      <c r="C101" s="177">
        <f t="shared" si="1"/>
        <v>0.3371318734125077</v>
      </c>
      <c r="D101" s="177">
        <f t="shared" si="1"/>
        <v>0.03094666025949063</v>
      </c>
      <c r="E101" s="177">
        <f t="shared" si="1"/>
        <v>0.19726779707558179</v>
      </c>
      <c r="F101" s="177">
        <f t="shared" si="1"/>
        <v>0.41850758563877255</v>
      </c>
      <c r="G101" s="177">
        <f t="shared" si="1"/>
        <v>0.0007139424727122949</v>
      </c>
      <c r="H101" s="177">
        <f t="shared" si="1"/>
        <v>0.006164618658611931</v>
      </c>
      <c r="I101" s="177">
        <f t="shared" si="1"/>
        <v>0.00020594494405162353</v>
      </c>
      <c r="J101" s="177">
        <f t="shared" si="1"/>
        <v>0.005189812590100913</v>
      </c>
      <c r="K101" s="177">
        <f t="shared" si="1"/>
        <v>0.0038717649481705223</v>
      </c>
    </row>
    <row r="102" spans="1:11" ht="12.75">
      <c r="A102" s="174" t="s">
        <v>9</v>
      </c>
      <c r="B102" s="175">
        <v>78935</v>
      </c>
      <c r="C102" s="177">
        <f t="shared" si="1"/>
        <v>0.309938557040603</v>
      </c>
      <c r="D102" s="177">
        <f t="shared" si="1"/>
        <v>0.10800025337302845</v>
      </c>
      <c r="E102" s="177">
        <f t="shared" si="1"/>
        <v>0.2849179704820422</v>
      </c>
      <c r="F102" s="177">
        <f t="shared" si="1"/>
        <v>0.28111737505542533</v>
      </c>
      <c r="G102" s="177">
        <f t="shared" si="1"/>
        <v>0.001330208399315893</v>
      </c>
      <c r="H102" s="177">
        <f t="shared" si="1"/>
        <v>0.007601190853233674</v>
      </c>
      <c r="I102" s="177">
        <f t="shared" si="1"/>
        <v>0.0003800595426616837</v>
      </c>
      <c r="J102" s="177">
        <f t="shared" si="1"/>
        <v>0.004307341483499081</v>
      </c>
      <c r="K102" s="177">
        <f t="shared" si="1"/>
        <v>0.002407043770190663</v>
      </c>
    </row>
    <row r="103" spans="1:11" ht="12.75">
      <c r="A103" s="174" t="s">
        <v>55</v>
      </c>
      <c r="B103" s="175">
        <v>74520</v>
      </c>
      <c r="C103" s="177">
        <f t="shared" si="1"/>
        <v>0.605475040257649</v>
      </c>
      <c r="D103" s="177">
        <f t="shared" si="1"/>
        <v>0.023282340311325818</v>
      </c>
      <c r="E103" s="177">
        <f t="shared" si="1"/>
        <v>0.2831454643048846</v>
      </c>
      <c r="F103" s="177">
        <f t="shared" si="1"/>
        <v>0.06038647342995169</v>
      </c>
      <c r="G103" s="177">
        <f t="shared" si="1"/>
        <v>0.0003354804079441761</v>
      </c>
      <c r="H103" s="177">
        <f t="shared" si="1"/>
        <v>0.0006038647342995169</v>
      </c>
      <c r="I103" s="177">
        <f t="shared" si="1"/>
        <v>0.0004696725711218465</v>
      </c>
      <c r="J103" s="177">
        <f t="shared" si="1"/>
        <v>0.008319914117015567</v>
      </c>
      <c r="K103" s="177">
        <f t="shared" si="1"/>
        <v>0.017981749865807837</v>
      </c>
    </row>
    <row r="104" spans="1:11" ht="12.75">
      <c r="A104" s="174" t="s">
        <v>10</v>
      </c>
      <c r="B104" s="175">
        <v>1603440</v>
      </c>
      <c r="C104" s="177">
        <f t="shared" si="1"/>
        <v>0.06462044105173877</v>
      </c>
      <c r="D104" s="177">
        <f t="shared" si="1"/>
        <v>0.05587674000898069</v>
      </c>
      <c r="E104" s="177">
        <f t="shared" si="1"/>
        <v>0.8351793643666118</v>
      </c>
      <c r="F104" s="177">
        <f t="shared" si="1"/>
        <v>0.014197600159656739</v>
      </c>
      <c r="G104" s="177">
        <f t="shared" si="1"/>
        <v>6.548420895075588E-05</v>
      </c>
      <c r="H104" s="177">
        <f t="shared" si="1"/>
        <v>0.0034613081873970963</v>
      </c>
      <c r="I104" s="177">
        <f t="shared" si="1"/>
        <v>0.000449034575662326</v>
      </c>
      <c r="J104" s="177">
        <f t="shared" si="1"/>
        <v>0.001166242578456319</v>
      </c>
      <c r="K104" s="177">
        <f t="shared" si="1"/>
        <v>0.024980666566881204</v>
      </c>
    </row>
    <row r="105" spans="1:11" ht="12.75">
      <c r="A105" s="174" t="s">
        <v>11</v>
      </c>
      <c r="B105" s="175">
        <v>786340</v>
      </c>
      <c r="C105" s="177">
        <f t="shared" si="1"/>
        <v>0.40750820255868964</v>
      </c>
      <c r="D105" s="177">
        <f t="shared" si="1"/>
        <v>0.15116870564895593</v>
      </c>
      <c r="E105" s="177">
        <f t="shared" si="1"/>
        <v>0.4093140371849327</v>
      </c>
      <c r="F105" s="177">
        <f t="shared" si="1"/>
        <v>0.011070274944680419</v>
      </c>
      <c r="G105" s="177">
        <f t="shared" si="1"/>
        <v>0.00010173716204186484</v>
      </c>
      <c r="H105" s="177">
        <f t="shared" si="1"/>
        <v>0.01396342549024595</v>
      </c>
      <c r="I105" s="177">
        <f t="shared" si="1"/>
        <v>0.0004705343744436249</v>
      </c>
      <c r="J105" s="177">
        <f t="shared" si="1"/>
        <v>0.0013988859780756416</v>
      </c>
      <c r="K105" s="177">
        <f t="shared" si="1"/>
        <v>0.005004196657934227</v>
      </c>
    </row>
    <row r="106" spans="1:11" ht="12.75">
      <c r="A106" s="174" t="s">
        <v>12</v>
      </c>
      <c r="B106" s="175">
        <v>100410</v>
      </c>
      <c r="C106" s="177">
        <f t="shared" si="1"/>
        <v>0.04063340304750523</v>
      </c>
      <c r="D106" s="177">
        <f t="shared" si="1"/>
        <v>0.03580320685190718</v>
      </c>
      <c r="E106" s="177">
        <f t="shared" si="1"/>
        <v>0.4964644955681705</v>
      </c>
      <c r="F106" s="177">
        <f t="shared" si="1"/>
        <v>0.0016432626232446967</v>
      </c>
      <c r="G106" s="177">
        <f t="shared" si="1"/>
        <v>9.959167413604223E-05</v>
      </c>
      <c r="H106" s="177">
        <f t="shared" si="1"/>
        <v>0.004780400358530027</v>
      </c>
      <c r="I106" s="177">
        <f t="shared" si="1"/>
        <v>0.011104471666168708</v>
      </c>
      <c r="J106" s="177">
        <f t="shared" si="1"/>
        <v>0.0009959167413604222</v>
      </c>
      <c r="K106" s="177">
        <f t="shared" si="1"/>
        <v>0.4085250473060452</v>
      </c>
    </row>
    <row r="107" spans="1:11" ht="12.75">
      <c r="A107" s="174" t="s">
        <v>13</v>
      </c>
      <c r="B107" s="175">
        <v>112855</v>
      </c>
      <c r="C107" s="177">
        <f t="shared" si="1"/>
        <v>0.33941783704753886</v>
      </c>
      <c r="D107" s="177">
        <f t="shared" si="1"/>
        <v>0.06021000398741748</v>
      </c>
      <c r="E107" s="177">
        <f t="shared" si="1"/>
        <v>0.4397678436932347</v>
      </c>
      <c r="F107" s="177">
        <f t="shared" si="1"/>
        <v>0.05865934163306898</v>
      </c>
      <c r="G107" s="177">
        <f t="shared" si="1"/>
        <v>0.0040317221213061</v>
      </c>
      <c r="H107" s="177">
        <f t="shared" si="1"/>
        <v>0.08679278720482035</v>
      </c>
      <c r="I107" s="177">
        <f t="shared" si="1"/>
        <v>0.0002215231934783572</v>
      </c>
      <c r="J107" s="177">
        <f t="shared" si="1"/>
        <v>0.007265960746090116</v>
      </c>
      <c r="K107" s="177">
        <f t="shared" si="1"/>
        <v>0.0036772850117407292</v>
      </c>
    </row>
    <row r="108" spans="1:11" ht="12.75">
      <c r="A108" s="174" t="s">
        <v>14</v>
      </c>
      <c r="B108" s="175">
        <v>1172320</v>
      </c>
      <c r="C108" s="177">
        <f t="shared" si="1"/>
        <v>0.7501108912242391</v>
      </c>
      <c r="D108" s="177">
        <f t="shared" si="1"/>
        <v>0.05193547836768118</v>
      </c>
      <c r="E108" s="177">
        <f t="shared" si="1"/>
        <v>0.16881909376279514</v>
      </c>
      <c r="F108" s="177">
        <f t="shared" si="1"/>
        <v>0.007007472362494882</v>
      </c>
      <c r="G108" s="177">
        <f t="shared" si="1"/>
        <v>0.00034120376688958644</v>
      </c>
      <c r="H108" s="177">
        <f t="shared" si="1"/>
        <v>0.004260782039033711</v>
      </c>
      <c r="I108" s="177">
        <f t="shared" si="1"/>
        <v>0.0002644329193394295</v>
      </c>
      <c r="J108" s="177">
        <f t="shared" si="1"/>
        <v>0.00832110686501979</v>
      </c>
      <c r="K108" s="177">
        <f t="shared" si="1"/>
        <v>0.008935273645421045</v>
      </c>
    </row>
    <row r="109" spans="1:11" ht="12.75">
      <c r="A109" s="174" t="s">
        <v>15</v>
      </c>
      <c r="B109" s="175">
        <v>573840</v>
      </c>
      <c r="C109" s="177">
        <f t="shared" si="1"/>
        <v>0.6173933500627352</v>
      </c>
      <c r="D109" s="177">
        <f t="shared" si="1"/>
        <v>0.07679841070681723</v>
      </c>
      <c r="E109" s="177">
        <f t="shared" si="1"/>
        <v>0.2512547051442911</v>
      </c>
      <c r="F109" s="177">
        <f t="shared" si="1"/>
        <v>0.028352850968911193</v>
      </c>
      <c r="G109" s="177">
        <f t="shared" si="1"/>
        <v>0.0015858078907012407</v>
      </c>
      <c r="H109" s="177">
        <f t="shared" si="1"/>
        <v>0.015204586644360798</v>
      </c>
      <c r="I109" s="177">
        <f t="shared" si="1"/>
        <v>0.00013069845253032205</v>
      </c>
      <c r="J109" s="177">
        <f t="shared" si="1"/>
        <v>0.005454482085598773</v>
      </c>
      <c r="K109" s="177">
        <f t="shared" si="1"/>
        <v>0.0038251080440540918</v>
      </c>
    </row>
    <row r="110" spans="1:11" ht="12.75">
      <c r="A110" s="174" t="s">
        <v>16</v>
      </c>
      <c r="B110" s="175">
        <v>277130</v>
      </c>
      <c r="C110" s="177">
        <f t="shared" si="1"/>
        <v>0.6166600512394905</v>
      </c>
      <c r="D110" s="177">
        <f t="shared" si="1"/>
        <v>0.14274889041244182</v>
      </c>
      <c r="E110" s="177">
        <f t="shared" si="1"/>
        <v>0.18761952874102406</v>
      </c>
      <c r="F110" s="177">
        <f t="shared" si="1"/>
        <v>0.02477176776242197</v>
      </c>
      <c r="G110" s="177">
        <f t="shared" si="1"/>
        <v>7.21682964673619E-05</v>
      </c>
      <c r="H110" s="177">
        <f t="shared" si="1"/>
        <v>0.012376862844152564</v>
      </c>
      <c r="I110" s="177">
        <f t="shared" si="1"/>
        <v>0.00021650488940208566</v>
      </c>
      <c r="J110" s="177">
        <f t="shared" si="1"/>
        <v>0.00992314076426226</v>
      </c>
      <c r="K110" s="177">
        <f t="shared" si="1"/>
        <v>0.005593042976220547</v>
      </c>
    </row>
    <row r="111" spans="1:11" ht="12.75">
      <c r="A111" s="174" t="s">
        <v>17</v>
      </c>
      <c r="B111" s="175">
        <v>262115</v>
      </c>
      <c r="C111" s="177">
        <f aca="true" t="shared" si="2" ref="C111:K126">C36/$B36</f>
        <v>0.6846803883791466</v>
      </c>
      <c r="D111" s="177">
        <f t="shared" si="2"/>
        <v>0.08635522575968563</v>
      </c>
      <c r="E111" s="177">
        <f t="shared" si="2"/>
        <v>0.20811475878908112</v>
      </c>
      <c r="F111" s="177">
        <f t="shared" si="2"/>
        <v>0.0016023501134997996</v>
      </c>
      <c r="G111" s="177">
        <f t="shared" si="2"/>
        <v>5.722678976784999E-05</v>
      </c>
      <c r="H111" s="177">
        <f t="shared" si="2"/>
        <v>0.013371993209087614</v>
      </c>
      <c r="I111" s="177">
        <f t="shared" si="2"/>
        <v>0.00011445357953569998</v>
      </c>
      <c r="J111" s="177">
        <f t="shared" si="2"/>
        <v>0.0038532705110352326</v>
      </c>
      <c r="K111" s="177">
        <f t="shared" si="2"/>
        <v>0.001850332869160483</v>
      </c>
    </row>
    <row r="112" spans="1:11" ht="12.75">
      <c r="A112" s="174" t="s">
        <v>18</v>
      </c>
      <c r="B112" s="175">
        <v>472560</v>
      </c>
      <c r="C112" s="177">
        <f t="shared" si="2"/>
        <v>0.3637210089724056</v>
      </c>
      <c r="D112" s="177">
        <f t="shared" si="2"/>
        <v>0.10410318266463518</v>
      </c>
      <c r="E112" s="177">
        <f t="shared" si="2"/>
        <v>0.4199784154393093</v>
      </c>
      <c r="F112" s="177">
        <f t="shared" si="2"/>
        <v>0.04116937531742001</v>
      </c>
      <c r="G112" s="177">
        <f t="shared" si="2"/>
        <v>0.01818816658202133</v>
      </c>
      <c r="H112" s="177">
        <f t="shared" si="2"/>
        <v>0.04540164211951921</v>
      </c>
      <c r="I112" s="177">
        <f t="shared" si="2"/>
        <v>0.00015871000507872016</v>
      </c>
      <c r="J112" s="177">
        <f t="shared" si="2"/>
        <v>0.00388310479092602</v>
      </c>
      <c r="K112" s="177">
        <f t="shared" si="2"/>
        <v>0.0034175554426951076</v>
      </c>
    </row>
    <row r="113" spans="1:11" ht="12.75">
      <c r="A113" s="174" t="s">
        <v>19</v>
      </c>
      <c r="B113" s="175">
        <v>539620</v>
      </c>
      <c r="C113" s="177">
        <f t="shared" si="2"/>
        <v>0.4709517808828435</v>
      </c>
      <c r="D113" s="177">
        <f t="shared" si="2"/>
        <v>0.06554612505096179</v>
      </c>
      <c r="E113" s="177">
        <f t="shared" si="2"/>
        <v>0.4448500796857048</v>
      </c>
      <c r="F113" s="177">
        <f t="shared" si="2"/>
        <v>0.002251584448315481</v>
      </c>
      <c r="G113" s="177">
        <f t="shared" si="2"/>
        <v>7.412623698157963E-05</v>
      </c>
      <c r="H113" s="177">
        <f t="shared" si="2"/>
        <v>0.008561580371372448</v>
      </c>
      <c r="I113" s="177">
        <f t="shared" si="2"/>
        <v>0.0003150365071717134</v>
      </c>
      <c r="J113" s="177">
        <f t="shared" si="2"/>
        <v>0.001982876839257255</v>
      </c>
      <c r="K113" s="177">
        <f t="shared" si="2"/>
        <v>0.005439012638523405</v>
      </c>
    </row>
    <row r="114" spans="1:11" ht="12.75">
      <c r="A114" s="174" t="s">
        <v>20</v>
      </c>
      <c r="B114" s="175">
        <v>128775</v>
      </c>
      <c r="C114" s="177">
        <f t="shared" si="2"/>
        <v>0.04084643758493496</v>
      </c>
      <c r="D114" s="177">
        <f t="shared" si="2"/>
        <v>0.04950495049504951</v>
      </c>
      <c r="E114" s="177">
        <f t="shared" si="2"/>
        <v>0.08681809357406328</v>
      </c>
      <c r="F114" s="177">
        <f t="shared" si="2"/>
        <v>0.7517375266938459</v>
      </c>
      <c r="G114" s="177">
        <f t="shared" si="2"/>
        <v>0.0014366142496602603</v>
      </c>
      <c r="H114" s="177">
        <f t="shared" si="2"/>
        <v>0.06262861580275675</v>
      </c>
      <c r="I114" s="177">
        <f t="shared" si="2"/>
        <v>0.00034944670937682004</v>
      </c>
      <c r="J114" s="177">
        <f t="shared" si="2"/>
        <v>0.0039992234517569406</v>
      </c>
      <c r="K114" s="177">
        <f t="shared" si="2"/>
        <v>0.0026790914385556204</v>
      </c>
    </row>
    <row r="115" spans="1:11" ht="12.75">
      <c r="A115" s="174" t="s">
        <v>21</v>
      </c>
      <c r="B115" s="175">
        <v>492800</v>
      </c>
      <c r="C115" s="177">
        <f t="shared" si="2"/>
        <v>0.46894277597402595</v>
      </c>
      <c r="D115" s="177">
        <f t="shared" si="2"/>
        <v>0.03616071428571429</v>
      </c>
      <c r="E115" s="177">
        <f t="shared" si="2"/>
        <v>0.30122767857142857</v>
      </c>
      <c r="F115" s="177">
        <f t="shared" si="2"/>
        <v>0.1690239448051948</v>
      </c>
      <c r="G115" s="177">
        <f t="shared" si="2"/>
        <v>0.0020089285714285712</v>
      </c>
      <c r="H115" s="177">
        <f t="shared" si="2"/>
        <v>0.010166396103896105</v>
      </c>
      <c r="I115" s="177">
        <f t="shared" si="2"/>
        <v>0.0003551136363636364</v>
      </c>
      <c r="J115" s="177">
        <f t="shared" si="2"/>
        <v>0.006696428571428571</v>
      </c>
      <c r="K115" s="177">
        <f t="shared" si="2"/>
        <v>0.005397727272727273</v>
      </c>
    </row>
    <row r="116" spans="1:11" ht="12.75">
      <c r="A116" s="174" t="s">
        <v>22</v>
      </c>
      <c r="B116" s="175">
        <v>669015</v>
      </c>
      <c r="C116" s="177">
        <f t="shared" si="2"/>
        <v>0.4455281271720365</v>
      </c>
      <c r="D116" s="177">
        <f t="shared" si="2"/>
        <v>0.032929007570831746</v>
      </c>
      <c r="E116" s="177">
        <f t="shared" si="2"/>
        <v>0.1856983774653782</v>
      </c>
      <c r="F116" s="177">
        <f t="shared" si="2"/>
        <v>0.31616630419347846</v>
      </c>
      <c r="G116" s="177">
        <f t="shared" si="2"/>
        <v>0.0006801043324888081</v>
      </c>
      <c r="H116" s="177">
        <f t="shared" si="2"/>
        <v>0.005455782007877252</v>
      </c>
      <c r="I116" s="177">
        <f t="shared" si="2"/>
        <v>0.00015694715365126342</v>
      </c>
      <c r="J116" s="177">
        <f t="shared" si="2"/>
        <v>0.006756201280987721</v>
      </c>
      <c r="K116" s="177">
        <f t="shared" si="2"/>
        <v>0.006636622497253425</v>
      </c>
    </row>
    <row r="117" spans="1:11" ht="12.75">
      <c r="A117" s="174" t="s">
        <v>23</v>
      </c>
      <c r="B117" s="175">
        <v>973060</v>
      </c>
      <c r="C117" s="177">
        <f t="shared" si="2"/>
        <v>0.7405915359792818</v>
      </c>
      <c r="D117" s="177">
        <f t="shared" si="2"/>
        <v>0.09281544817380223</v>
      </c>
      <c r="E117" s="177">
        <f t="shared" si="2"/>
        <v>0.09935666865352599</v>
      </c>
      <c r="F117" s="177">
        <f t="shared" si="2"/>
        <v>0.03633897190306867</v>
      </c>
      <c r="G117" s="177">
        <f t="shared" si="2"/>
        <v>0.00033399790352085177</v>
      </c>
      <c r="H117" s="177">
        <f t="shared" si="2"/>
        <v>0.016391589418946417</v>
      </c>
      <c r="I117" s="177">
        <f t="shared" si="2"/>
        <v>0.00022609088853719196</v>
      </c>
      <c r="J117" s="177">
        <f t="shared" si="2"/>
        <v>0.008468131461574826</v>
      </c>
      <c r="K117" s="177">
        <f t="shared" si="2"/>
        <v>0.005472427188457032</v>
      </c>
    </row>
    <row r="118" spans="1:11" ht="12.75">
      <c r="A118" s="174" t="s">
        <v>24</v>
      </c>
      <c r="B118" s="175">
        <v>454100</v>
      </c>
      <c r="C118" s="177">
        <f t="shared" si="2"/>
        <v>0.5592160317110768</v>
      </c>
      <c r="D118" s="177">
        <f t="shared" si="2"/>
        <v>0.11913675401893856</v>
      </c>
      <c r="E118" s="177">
        <f t="shared" si="2"/>
        <v>0.18284518828451882</v>
      </c>
      <c r="F118" s="177">
        <f t="shared" si="2"/>
        <v>0.08636864126844307</v>
      </c>
      <c r="G118" s="177">
        <f t="shared" si="2"/>
        <v>0.00045144241356529397</v>
      </c>
      <c r="H118" s="177">
        <f t="shared" si="2"/>
        <v>0.024289804007927768</v>
      </c>
      <c r="I118" s="177">
        <f t="shared" si="2"/>
        <v>0.00019819423034573883</v>
      </c>
      <c r="J118" s="177">
        <f t="shared" si="2"/>
        <v>0.01818982602950892</v>
      </c>
      <c r="K118" s="177">
        <f t="shared" si="2"/>
        <v>0.009293107245100199</v>
      </c>
    </row>
    <row r="119" spans="1:11" ht="12.75">
      <c r="A119" s="174" t="s">
        <v>25</v>
      </c>
      <c r="B119" s="175">
        <v>330980</v>
      </c>
      <c r="C119" s="177">
        <f t="shared" si="2"/>
        <v>0.3619402985074627</v>
      </c>
      <c r="D119" s="177">
        <f t="shared" si="2"/>
        <v>0.2408906882591093</v>
      </c>
      <c r="E119" s="177">
        <f t="shared" si="2"/>
        <v>0.3674844401474409</v>
      </c>
      <c r="F119" s="177">
        <f t="shared" si="2"/>
        <v>0.0026436642697443952</v>
      </c>
      <c r="G119" s="177">
        <f t="shared" si="2"/>
        <v>0.0001208532237597438</v>
      </c>
      <c r="H119" s="177">
        <f t="shared" si="2"/>
        <v>0.02013716840896731</v>
      </c>
      <c r="I119" s="177">
        <f t="shared" si="2"/>
        <v>0.0002870264064293915</v>
      </c>
      <c r="J119" s="177">
        <f t="shared" si="2"/>
        <v>0.0018732249682760287</v>
      </c>
      <c r="K119" s="177">
        <f t="shared" si="2"/>
        <v>0.004607529155840232</v>
      </c>
    </row>
    <row r="120" spans="1:11" ht="12.75">
      <c r="A120" s="174" t="s">
        <v>26</v>
      </c>
      <c r="B120" s="175">
        <v>603425</v>
      </c>
      <c r="C120" s="177">
        <f t="shared" si="2"/>
        <v>0.5072212785350292</v>
      </c>
      <c r="D120" s="177">
        <f t="shared" si="2"/>
        <v>0.1600613166507851</v>
      </c>
      <c r="E120" s="177">
        <f t="shared" si="2"/>
        <v>0.27372912955213985</v>
      </c>
      <c r="F120" s="177">
        <f t="shared" si="2"/>
        <v>0.006993412603057547</v>
      </c>
      <c r="G120" s="177">
        <f t="shared" si="2"/>
        <v>9.114637278866471E-05</v>
      </c>
      <c r="H120" s="177">
        <f t="shared" si="2"/>
        <v>0.0454406098520943</v>
      </c>
      <c r="I120" s="177">
        <f t="shared" si="2"/>
        <v>0.00023200894891660108</v>
      </c>
      <c r="J120" s="177">
        <f t="shared" si="2"/>
        <v>0.0035132783693085303</v>
      </c>
      <c r="K120" s="177">
        <f t="shared" si="2"/>
        <v>0.002717819115880184</v>
      </c>
    </row>
    <row r="121" spans="1:11" ht="12.75">
      <c r="A121" s="174" t="s">
        <v>27</v>
      </c>
      <c r="B121" s="175">
        <v>92570</v>
      </c>
      <c r="C121" s="177">
        <f t="shared" si="2"/>
        <v>0.5176082964243275</v>
      </c>
      <c r="D121" s="177">
        <f t="shared" si="2"/>
        <v>0.13022577508912175</v>
      </c>
      <c r="E121" s="177">
        <f t="shared" si="2"/>
        <v>0.2188073890029167</v>
      </c>
      <c r="F121" s="177">
        <f t="shared" si="2"/>
        <v>0.03456843469806633</v>
      </c>
      <c r="G121" s="177">
        <f t="shared" si="2"/>
        <v>0.003996975261963919</v>
      </c>
      <c r="H121" s="177">
        <f t="shared" si="2"/>
        <v>0.07718483309927622</v>
      </c>
      <c r="I121" s="177">
        <f t="shared" si="2"/>
        <v>0.0005401317921572864</v>
      </c>
      <c r="J121" s="177">
        <f t="shared" si="2"/>
        <v>0.013557307983147889</v>
      </c>
      <c r="K121" s="177">
        <f t="shared" si="2"/>
        <v>0.00356486982823809</v>
      </c>
    </row>
    <row r="122" spans="1:11" ht="12.75">
      <c r="A122" s="174" t="s">
        <v>28</v>
      </c>
      <c r="B122" s="175">
        <v>170485</v>
      </c>
      <c r="C122" s="177">
        <f t="shared" si="2"/>
        <v>0.6260081532099598</v>
      </c>
      <c r="D122" s="177">
        <f t="shared" si="2"/>
        <v>0.12050913570108807</v>
      </c>
      <c r="E122" s="177">
        <f t="shared" si="2"/>
        <v>0.21295128603689475</v>
      </c>
      <c r="F122" s="177">
        <f t="shared" si="2"/>
        <v>0.015309264744698948</v>
      </c>
      <c r="G122" s="177">
        <f t="shared" si="2"/>
        <v>0.00017596856028389595</v>
      </c>
      <c r="H122" s="177">
        <f t="shared" si="2"/>
        <v>0.01384286007566648</v>
      </c>
      <c r="I122" s="177">
        <f t="shared" si="2"/>
        <v>0.0002639528404258439</v>
      </c>
      <c r="J122" s="177">
        <f t="shared" si="2"/>
        <v>0.008123881866439862</v>
      </c>
      <c r="K122" s="177">
        <f t="shared" si="2"/>
        <v>0.0027568407777810366</v>
      </c>
    </row>
    <row r="123" spans="1:11" ht="12.75">
      <c r="A123" s="174" t="s">
        <v>29</v>
      </c>
      <c r="B123" s="175">
        <v>168855</v>
      </c>
      <c r="C123" s="177">
        <f t="shared" si="2"/>
        <v>0.4289479138906162</v>
      </c>
      <c r="D123" s="177">
        <f t="shared" si="2"/>
        <v>0.05415889372538569</v>
      </c>
      <c r="E123" s="177">
        <f t="shared" si="2"/>
        <v>0.4839655325575198</v>
      </c>
      <c r="F123" s="177">
        <f t="shared" si="2"/>
        <v>0.011933315566610406</v>
      </c>
      <c r="G123" s="177">
        <f t="shared" si="2"/>
        <v>0.00026650084391933906</v>
      </c>
      <c r="H123" s="177">
        <f t="shared" si="2"/>
        <v>0.01154836990317136</v>
      </c>
      <c r="I123" s="177">
        <f t="shared" si="2"/>
        <v>0.0007698913268780907</v>
      </c>
      <c r="J123" s="177">
        <f t="shared" si="2"/>
        <v>0.004352847117349205</v>
      </c>
      <c r="K123" s="177">
        <f t="shared" si="2"/>
        <v>0.00405673506854994</v>
      </c>
    </row>
    <row r="124" spans="1:11" ht="12.75">
      <c r="A124" s="174" t="s">
        <v>30</v>
      </c>
      <c r="B124" s="175">
        <v>104115</v>
      </c>
      <c r="C124" s="177">
        <f t="shared" si="2"/>
        <v>0.18854151659222976</v>
      </c>
      <c r="D124" s="177">
        <f t="shared" si="2"/>
        <v>0.09210968640445662</v>
      </c>
      <c r="E124" s="177">
        <f t="shared" si="2"/>
        <v>0.12298900254526245</v>
      </c>
      <c r="F124" s="177">
        <f t="shared" si="2"/>
        <v>0.5426211400854823</v>
      </c>
      <c r="G124" s="177">
        <f t="shared" si="2"/>
        <v>0.001008500216107189</v>
      </c>
      <c r="H124" s="177">
        <f t="shared" si="2"/>
        <v>0.04053210392354608</v>
      </c>
      <c r="I124" s="177">
        <f t="shared" si="2"/>
        <v>0.00024011909907314027</v>
      </c>
      <c r="J124" s="177">
        <f t="shared" si="2"/>
        <v>0.008260097008116026</v>
      </c>
      <c r="K124" s="177">
        <f t="shared" si="2"/>
        <v>0.003649810305911732</v>
      </c>
    </row>
    <row r="125" spans="1:11" ht="12.75">
      <c r="A125" s="174" t="s">
        <v>31</v>
      </c>
      <c r="B125" s="175">
        <v>793000</v>
      </c>
      <c r="C125" s="177">
        <f t="shared" si="2"/>
        <v>0.6048108448928121</v>
      </c>
      <c r="D125" s="177">
        <f t="shared" si="2"/>
        <v>0.03206179066834804</v>
      </c>
      <c r="E125" s="177">
        <f t="shared" si="2"/>
        <v>0.15041614123581337</v>
      </c>
      <c r="F125" s="177">
        <f t="shared" si="2"/>
        <v>0.19562421185372006</v>
      </c>
      <c r="G125" s="177">
        <f t="shared" si="2"/>
        <v>0.0004098360655737705</v>
      </c>
      <c r="H125" s="177">
        <f t="shared" si="2"/>
        <v>0.001771752837326608</v>
      </c>
      <c r="I125" s="177">
        <f t="shared" si="2"/>
        <v>0.0002459016393442623</v>
      </c>
      <c r="J125" s="177">
        <f t="shared" si="2"/>
        <v>0.0077742749054224465</v>
      </c>
      <c r="K125" s="177">
        <f t="shared" si="2"/>
        <v>0.006878940731399748</v>
      </c>
    </row>
    <row r="126" spans="1:11" ht="12.75">
      <c r="A126" s="174" t="s">
        <v>32</v>
      </c>
      <c r="B126" s="175">
        <v>181180</v>
      </c>
      <c r="C126" s="177">
        <f t="shared" si="2"/>
        <v>0.6043989402803841</v>
      </c>
      <c r="D126" s="177">
        <f t="shared" si="2"/>
        <v>0.1723700187658682</v>
      </c>
      <c r="E126" s="177">
        <f t="shared" si="2"/>
        <v>0.1256485263274092</v>
      </c>
      <c r="F126" s="177">
        <f t="shared" si="2"/>
        <v>0.0018765868197372778</v>
      </c>
      <c r="G126" s="177">
        <f t="shared" si="2"/>
        <v>0.001959377414725687</v>
      </c>
      <c r="H126" s="177">
        <f t="shared" si="2"/>
        <v>0.0856606689480075</v>
      </c>
      <c r="I126" s="177">
        <f t="shared" si="2"/>
        <v>0.00162821503477205</v>
      </c>
      <c r="J126" s="177">
        <f t="shared" si="2"/>
        <v>0.0033392206645325093</v>
      </c>
      <c r="K126" s="177">
        <f t="shared" si="2"/>
        <v>0.0031460426095595542</v>
      </c>
    </row>
    <row r="127" spans="1:11" ht="12.75">
      <c r="A127" s="174" t="s">
        <v>33</v>
      </c>
      <c r="B127" s="175">
        <v>2054625</v>
      </c>
      <c r="C127" s="177">
        <f aca="true" t="shared" si="3" ref="C127:K142">C52/$B52</f>
        <v>0.5115507696051591</v>
      </c>
      <c r="D127" s="177">
        <f t="shared" si="3"/>
        <v>0.0390022510190424</v>
      </c>
      <c r="E127" s="177">
        <f t="shared" si="3"/>
        <v>0.11837196568716919</v>
      </c>
      <c r="F127" s="177">
        <f t="shared" si="3"/>
        <v>0.29345501003832813</v>
      </c>
      <c r="G127" s="177">
        <f t="shared" si="3"/>
        <v>0.0011802640384498387</v>
      </c>
      <c r="H127" s="177">
        <f t="shared" si="3"/>
        <v>0.009914217922978646</v>
      </c>
      <c r="I127" s="177">
        <f t="shared" si="3"/>
        <v>0.0005889152521749711</v>
      </c>
      <c r="J127" s="177">
        <f t="shared" si="3"/>
        <v>0.014374885928089068</v>
      </c>
      <c r="K127" s="177">
        <f t="shared" si="3"/>
        <v>0.011561720508608627</v>
      </c>
    </row>
    <row r="128" spans="1:11" ht="12.75">
      <c r="A128" s="174" t="s">
        <v>34</v>
      </c>
      <c r="B128" s="175">
        <v>852555</v>
      </c>
      <c r="C128" s="177">
        <f t="shared" si="3"/>
        <v>0.18642199037012275</v>
      </c>
      <c r="D128" s="177">
        <f t="shared" si="3"/>
        <v>0.13517016497469372</v>
      </c>
      <c r="E128" s="177">
        <f t="shared" si="3"/>
        <v>0.48246154207059955</v>
      </c>
      <c r="F128" s="177">
        <f t="shared" si="3"/>
        <v>0.16013043146776454</v>
      </c>
      <c r="G128" s="177">
        <f t="shared" si="3"/>
        <v>0.0002111300737195841</v>
      </c>
      <c r="H128" s="177">
        <f t="shared" si="3"/>
        <v>0.02857293664338371</v>
      </c>
      <c r="I128" s="177">
        <f t="shared" si="3"/>
        <v>0.0003988012503592144</v>
      </c>
      <c r="J128" s="177">
        <f t="shared" si="3"/>
        <v>0.003008603550504073</v>
      </c>
      <c r="K128" s="177">
        <f t="shared" si="3"/>
        <v>0.0036302643231228486</v>
      </c>
    </row>
    <row r="129" spans="1:11" ht="12.75">
      <c r="A129" s="174" t="s">
        <v>35</v>
      </c>
      <c r="B129" s="175">
        <v>65825</v>
      </c>
      <c r="C129" s="177">
        <f t="shared" si="3"/>
        <v>0.3407519939232814</v>
      </c>
      <c r="D129" s="177">
        <f t="shared" si="3"/>
        <v>0.16984428408659324</v>
      </c>
      <c r="E129" s="177">
        <f t="shared" si="3"/>
        <v>0.33657424990505125</v>
      </c>
      <c r="F129" s="177">
        <f t="shared" si="3"/>
        <v>0.10338017470565894</v>
      </c>
      <c r="G129" s="177">
        <f t="shared" si="3"/>
        <v>0.0094948727687049</v>
      </c>
      <c r="H129" s="177">
        <f t="shared" si="3"/>
        <v>0.0056209646790733</v>
      </c>
      <c r="I129" s="177">
        <f t="shared" si="3"/>
        <v>0.0003038359285985568</v>
      </c>
      <c r="J129" s="177">
        <f t="shared" si="3"/>
        <v>0.023015571591340676</v>
      </c>
      <c r="K129" s="177">
        <f t="shared" si="3"/>
        <v>0.011090011393847323</v>
      </c>
    </row>
    <row r="130" spans="1:11" ht="12.75">
      <c r="A130" s="174" t="s">
        <v>36</v>
      </c>
      <c r="B130" s="175">
        <v>1195015</v>
      </c>
      <c r="C130" s="177">
        <f t="shared" si="3"/>
        <v>0.6553725267046857</v>
      </c>
      <c r="D130" s="177">
        <f t="shared" si="3"/>
        <v>0.057827726011807384</v>
      </c>
      <c r="E130" s="177">
        <f t="shared" si="3"/>
        <v>0.2143027493378744</v>
      </c>
      <c r="F130" s="177">
        <f t="shared" si="3"/>
        <v>0.04456429417203968</v>
      </c>
      <c r="G130" s="177">
        <f t="shared" si="3"/>
        <v>0.0012803186570879864</v>
      </c>
      <c r="H130" s="177">
        <f t="shared" si="3"/>
        <v>0.011903616272599088</v>
      </c>
      <c r="I130" s="177">
        <f t="shared" si="3"/>
        <v>0.0002468588260398405</v>
      </c>
      <c r="J130" s="177">
        <f t="shared" si="3"/>
        <v>0.00986598494579566</v>
      </c>
      <c r="K130" s="177">
        <f t="shared" si="3"/>
        <v>0.004635925072070225</v>
      </c>
    </row>
    <row r="131" spans="1:11" ht="12.75">
      <c r="A131" s="174" t="s">
        <v>37</v>
      </c>
      <c r="B131" s="175">
        <v>369600</v>
      </c>
      <c r="C131" s="177">
        <f t="shared" si="3"/>
        <v>0.5617018398268399</v>
      </c>
      <c r="D131" s="177">
        <f t="shared" si="3"/>
        <v>0.12842261904761904</v>
      </c>
      <c r="E131" s="177">
        <f t="shared" si="3"/>
        <v>0.2786796536796537</v>
      </c>
      <c r="F131" s="177">
        <f t="shared" si="3"/>
        <v>0.001204004329004329</v>
      </c>
      <c r="G131" s="177">
        <f t="shared" si="3"/>
        <v>2.7056277056277056E-05</v>
      </c>
      <c r="H131" s="177">
        <f t="shared" si="3"/>
        <v>0.023065476190476192</v>
      </c>
      <c r="I131" s="177">
        <f t="shared" si="3"/>
        <v>0.00020292207792207794</v>
      </c>
      <c r="J131" s="177">
        <f t="shared" si="3"/>
        <v>0.003841991341991342</v>
      </c>
      <c r="K131" s="177">
        <f t="shared" si="3"/>
        <v>0.0028544372294372292</v>
      </c>
    </row>
    <row r="132" spans="1:11" ht="12.75">
      <c r="A132" s="174" t="s">
        <v>38</v>
      </c>
      <c r="B132" s="175">
        <v>350335</v>
      </c>
      <c r="C132" s="177">
        <f t="shared" si="3"/>
        <v>0.22388570939243865</v>
      </c>
      <c r="D132" s="177">
        <f t="shared" si="3"/>
        <v>0.022949462657170995</v>
      </c>
      <c r="E132" s="177">
        <f t="shared" si="3"/>
        <v>0.6095451496424851</v>
      </c>
      <c r="F132" s="177">
        <f t="shared" si="3"/>
        <v>0.05474759872693279</v>
      </c>
      <c r="G132" s="177">
        <f t="shared" si="3"/>
        <v>0.00012844848502147944</v>
      </c>
      <c r="H132" s="177">
        <f t="shared" si="3"/>
        <v>0.0771119071745615</v>
      </c>
      <c r="I132" s="177">
        <f t="shared" si="3"/>
        <v>0.00031398518560806085</v>
      </c>
      <c r="J132" s="177">
        <f t="shared" si="3"/>
        <v>0.007992350179114276</v>
      </c>
      <c r="K132" s="177">
        <f t="shared" si="3"/>
        <v>0.00332538855666719</v>
      </c>
    </row>
    <row r="133" spans="1:11" ht="12.75">
      <c r="A133" s="174" t="s">
        <v>39</v>
      </c>
      <c r="B133" s="175">
        <v>1347235</v>
      </c>
      <c r="C133" s="177">
        <f t="shared" si="3"/>
        <v>0.5323570126963745</v>
      </c>
      <c r="D133" s="177">
        <f t="shared" si="3"/>
        <v>0.03130485772712259</v>
      </c>
      <c r="E133" s="177">
        <f t="shared" si="3"/>
        <v>0.15910735691991376</v>
      </c>
      <c r="F133" s="177">
        <f t="shared" si="3"/>
        <v>0.23842536751197824</v>
      </c>
      <c r="G133" s="177">
        <f t="shared" si="3"/>
        <v>0.013883992028116847</v>
      </c>
      <c r="H133" s="177">
        <f t="shared" si="3"/>
        <v>0.014867487854754367</v>
      </c>
      <c r="I133" s="177">
        <f t="shared" si="3"/>
        <v>0.00017072003028424884</v>
      </c>
      <c r="J133" s="177">
        <f t="shared" si="3"/>
        <v>0.0060308706350413995</v>
      </c>
      <c r="K133" s="177">
        <f t="shared" si="3"/>
        <v>0.003856045901420316</v>
      </c>
    </row>
    <row r="134" spans="1:11" ht="12.75">
      <c r="A134" s="174" t="s">
        <v>40</v>
      </c>
      <c r="B134" s="175">
        <v>130110</v>
      </c>
      <c r="C134" s="177">
        <f t="shared" si="3"/>
        <v>0.518138498193836</v>
      </c>
      <c r="D134" s="177">
        <f t="shared" si="3"/>
        <v>0.032472523249558065</v>
      </c>
      <c r="E134" s="177">
        <f t="shared" si="3"/>
        <v>0.11159787871800785</v>
      </c>
      <c r="F134" s="177">
        <f t="shared" si="3"/>
        <v>0.32441780032280376</v>
      </c>
      <c r="G134" s="177">
        <f t="shared" si="3"/>
        <v>0.0006148643455537622</v>
      </c>
      <c r="H134" s="177">
        <f t="shared" si="3"/>
        <v>0.0040350472676965645</v>
      </c>
      <c r="I134" s="177">
        <f t="shared" si="3"/>
        <v>0.0001921451079855507</v>
      </c>
      <c r="J134" s="177">
        <f t="shared" si="3"/>
        <v>0.004496195526861886</v>
      </c>
      <c r="K134" s="177">
        <f t="shared" si="3"/>
        <v>0.0040350472676965645</v>
      </c>
    </row>
    <row r="135" spans="1:11" ht="12.75">
      <c r="A135" s="174" t="s">
        <v>41</v>
      </c>
      <c r="B135" s="175">
        <v>438445</v>
      </c>
      <c r="C135" s="177">
        <f t="shared" si="3"/>
        <v>0.23837653525527716</v>
      </c>
      <c r="D135" s="177">
        <f t="shared" si="3"/>
        <v>0.11198668019934085</v>
      </c>
      <c r="E135" s="177">
        <f t="shared" si="3"/>
        <v>0.5425081823261755</v>
      </c>
      <c r="F135" s="177">
        <f t="shared" si="3"/>
        <v>0.08182326175461004</v>
      </c>
      <c r="G135" s="177">
        <f t="shared" si="3"/>
        <v>0.00017105908380754713</v>
      </c>
      <c r="H135" s="177">
        <f t="shared" si="3"/>
        <v>0.018348937723089556</v>
      </c>
      <c r="I135" s="177">
        <f t="shared" si="3"/>
        <v>0.00039913786221760996</v>
      </c>
      <c r="J135" s="177">
        <f t="shared" si="3"/>
        <v>0.0021325365781340875</v>
      </c>
      <c r="K135" s="177">
        <f t="shared" si="3"/>
        <v>0.004253669217347672</v>
      </c>
    </row>
    <row r="136" spans="1:11" ht="12.75">
      <c r="A136" s="174" t="s">
        <v>42</v>
      </c>
      <c r="B136" s="175">
        <v>74065</v>
      </c>
      <c r="C136" s="177">
        <f t="shared" si="3"/>
        <v>0.3557685816512523</v>
      </c>
      <c r="D136" s="177">
        <f t="shared" si="3"/>
        <v>0.2594342806993857</v>
      </c>
      <c r="E136" s="177">
        <f t="shared" si="3"/>
        <v>0.26274218591777493</v>
      </c>
      <c r="F136" s="177">
        <f t="shared" si="3"/>
        <v>0.0788496590832377</v>
      </c>
      <c r="G136" s="177">
        <f t="shared" si="3"/>
        <v>0.0016877067440761494</v>
      </c>
      <c r="H136" s="177">
        <f t="shared" si="3"/>
        <v>0.02031998919867684</v>
      </c>
      <c r="I136" s="177">
        <f t="shared" si="3"/>
        <v>0.00040504961857827583</v>
      </c>
      <c r="J136" s="177">
        <f t="shared" si="3"/>
        <v>0.013636670492135287</v>
      </c>
      <c r="K136" s="177">
        <f t="shared" si="3"/>
        <v>0.007223384864645919</v>
      </c>
    </row>
    <row r="137" spans="1:11" ht="12.75">
      <c r="A137" s="174" t="s">
        <v>43</v>
      </c>
      <c r="B137" s="175">
        <v>618095</v>
      </c>
      <c r="C137" s="177">
        <f t="shared" si="3"/>
        <v>0.2923903283475841</v>
      </c>
      <c r="D137" s="177">
        <f t="shared" si="3"/>
        <v>0.0769622792612786</v>
      </c>
      <c r="E137" s="177">
        <f t="shared" si="3"/>
        <v>0.5544778715246038</v>
      </c>
      <c r="F137" s="177">
        <f t="shared" si="3"/>
        <v>0.03172651453255568</v>
      </c>
      <c r="G137" s="177">
        <f t="shared" si="3"/>
        <v>0.002645224439608798</v>
      </c>
      <c r="H137" s="177">
        <f t="shared" si="3"/>
        <v>0.03620802627427822</v>
      </c>
      <c r="I137" s="177">
        <f t="shared" si="3"/>
        <v>0.00019414491299881087</v>
      </c>
      <c r="J137" s="177">
        <f t="shared" si="3"/>
        <v>0.0017796617024890995</v>
      </c>
      <c r="K137" s="177">
        <f t="shared" si="3"/>
        <v>0.003615949004602852</v>
      </c>
    </row>
    <row r="138" spans="1:11" ht="12.75">
      <c r="A138" s="174" t="s">
        <v>44</v>
      </c>
      <c r="B138" s="175">
        <v>1983080</v>
      </c>
      <c r="C138" s="177">
        <f t="shared" si="3"/>
        <v>0.41446890695282085</v>
      </c>
      <c r="D138" s="177">
        <f t="shared" si="3"/>
        <v>0.0856672448917845</v>
      </c>
      <c r="E138" s="177">
        <f t="shared" si="3"/>
        <v>0.48240111341952924</v>
      </c>
      <c r="F138" s="177">
        <f t="shared" si="3"/>
        <v>0.0011018214091211651</v>
      </c>
      <c r="G138" s="177">
        <f t="shared" si="3"/>
        <v>9.076789640357423E-05</v>
      </c>
      <c r="H138" s="177">
        <f t="shared" si="3"/>
        <v>0.005486415071504932</v>
      </c>
      <c r="I138" s="177">
        <f t="shared" si="3"/>
        <v>0.0004261048470056679</v>
      </c>
      <c r="J138" s="177">
        <f t="shared" si="3"/>
        <v>0.002158258870040543</v>
      </c>
      <c r="K138" s="177">
        <f t="shared" si="3"/>
        <v>0.00819936664178954</v>
      </c>
    </row>
    <row r="139" spans="1:11" ht="12.75">
      <c r="A139" s="174" t="s">
        <v>45</v>
      </c>
      <c r="B139" s="175">
        <v>150515</v>
      </c>
      <c r="C139" s="177">
        <f t="shared" si="3"/>
        <v>0.7634455037703883</v>
      </c>
      <c r="D139" s="177">
        <f t="shared" si="3"/>
        <v>0.043118626050559744</v>
      </c>
      <c r="E139" s="177">
        <f t="shared" si="3"/>
        <v>0.15211108527389297</v>
      </c>
      <c r="F139" s="177">
        <f t="shared" si="3"/>
        <v>0.008703451483240874</v>
      </c>
      <c r="G139" s="177">
        <f t="shared" si="3"/>
        <v>0.005979470484669302</v>
      </c>
      <c r="H139" s="177">
        <f t="shared" si="3"/>
        <v>0.019067866990000997</v>
      </c>
      <c r="I139" s="177">
        <f t="shared" si="3"/>
        <v>0.00046506992658539015</v>
      </c>
      <c r="J139" s="177">
        <f t="shared" si="3"/>
        <v>0.004949672790087367</v>
      </c>
      <c r="K139" s="177">
        <f t="shared" si="3"/>
        <v>0.002159253230575026</v>
      </c>
    </row>
    <row r="140" spans="1:11" ht="12.75">
      <c r="A140" s="174" t="s">
        <v>46</v>
      </c>
      <c r="B140" s="175">
        <v>57175</v>
      </c>
      <c r="C140" s="177">
        <f t="shared" si="3"/>
        <v>0.10660253607345868</v>
      </c>
      <c r="D140" s="177">
        <f t="shared" si="3"/>
        <v>0.1410581547879318</v>
      </c>
      <c r="E140" s="177">
        <f t="shared" si="3"/>
        <v>0.08832531700918234</v>
      </c>
      <c r="F140" s="177">
        <f t="shared" si="3"/>
        <v>0.5705290773939659</v>
      </c>
      <c r="G140" s="177">
        <f t="shared" si="3"/>
        <v>0.0016615653694796676</v>
      </c>
      <c r="H140" s="177">
        <f t="shared" si="3"/>
        <v>0.08386532575426323</v>
      </c>
      <c r="I140" s="177">
        <f t="shared" si="3"/>
        <v>0.00034980323567993004</v>
      </c>
      <c r="J140" s="177">
        <f t="shared" si="3"/>
        <v>0.004110188019239178</v>
      </c>
      <c r="K140" s="177">
        <f t="shared" si="3"/>
        <v>0.003410581547879318</v>
      </c>
    </row>
    <row r="141" spans="1:11" ht="12.75">
      <c r="A141" s="174" t="s">
        <v>47</v>
      </c>
      <c r="B141" s="175">
        <v>656520</v>
      </c>
      <c r="C141" s="177">
        <f t="shared" si="3"/>
        <v>0.25492749649667945</v>
      </c>
      <c r="D141" s="177">
        <f t="shared" si="3"/>
        <v>0.05692895875220862</v>
      </c>
      <c r="E141" s="177">
        <f t="shared" si="3"/>
        <v>0.45012337781027234</v>
      </c>
      <c r="F141" s="177">
        <f t="shared" si="3"/>
        <v>0.18085511484798636</v>
      </c>
      <c r="G141" s="177">
        <f t="shared" si="3"/>
        <v>0.005209285322610126</v>
      </c>
      <c r="H141" s="177">
        <f t="shared" si="3"/>
        <v>0.04286998111253275</v>
      </c>
      <c r="I141" s="177">
        <f t="shared" si="3"/>
        <v>0.00033510022543106077</v>
      </c>
      <c r="J141" s="177">
        <f t="shared" si="3"/>
        <v>0.004409614330104185</v>
      </c>
      <c r="K141" s="177">
        <f t="shared" si="3"/>
        <v>0.004341071102175105</v>
      </c>
    </row>
    <row r="142" spans="1:11" ht="12.75">
      <c r="A142" s="174" t="s">
        <v>48</v>
      </c>
      <c r="B142" s="175">
        <v>551230</v>
      </c>
      <c r="C142" s="177">
        <f t="shared" si="3"/>
        <v>0.19961721967236906</v>
      </c>
      <c r="D142" s="177">
        <f t="shared" si="3"/>
        <v>0.026313879868657367</v>
      </c>
      <c r="E142" s="177">
        <f t="shared" si="3"/>
        <v>0.6643687752843641</v>
      </c>
      <c r="F142" s="177">
        <f t="shared" si="3"/>
        <v>0.04531683689204143</v>
      </c>
      <c r="G142" s="177">
        <f t="shared" si="3"/>
        <v>0.0003356130834678809</v>
      </c>
      <c r="H142" s="177">
        <f t="shared" si="3"/>
        <v>0.05256426537017216</v>
      </c>
      <c r="I142" s="177">
        <f t="shared" si="3"/>
        <v>0.000154200605917675</v>
      </c>
      <c r="J142" s="177">
        <f t="shared" si="3"/>
        <v>0.00767374780037371</v>
      </c>
      <c r="K142" s="177">
        <f t="shared" si="3"/>
        <v>0.003655461422636649</v>
      </c>
    </row>
    <row r="143" spans="1:11" ht="12.75">
      <c r="A143" s="174" t="s">
        <v>49</v>
      </c>
      <c r="B143" s="175">
        <v>232685</v>
      </c>
      <c r="C143" s="177">
        <f aca="true" t="shared" si="4" ref="C143:K145">C68/$B68</f>
        <v>0.4383608741431549</v>
      </c>
      <c r="D143" s="177">
        <f t="shared" si="4"/>
        <v>0.05960848357221136</v>
      </c>
      <c r="E143" s="177">
        <f t="shared" si="4"/>
        <v>0.3307475771966392</v>
      </c>
      <c r="F143" s="177">
        <f t="shared" si="4"/>
        <v>0.0754883211208286</v>
      </c>
      <c r="G143" s="177">
        <f t="shared" si="4"/>
        <v>0.01925349721726798</v>
      </c>
      <c r="H143" s="177">
        <f t="shared" si="4"/>
        <v>0.06770956443260201</v>
      </c>
      <c r="I143" s="177">
        <f t="shared" si="4"/>
        <v>8.595311257708919E-05</v>
      </c>
      <c r="J143" s="177">
        <f t="shared" si="4"/>
        <v>0.006489459999570234</v>
      </c>
      <c r="K143" s="177">
        <f t="shared" si="4"/>
        <v>0.002299245761437136</v>
      </c>
    </row>
    <row r="144" spans="1:11" ht="12.75">
      <c r="A144" s="174" t="s">
        <v>50</v>
      </c>
      <c r="B144" s="175">
        <v>499735</v>
      </c>
      <c r="C144" s="177">
        <f t="shared" si="4"/>
        <v>0.5895124415940448</v>
      </c>
      <c r="D144" s="177">
        <f t="shared" si="4"/>
        <v>0.1074369415790369</v>
      </c>
      <c r="E144" s="177">
        <f t="shared" si="4"/>
        <v>0.17829449608292394</v>
      </c>
      <c r="F144" s="177">
        <f t="shared" si="4"/>
        <v>0.07920197704783535</v>
      </c>
      <c r="G144" s="177">
        <f t="shared" si="4"/>
        <v>0.00031016438712517635</v>
      </c>
      <c r="H144" s="177">
        <f t="shared" si="4"/>
        <v>0.030025913734279167</v>
      </c>
      <c r="I144" s="177">
        <f t="shared" si="4"/>
        <v>0.0002001060562097912</v>
      </c>
      <c r="J144" s="177">
        <f t="shared" si="4"/>
        <v>0.010235424775130819</v>
      </c>
      <c r="K144" s="177">
        <f t="shared" si="4"/>
        <v>0.00478253474341401</v>
      </c>
    </row>
    <row r="145" spans="1:11" ht="12.75">
      <c r="A145" s="174" t="s">
        <v>51</v>
      </c>
      <c r="B145" s="175">
        <v>48345</v>
      </c>
      <c r="C145" s="177">
        <f t="shared" si="4"/>
        <v>0.6087496121625815</v>
      </c>
      <c r="D145" s="177">
        <f t="shared" si="4"/>
        <v>0.11055952011583411</v>
      </c>
      <c r="E145" s="177">
        <f t="shared" si="4"/>
        <v>0.21884372737615057</v>
      </c>
      <c r="F145" s="177">
        <f t="shared" si="4"/>
        <v>0.0026890061019753855</v>
      </c>
      <c r="G145" s="177">
        <f t="shared" si="4"/>
        <v>0.007032785189781777</v>
      </c>
      <c r="H145" s="177">
        <f t="shared" si="4"/>
        <v>0.03837004860895646</v>
      </c>
      <c r="I145" s="177">
        <f t="shared" si="4"/>
        <v>0.00031026993484331366</v>
      </c>
      <c r="J145" s="177">
        <f t="shared" si="4"/>
        <v>0.010032061226600476</v>
      </c>
      <c r="K145" s="177">
        <f t="shared" si="4"/>
        <v>0.0034129692832764505</v>
      </c>
    </row>
    <row r="146" spans="1:11" ht="12.75">
      <c r="A146" s="174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</row>
    <row r="147" spans="1:11" ht="12.75">
      <c r="A147" s="207" t="s">
        <v>393</v>
      </c>
      <c r="B147" s="208"/>
      <c r="C147" s="208"/>
      <c r="D147" s="208"/>
      <c r="E147" s="208"/>
      <c r="F147" s="208"/>
      <c r="G147" s="208"/>
      <c r="H147" s="208"/>
      <c r="I147" s="208"/>
      <c r="J147" s="208"/>
      <c r="K147" s="208"/>
    </row>
    <row r="148" spans="1:11" ht="12.75" customHeight="1">
      <c r="A148" s="209" t="s">
        <v>394</v>
      </c>
      <c r="B148" s="210"/>
      <c r="C148" s="210"/>
      <c r="D148" s="210"/>
      <c r="E148" s="210"/>
      <c r="F148" s="210"/>
      <c r="G148" s="210"/>
      <c r="H148" s="210"/>
      <c r="I148" s="210"/>
      <c r="J148" s="208"/>
      <c r="K148" s="208"/>
    </row>
    <row r="149" spans="1:11" ht="39" customHeight="1">
      <c r="A149" s="209" t="s">
        <v>395</v>
      </c>
      <c r="B149" s="210"/>
      <c r="C149" s="210"/>
      <c r="D149" s="210"/>
      <c r="E149" s="210"/>
      <c r="F149" s="210"/>
      <c r="G149" s="210"/>
      <c r="H149" s="210"/>
      <c r="I149" s="210"/>
      <c r="J149" s="208"/>
      <c r="K149" s="208"/>
    </row>
    <row r="150" spans="1:11" ht="12.75">
      <c r="A150" s="207" t="s">
        <v>396</v>
      </c>
      <c r="B150" s="208"/>
      <c r="C150" s="208"/>
      <c r="D150" s="208"/>
      <c r="E150" s="208"/>
      <c r="F150" s="208"/>
      <c r="G150" s="208"/>
      <c r="H150" s="208"/>
      <c r="I150" s="208"/>
      <c r="J150" s="208"/>
      <c r="K150" s="208"/>
    </row>
  </sheetData>
  <mergeCells count="16">
    <mergeCell ref="A147:K147"/>
    <mergeCell ref="A148:K148"/>
    <mergeCell ref="A149:K149"/>
    <mergeCell ref="A150:K150"/>
    <mergeCell ref="A76:K76"/>
    <mergeCell ref="A77:A78"/>
    <mergeCell ref="B77:B78"/>
    <mergeCell ref="C77:K77"/>
    <mergeCell ref="A72:K72"/>
    <mergeCell ref="A73:K73"/>
    <mergeCell ref="A74:K74"/>
    <mergeCell ref="A75:K75"/>
    <mergeCell ref="A1:K1"/>
    <mergeCell ref="A2:A3"/>
    <mergeCell ref="B2:B3"/>
    <mergeCell ref="C2:K2"/>
  </mergeCells>
  <printOptions gridLines="1"/>
  <pageMargins left="0.54" right="0.75" top="0.37" bottom="0.76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DHHS/OS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sherryv</cp:lastModifiedBy>
  <cp:lastPrinted>2007-09-26T12:50:27Z</cp:lastPrinted>
  <dcterms:created xsi:type="dcterms:W3CDTF">2005-12-20T14:12:07Z</dcterms:created>
  <dcterms:modified xsi:type="dcterms:W3CDTF">2007-09-27T14:21:05Z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