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2120" windowHeight="9120" tabRatio="917" activeTab="1"/>
  </bookViews>
  <sheets>
    <sheet name="User's Guide" sheetId="1" r:id="rId1"/>
    <sheet name="Activity Description" sheetId="2" r:id="rId2"/>
    <sheet name="CB_DATA_" sheetId="3" state="veryHidden" r:id="rId3"/>
    <sheet name="ERR &amp; Sensitivity Analysis" sheetId="4" r:id="rId4"/>
    <sheet name="ERR" sheetId="5" r:id="rId5"/>
    <sheet name="Dairy" sheetId="6" r:id="rId6"/>
    <sheet name="Wood proc" sheetId="7" r:id="rId7"/>
    <sheet name="Fruit conc" sheetId="8" r:id="rId8"/>
    <sheet name="Honey" sheetId="9" r:id="rId9"/>
    <sheet name="Geo Specialty Tea" sheetId="10" r:id="rId10"/>
    <sheet name="Apple juice conc. - Kaspi" sheetId="11" r:id="rId11"/>
    <sheet name="Kobuleti Tourist Centre" sheetId="12" r:id="rId12"/>
    <sheet name="Clean Citrus Prod's" sheetId="13" r:id="rId13"/>
    <sheet name="Sunflower seed oil" sheetId="14" r:id="rId14"/>
    <sheet name="High qual greens" sheetId="15" r:id="rId15"/>
    <sheet name="Geo Stevia" sheetId="16" r:id="rId16"/>
    <sheet name="Tomato prod's" sheetId="17" r:id="rId17"/>
    <sheet name="Nabeghlavi" sheetId="18" r:id="rId18"/>
    <sheet name="Key assumptions" sheetId="19" r:id="rId19"/>
  </sheets>
  <externalReferences>
    <externalReference r:id="rId22"/>
  </externalReferences>
  <definedNames>
    <definedName name="CB_32aa73a1aa304487b331c37948ccfcd6" localSheetId="3" hidden="1">'ERR &amp; Sensitivity Analysis'!$D$23</definedName>
    <definedName name="CB_386015d9a66647ad90df8137f62cb45f" localSheetId="3" hidden="1">'ERR &amp; Sensitivity Analysis'!$D$17</definedName>
    <definedName name="CB_3e2cc16c956f48d8bf0b7c34fdea3f63" localSheetId="3" hidden="1">'ERR &amp; Sensitivity Analysis'!$D$14</definedName>
    <definedName name="CB_49f1d0e2bee048d5864f3c0cfdbeeac7" localSheetId="3" hidden="1">'ERR &amp; Sensitivity Analysis'!$D$19</definedName>
    <definedName name="CB_55a86c20330147ffb270035b41c30ec1" localSheetId="3" hidden="1">'ERR &amp; Sensitivity Analysis'!$D$15</definedName>
    <definedName name="CB_5aac8dae7fbb47ebae82511ba0925862" localSheetId="3" hidden="1">'ERR &amp; Sensitivity Analysis'!$D$13</definedName>
    <definedName name="CB_6520de14d3f7493eb6fae7acbbff24f1" localSheetId="3" hidden="1">'ERR &amp; Sensitivity Analysis'!$D$18</definedName>
    <definedName name="CB_66cbe76594b84d88ad7d19c03d208b8c" localSheetId="3" hidden="1">'ERR &amp; Sensitivity Analysis'!$D$16</definedName>
    <definedName name="CBWorkbookPriority" hidden="1">-171253745</definedName>
    <definedName name="CBx_123ce116655a441b801d60d7c23c771c" localSheetId="2" hidden="1">"'CB_DATA_'!$A$1"</definedName>
    <definedName name="CBx_cae9bfc6e5484371b89e05a51749bbaf" localSheetId="2" hidden="1">"'ERR &amp; Sensitivity Analysis'!$A$1"</definedName>
    <definedName name="CBx_Sheet_Guid" localSheetId="2" hidden="1">"'123ce116-655a-441b-801d-60d7c23c771c"</definedName>
    <definedName name="CBx_Sheet_Guid" localSheetId="3" hidden="1">"'cae9bfc6-e548-4371-b89e-05a51749bbaf"</definedName>
    <definedName name="Cost">'[1]Cost Assumptions'!$C$22:$E$22</definedName>
    <definedName name="Inv06">'[1]Cost Assumptions'!$H$32</definedName>
    <definedName name="Inv07">'[1]Cost Assumptions'!$I$32</definedName>
    <definedName name="Maint08">'[1]Cost Assumptions'!$G$40:$N$40</definedName>
  </definedNames>
  <calcPr fullCalcOnLoad="1"/>
</workbook>
</file>

<file path=xl/comments10.xml><?xml version="1.0" encoding="utf-8"?>
<comments xmlns="http://schemas.openxmlformats.org/spreadsheetml/2006/main">
  <authors>
    <author> Steve Anderson</author>
    <author>Andersonsc</author>
    <author>MCC</author>
  </authors>
  <commentList>
    <comment ref="K4" authorId="0">
      <text>
        <r>
          <rPr>
            <b/>
            <sz val="8"/>
            <rFont val="Tahoma"/>
            <family val="0"/>
          </rPr>
          <t>MCC:</t>
        </r>
        <r>
          <rPr>
            <sz val="8"/>
            <rFont val="Tahoma"/>
            <family val="0"/>
          </rPr>
          <t xml:space="preserve">
Tea farmers</t>
        </r>
      </text>
    </comment>
    <comment ref="D4" authorId="0">
      <text>
        <r>
          <rPr>
            <b/>
            <sz val="8"/>
            <rFont val="Tahoma"/>
            <family val="0"/>
          </rPr>
          <t>MCC:</t>
        </r>
        <r>
          <rPr>
            <sz val="8"/>
            <rFont val="Tahoma"/>
            <family val="0"/>
          </rPr>
          <t xml:space="preserve">
w/o working capital</t>
        </r>
      </text>
    </comment>
    <comment ref="A30" authorId="1">
      <text>
        <r>
          <rPr>
            <b/>
            <sz val="8"/>
            <rFont val="Tahoma"/>
            <family val="0"/>
          </rPr>
          <t>MCC:</t>
        </r>
        <r>
          <rPr>
            <sz val="8"/>
            <rFont val="Tahoma"/>
            <family val="0"/>
          </rPr>
          <t xml:space="preserve">
pi = profit
W = Wages
OB = Other beneficiaries
T = Taxes</t>
        </r>
      </text>
    </comment>
    <comment ref="L4" authorId="2">
      <text>
        <r>
          <rPr>
            <b/>
            <sz val="8"/>
            <rFont val="Tahoma"/>
            <family val="0"/>
          </rPr>
          <t>MCC:</t>
        </r>
        <r>
          <rPr>
            <sz val="8"/>
            <rFont val="Tahoma"/>
            <family val="0"/>
          </rPr>
          <t xml:space="preserve">
The figure of $2000 income is taken from consultant's supplementary spreadsheet, and is not necessarily consistent w/data at left.</t>
        </r>
      </text>
    </comment>
  </commentList>
</comments>
</file>

<file path=xl/comments11.xml><?xml version="1.0" encoding="utf-8"?>
<comments xmlns="http://schemas.openxmlformats.org/spreadsheetml/2006/main">
  <authors>
    <author>Andersonsc</author>
    <author>MCC</author>
  </authors>
  <commentList>
    <comment ref="A28" authorId="0">
      <text>
        <r>
          <rPr>
            <b/>
            <sz val="8"/>
            <rFont val="Tahoma"/>
            <family val="0"/>
          </rPr>
          <t>MCC:</t>
        </r>
        <r>
          <rPr>
            <sz val="8"/>
            <rFont val="Tahoma"/>
            <family val="0"/>
          </rPr>
          <t xml:space="preserve">
pi = profit
W = Wages
OB = Other beneficiaries
T = Taxes</t>
        </r>
      </text>
    </comment>
    <comment ref="G4" authorId="1">
      <text>
        <r>
          <rPr>
            <b/>
            <sz val="8"/>
            <rFont val="Tahoma"/>
            <family val="0"/>
          </rPr>
          <t>MCC:</t>
        </r>
        <r>
          <rPr>
            <sz val="8"/>
            <rFont val="Tahoma"/>
            <family val="0"/>
          </rPr>
          <t xml:space="preserve">
Estimated with reference to "Fruit conc" worksheet.</t>
        </r>
      </text>
    </comment>
    <comment ref="H4" authorId="1">
      <text>
        <r>
          <rPr>
            <b/>
            <sz val="8"/>
            <rFont val="Tahoma"/>
            <family val="0"/>
          </rPr>
          <t>MCC:</t>
        </r>
        <r>
          <rPr>
            <sz val="8"/>
            <rFont val="Tahoma"/>
            <family val="0"/>
          </rPr>
          <t xml:space="preserve">
Estimated with reference to "Fruit conc" worksheet.</t>
        </r>
      </text>
    </comment>
    <comment ref="I4" authorId="1">
      <text>
        <r>
          <rPr>
            <b/>
            <sz val="8"/>
            <rFont val="Tahoma"/>
            <family val="0"/>
          </rPr>
          <t>MCC:</t>
        </r>
        <r>
          <rPr>
            <sz val="8"/>
            <rFont val="Tahoma"/>
            <family val="0"/>
          </rPr>
          <t xml:space="preserve">
Estimated with reference to "Fruit conc" worksheet.</t>
        </r>
      </text>
    </comment>
    <comment ref="J4" authorId="1">
      <text>
        <r>
          <rPr>
            <b/>
            <sz val="8"/>
            <rFont val="Tahoma"/>
            <family val="0"/>
          </rPr>
          <t>MCC:</t>
        </r>
        <r>
          <rPr>
            <sz val="8"/>
            <rFont val="Tahoma"/>
            <family val="0"/>
          </rPr>
          <t xml:space="preserve">
Estimated with reference to "Fruit conc" worksheet.</t>
        </r>
      </text>
    </comment>
    <comment ref="L4" authorId="1">
      <text>
        <r>
          <rPr>
            <b/>
            <sz val="8"/>
            <rFont val="Tahoma"/>
            <family val="0"/>
          </rPr>
          <t>MCC:</t>
        </r>
        <r>
          <rPr>
            <sz val="8"/>
            <rFont val="Tahoma"/>
            <family val="0"/>
          </rPr>
          <t xml:space="preserve">
Estimated with reference to "Fruit conc" worksheet.</t>
        </r>
      </text>
    </comment>
  </commentList>
</comments>
</file>

<file path=xl/comments12.xml><?xml version="1.0" encoding="utf-8"?>
<comments xmlns="http://schemas.openxmlformats.org/spreadsheetml/2006/main">
  <authors>
    <author> Steve Anderson</author>
    <author>Andersonsc</author>
  </authors>
  <commentList>
    <comment ref="B4" authorId="0">
      <text>
        <r>
          <rPr>
            <b/>
            <sz val="8"/>
            <rFont val="Tahoma"/>
            <family val="0"/>
          </rPr>
          <t>MCC:</t>
        </r>
        <r>
          <rPr>
            <sz val="8"/>
            <rFont val="Tahoma"/>
            <family val="0"/>
          </rPr>
          <t xml:space="preserve">
"High-class (5 stars) tourist international center creation in the seashore of Kobuleti district of Ajara autonomy"</t>
        </r>
      </text>
    </comment>
    <comment ref="A28" authorId="1">
      <text>
        <r>
          <rPr>
            <b/>
            <sz val="8"/>
            <rFont val="Tahoma"/>
            <family val="0"/>
          </rPr>
          <t>MCC:</t>
        </r>
        <r>
          <rPr>
            <sz val="8"/>
            <rFont val="Tahoma"/>
            <family val="0"/>
          </rPr>
          <t xml:space="preserve">
pi = profit
W = Wages
OB = Other beneficiaries
T = Taxes</t>
        </r>
      </text>
    </comment>
  </commentList>
</comments>
</file>

<file path=xl/comments13.xml><?xml version="1.0" encoding="utf-8"?>
<comments xmlns="http://schemas.openxmlformats.org/spreadsheetml/2006/main">
  <authors>
    <author> Steve Anderson</author>
    <author>Andersonsc</author>
  </authors>
  <commentList>
    <comment ref="B4" authorId="0">
      <text>
        <r>
          <rPr>
            <b/>
            <sz val="8"/>
            <rFont val="Tahoma"/>
            <family val="0"/>
          </rPr>
          <t>MCC:</t>
        </r>
        <r>
          <rPr>
            <sz val="8"/>
            <rFont val="Tahoma"/>
            <family val="0"/>
          </rPr>
          <t xml:space="preserve">
"High quality ecologically clean citrus plants and tea products preparation (no residuum technology) infrastructure creation in Khelvachauri district (Ajara)"</t>
        </r>
      </text>
    </comment>
    <comment ref="K5" authorId="0">
      <text>
        <r>
          <rPr>
            <b/>
            <sz val="8"/>
            <rFont val="Tahoma"/>
            <family val="0"/>
          </rPr>
          <t>MCC:</t>
        </r>
        <r>
          <rPr>
            <sz val="8"/>
            <rFont val="Tahoma"/>
            <family val="0"/>
          </rPr>
          <t xml:space="preserve">
Tea leaf growers</t>
        </r>
      </text>
    </comment>
    <comment ref="K4" authorId="0">
      <text>
        <r>
          <rPr>
            <b/>
            <sz val="8"/>
            <rFont val="Tahoma"/>
            <family val="0"/>
          </rPr>
          <t>MCC:</t>
        </r>
        <r>
          <rPr>
            <sz val="8"/>
            <rFont val="Tahoma"/>
            <family val="0"/>
          </rPr>
          <t xml:space="preserve">
Citrus plant growers</t>
        </r>
      </text>
    </comment>
    <comment ref="L4" authorId="1">
      <text>
        <r>
          <rPr>
            <b/>
            <sz val="8"/>
            <rFont val="Tahoma"/>
            <family val="0"/>
          </rPr>
          <t>MCC:</t>
        </r>
        <r>
          <rPr>
            <sz val="8"/>
            <rFont val="Tahoma"/>
            <family val="0"/>
          </rPr>
          <t xml:space="preserve">
Income</t>
        </r>
      </text>
    </comment>
    <comment ref="L5" authorId="1">
      <text>
        <r>
          <rPr>
            <b/>
            <sz val="8"/>
            <rFont val="Tahoma"/>
            <family val="0"/>
          </rPr>
          <t>MCC:</t>
        </r>
        <r>
          <rPr>
            <sz val="8"/>
            <rFont val="Tahoma"/>
            <family val="0"/>
          </rPr>
          <t xml:space="preserve">
Income</t>
        </r>
      </text>
    </comment>
    <comment ref="M4" authorId="1">
      <text>
        <r>
          <rPr>
            <b/>
            <sz val="8"/>
            <rFont val="Tahoma"/>
            <family val="0"/>
          </rPr>
          <t>MCC:</t>
        </r>
        <r>
          <rPr>
            <sz val="8"/>
            <rFont val="Tahoma"/>
            <family val="0"/>
          </rPr>
          <t xml:space="preserve">
Property
+Income
+Profits
+Social taxes</t>
        </r>
      </text>
    </comment>
    <comment ref="A28" authorId="1">
      <text>
        <r>
          <rPr>
            <b/>
            <sz val="8"/>
            <rFont val="Tahoma"/>
            <family val="0"/>
          </rPr>
          <t>Andersonsc:</t>
        </r>
        <r>
          <rPr>
            <sz val="8"/>
            <rFont val="Tahoma"/>
            <family val="0"/>
          </rPr>
          <t xml:space="preserve">
pi = profit
W = Wages
OB = Other beneficiaries
T = Taxes</t>
        </r>
      </text>
    </comment>
  </commentList>
</comments>
</file>

<file path=xl/comments14.xml><?xml version="1.0" encoding="utf-8"?>
<comments xmlns="http://schemas.openxmlformats.org/spreadsheetml/2006/main">
  <authors>
    <author> Steve Anderson</author>
    <author>Andersonsc</author>
  </authors>
  <commentList>
    <comment ref="B4" authorId="0">
      <text>
        <r>
          <rPr>
            <b/>
            <sz val="8"/>
            <rFont val="Tahoma"/>
            <family val="0"/>
          </rPr>
          <t>MCC:</t>
        </r>
        <r>
          <rPr>
            <sz val="8"/>
            <rFont val="Tahoma"/>
            <family val="0"/>
          </rPr>
          <t xml:space="preserve">
"In Signakhi district of Kakheti region using the Israel new technology sunflower seed growing and natural sunflower-seed oil preparation"</t>
        </r>
      </text>
    </comment>
    <comment ref="K4" authorId="0">
      <text>
        <r>
          <rPr>
            <b/>
            <sz val="8"/>
            <rFont val="Tahoma"/>
            <family val="0"/>
          </rPr>
          <t>MCC:</t>
        </r>
        <r>
          <rPr>
            <sz val="8"/>
            <rFont val="Tahoma"/>
            <family val="0"/>
          </rPr>
          <t xml:space="preserve">
Sunflower seed growers</t>
        </r>
      </text>
    </comment>
    <comment ref="A28" authorId="1">
      <text>
        <r>
          <rPr>
            <b/>
            <sz val="8"/>
            <rFont val="Tahoma"/>
            <family val="0"/>
          </rPr>
          <t>MCC:</t>
        </r>
        <r>
          <rPr>
            <sz val="8"/>
            <rFont val="Tahoma"/>
            <family val="0"/>
          </rPr>
          <t xml:space="preserve">
pi = profit
W = Wages
OB = Other beneficiaries
T = Taxes</t>
        </r>
      </text>
    </comment>
  </commentList>
</comments>
</file>

<file path=xl/comments15.xml><?xml version="1.0" encoding="utf-8"?>
<comments xmlns="http://schemas.openxmlformats.org/spreadsheetml/2006/main">
  <authors>
    <author> Steve Anderson</author>
    <author>Andersonsc</author>
  </authors>
  <commentList>
    <comment ref="B4" authorId="0">
      <text>
        <r>
          <rPr>
            <b/>
            <sz val="8"/>
            <rFont val="Tahoma"/>
            <family val="0"/>
          </rPr>
          <t>MCC:</t>
        </r>
        <r>
          <rPr>
            <sz val="8"/>
            <rFont val="Tahoma"/>
            <family val="0"/>
          </rPr>
          <t xml:space="preserve">
"High quality greens growing and production in Tskhaltubo district of Imereti region</t>
        </r>
      </text>
    </comment>
    <comment ref="K4" authorId="0">
      <text>
        <r>
          <rPr>
            <b/>
            <sz val="8"/>
            <rFont val="Tahoma"/>
            <family val="0"/>
          </rPr>
          <t>MCC:</t>
        </r>
        <r>
          <rPr>
            <sz val="8"/>
            <rFont val="Tahoma"/>
            <family val="0"/>
          </rPr>
          <t xml:space="preserve">
Greens growers</t>
        </r>
      </text>
    </comment>
    <comment ref="A28" authorId="1">
      <text>
        <r>
          <rPr>
            <b/>
            <sz val="8"/>
            <rFont val="Tahoma"/>
            <family val="0"/>
          </rPr>
          <t>MCC:</t>
        </r>
        <r>
          <rPr>
            <sz val="8"/>
            <rFont val="Tahoma"/>
            <family val="0"/>
          </rPr>
          <t xml:space="preserve">
pi = profit
W = Wages
OB = Other beneficiaries
T = Taxes</t>
        </r>
      </text>
    </comment>
  </commentList>
</comments>
</file>

<file path=xl/comments16.xml><?xml version="1.0" encoding="utf-8"?>
<comments xmlns="http://schemas.openxmlformats.org/spreadsheetml/2006/main">
  <authors>
    <author> Steve Anderson</author>
    <author>Andersonsc</author>
  </authors>
  <commentList>
    <comment ref="B4" authorId="0">
      <text>
        <r>
          <rPr>
            <b/>
            <sz val="8"/>
            <rFont val="Tahoma"/>
            <family val="0"/>
          </rPr>
          <t>MCC:</t>
        </r>
        <r>
          <rPr>
            <sz val="8"/>
            <rFont val="Tahoma"/>
            <family val="0"/>
          </rPr>
          <t xml:space="preserve">
"The Stevia growing in  Guria region, its processing and pure food production of high quality"</t>
        </r>
      </text>
    </comment>
    <comment ref="K4" authorId="0">
      <text>
        <r>
          <rPr>
            <b/>
            <sz val="8"/>
            <rFont val="Tahoma"/>
            <family val="0"/>
          </rPr>
          <t>MCC:</t>
        </r>
        <r>
          <rPr>
            <sz val="8"/>
            <rFont val="Tahoma"/>
            <family val="0"/>
          </rPr>
          <t xml:space="preserve">
Stevia growers</t>
        </r>
      </text>
    </comment>
    <comment ref="A28" authorId="1">
      <text>
        <r>
          <rPr>
            <b/>
            <sz val="8"/>
            <rFont val="Tahoma"/>
            <family val="0"/>
          </rPr>
          <t>MCC:</t>
        </r>
        <r>
          <rPr>
            <sz val="8"/>
            <rFont val="Tahoma"/>
            <family val="0"/>
          </rPr>
          <t xml:space="preserve">
pi = profit
W = Wages
OB = Other beneficiaries
T = Taxes</t>
        </r>
      </text>
    </comment>
  </commentList>
</comments>
</file>

<file path=xl/comments17.xml><?xml version="1.0" encoding="utf-8"?>
<comments xmlns="http://schemas.openxmlformats.org/spreadsheetml/2006/main">
  <authors>
    <author>Andersonsc</author>
    <author>MCC</author>
  </authors>
  <commentList>
    <comment ref="K4" authorId="0">
      <text>
        <r>
          <rPr>
            <b/>
            <sz val="8"/>
            <rFont val="Tahoma"/>
            <family val="0"/>
          </rPr>
          <t>MCC:</t>
        </r>
        <r>
          <rPr>
            <sz val="8"/>
            <rFont val="Tahoma"/>
            <family val="0"/>
          </rPr>
          <t xml:space="preserve">
Number of families</t>
        </r>
      </text>
    </comment>
    <comment ref="C4" authorId="0">
      <text>
        <r>
          <rPr>
            <b/>
            <sz val="8"/>
            <rFont val="Tahoma"/>
            <family val="0"/>
          </rPr>
          <t>MCC:</t>
        </r>
        <r>
          <rPr>
            <sz val="8"/>
            <rFont val="Tahoma"/>
            <family val="0"/>
          </rPr>
          <t xml:space="preserve">
This is the claimed IRR, but is not borne out in computations.</t>
        </r>
      </text>
    </comment>
    <comment ref="A28" authorId="0">
      <text>
        <r>
          <rPr>
            <b/>
            <sz val="8"/>
            <rFont val="Tahoma"/>
            <family val="0"/>
          </rPr>
          <t>MCC:</t>
        </r>
        <r>
          <rPr>
            <sz val="8"/>
            <rFont val="Tahoma"/>
            <family val="0"/>
          </rPr>
          <t xml:space="preserve">
pi = profit
W = Wages
OB = Other beneficiaries
T = Taxes</t>
        </r>
      </text>
    </comment>
    <comment ref="L4" authorId="1">
      <text>
        <r>
          <rPr>
            <b/>
            <sz val="8"/>
            <rFont val="Tahoma"/>
            <family val="0"/>
          </rPr>
          <t>MCC:</t>
        </r>
        <r>
          <rPr>
            <sz val="8"/>
            <rFont val="Tahoma"/>
            <family val="0"/>
          </rPr>
          <t xml:space="preserve">
From Agrisystems Limited Working Paper Page 2.3--48</t>
        </r>
      </text>
    </comment>
  </commentList>
</comments>
</file>

<file path=xl/comments18.xml><?xml version="1.0" encoding="utf-8"?>
<comments xmlns="http://schemas.openxmlformats.org/spreadsheetml/2006/main">
  <authors>
    <author>Andersonsc</author>
  </authors>
  <commentList>
    <comment ref="C4" authorId="0">
      <text>
        <r>
          <rPr>
            <b/>
            <sz val="8"/>
            <rFont val="Tahoma"/>
            <family val="0"/>
          </rPr>
          <t>MCC:</t>
        </r>
        <r>
          <rPr>
            <sz val="8"/>
            <rFont val="Tahoma"/>
            <family val="0"/>
          </rPr>
          <t xml:space="preserve">
ROE</t>
        </r>
      </text>
    </comment>
  </commentList>
</comments>
</file>

<file path=xl/comments19.xml><?xml version="1.0" encoding="utf-8"?>
<comments xmlns="http://schemas.openxmlformats.org/spreadsheetml/2006/main">
  <authors>
    <author>Andersonsc</author>
    <author>MCC</author>
    <author>Tim Breitbarth</author>
  </authors>
  <commentList>
    <comment ref="G13" authorId="0">
      <text>
        <r>
          <rPr>
            <b/>
            <sz val="8"/>
            <rFont val="Tahoma"/>
            <family val="0"/>
          </rPr>
          <t>MCC:</t>
        </r>
        <r>
          <rPr>
            <sz val="8"/>
            <rFont val="Tahoma"/>
            <family val="0"/>
          </rPr>
          <t xml:space="preserve">
This multiple is assumed to apply to average wage figures on this page and firm-specific wages in the individual portfolio companies.  </t>
        </r>
      </text>
    </comment>
    <comment ref="F22" authorId="0">
      <text>
        <r>
          <rPr>
            <b/>
            <sz val="8"/>
            <rFont val="Tahoma"/>
            <family val="0"/>
          </rPr>
          <t>MCC:</t>
        </r>
        <r>
          <rPr>
            <sz val="8"/>
            <rFont val="Tahoma"/>
            <family val="0"/>
          </rPr>
          <t xml:space="preserve">
Ignoring outlier of tea leaf growers under Clearn Citrus Prod's</t>
        </r>
      </text>
    </comment>
    <comment ref="F26" authorId="0">
      <text>
        <r>
          <rPr>
            <b/>
            <sz val="8"/>
            <rFont val="Tahoma"/>
            <family val="0"/>
          </rPr>
          <t>MCC:</t>
        </r>
        <r>
          <rPr>
            <sz val="8"/>
            <rFont val="Tahoma"/>
            <family val="0"/>
          </rPr>
          <t xml:space="preserve">
Ignoring outlier of tea leaf growers under Clearn Citrus Prod's</t>
        </r>
      </text>
    </comment>
    <comment ref="F13" authorId="1">
      <text>
        <r>
          <rPr>
            <b/>
            <sz val="8"/>
            <rFont val="Tahoma"/>
            <family val="0"/>
          </rPr>
          <t>MCC:</t>
        </r>
        <r>
          <rPr>
            <sz val="8"/>
            <rFont val="Tahoma"/>
            <family val="0"/>
          </rPr>
          <t xml:space="preserve">
Source: Consultant's table, sent 04/11/05.  Consultant used a multiple of 4, which may be representative of higher-value companies (and hence better-paid mgmt.)
</t>
        </r>
      </text>
    </comment>
    <comment ref="F20" authorId="2">
      <text>
        <r>
          <rPr>
            <b/>
            <sz val="8"/>
            <rFont val="Tahoma"/>
            <family val="0"/>
          </rPr>
          <t>MCC:</t>
        </r>
        <r>
          <rPr>
            <sz val="8"/>
            <rFont val="Tahoma"/>
            <family val="0"/>
          </rPr>
          <t xml:space="preserve">
Baseline 175%</t>
        </r>
      </text>
    </comment>
  </commentList>
</comments>
</file>

<file path=xl/comments6.xml><?xml version="1.0" encoding="utf-8"?>
<comments xmlns="http://schemas.openxmlformats.org/spreadsheetml/2006/main">
  <authors>
    <author> Steve Anderson</author>
    <author>Andersonsc</author>
  </authors>
  <commentList>
    <comment ref="K4" authorId="0">
      <text>
        <r>
          <rPr>
            <b/>
            <sz val="8"/>
            <rFont val="Tahoma"/>
            <family val="0"/>
          </rPr>
          <t>MCC:</t>
        </r>
        <r>
          <rPr>
            <sz val="8"/>
            <rFont val="Tahoma"/>
            <family val="0"/>
          </rPr>
          <t xml:space="preserve">
Number of suppliers (farmers, HH) to milk collection centers</t>
        </r>
      </text>
    </comment>
    <comment ref="A28" authorId="1">
      <text>
        <r>
          <rPr>
            <b/>
            <sz val="8"/>
            <rFont val="Tahoma"/>
            <family val="0"/>
          </rPr>
          <t>MCC:</t>
        </r>
        <r>
          <rPr>
            <sz val="8"/>
            <rFont val="Tahoma"/>
            <family val="0"/>
          </rPr>
          <t xml:space="preserve">
pi = profit
W = Wages
OB = Other beneficiaries
T = Taxes</t>
        </r>
      </text>
    </comment>
  </commentList>
</comments>
</file>

<file path=xl/comments7.xml><?xml version="1.0" encoding="utf-8"?>
<comments xmlns="http://schemas.openxmlformats.org/spreadsheetml/2006/main">
  <authors>
    <author> Steve Anderson</author>
    <author>Andersonsc</author>
    <author>MCC</author>
  </authors>
  <commentList>
    <comment ref="B4" authorId="0">
      <text>
        <r>
          <rPr>
            <b/>
            <sz val="8"/>
            <rFont val="Tahoma"/>
            <family val="0"/>
          </rPr>
          <t>MCC:</t>
        </r>
        <r>
          <rPr>
            <sz val="8"/>
            <rFont val="Tahoma"/>
            <family val="0"/>
          </rPr>
          <t xml:space="preserve">
Covering tree harvesting, log procesing saw mill, boards and value-added products production (e.g., furniture components)</t>
        </r>
      </text>
    </comment>
    <comment ref="A28" authorId="1">
      <text>
        <r>
          <rPr>
            <b/>
            <sz val="8"/>
            <rFont val="Tahoma"/>
            <family val="0"/>
          </rPr>
          <t>MCC:</t>
        </r>
        <r>
          <rPr>
            <sz val="8"/>
            <rFont val="Tahoma"/>
            <family val="0"/>
          </rPr>
          <t xml:space="preserve">
pi = profit
W = Wages
OB = Other beneficiaries
T = Taxes</t>
        </r>
      </text>
    </comment>
    <comment ref="K4" authorId="2">
      <text>
        <r>
          <rPr>
            <b/>
            <sz val="8"/>
            <rFont val="Tahoma"/>
            <family val="0"/>
          </rPr>
          <t>MCC:</t>
        </r>
        <r>
          <rPr>
            <sz val="8"/>
            <rFont val="Tahoma"/>
            <family val="0"/>
          </rPr>
          <t xml:space="preserve">
Based on estimate of 50 workers + harvesters</t>
        </r>
      </text>
    </comment>
  </commentList>
</comments>
</file>

<file path=xl/comments8.xml><?xml version="1.0" encoding="utf-8"?>
<comments xmlns="http://schemas.openxmlformats.org/spreadsheetml/2006/main">
  <authors>
    <author> Steve Anderson</author>
    <author>Andersonsc</author>
  </authors>
  <commentList>
    <comment ref="K4" authorId="0">
      <text>
        <r>
          <rPr>
            <b/>
            <sz val="8"/>
            <rFont val="Tahoma"/>
            <family val="0"/>
          </rPr>
          <t>MCC:</t>
        </r>
        <r>
          <rPr>
            <sz val="8"/>
            <rFont val="Tahoma"/>
            <family val="0"/>
          </rPr>
          <t xml:space="preserve">
Farmers
</t>
        </r>
      </text>
    </comment>
    <comment ref="B4" authorId="0">
      <text>
        <r>
          <rPr>
            <b/>
            <sz val="8"/>
            <rFont val="Tahoma"/>
            <family val="0"/>
          </rPr>
          <t>MCC:</t>
        </r>
        <r>
          <rPr>
            <sz val="8"/>
            <rFont val="Tahoma"/>
            <family val="0"/>
          </rPr>
          <t xml:space="preserve">
Main products: apple,  lemon</t>
        </r>
      </text>
    </comment>
    <comment ref="A28" authorId="1">
      <text>
        <r>
          <rPr>
            <b/>
            <sz val="8"/>
            <rFont val="Tahoma"/>
            <family val="0"/>
          </rPr>
          <t>MCC:</t>
        </r>
        <r>
          <rPr>
            <sz val="8"/>
            <rFont val="Tahoma"/>
            <family val="0"/>
          </rPr>
          <t xml:space="preserve">
pi = profit
W = Wages
OB = Other beneficiaries
T = Taxes</t>
        </r>
      </text>
    </comment>
  </commentList>
</comments>
</file>

<file path=xl/comments9.xml><?xml version="1.0" encoding="utf-8"?>
<comments xmlns="http://schemas.openxmlformats.org/spreadsheetml/2006/main">
  <authors>
    <author> Steve Anderson</author>
    <author>Andersonsc</author>
  </authors>
  <commentList>
    <comment ref="B4" authorId="0">
      <text>
        <r>
          <rPr>
            <b/>
            <sz val="8"/>
            <rFont val="Tahoma"/>
            <family val="0"/>
          </rPr>
          <t>MCC:</t>
        </r>
        <r>
          <rPr>
            <sz val="8"/>
            <rFont val="Tahoma"/>
            <family val="0"/>
          </rPr>
          <t xml:space="preserve">
Investment is in beehives, processing and packaging plant, and marketing</t>
        </r>
      </text>
    </comment>
    <comment ref="K4" authorId="0">
      <text>
        <r>
          <rPr>
            <b/>
            <sz val="8"/>
            <rFont val="Tahoma"/>
            <family val="0"/>
          </rPr>
          <t>MCC:</t>
        </r>
        <r>
          <rPr>
            <sz val="8"/>
            <rFont val="Tahoma"/>
            <family val="0"/>
          </rPr>
          <t xml:space="preserve">
Beekeepers</t>
        </r>
      </text>
    </comment>
    <comment ref="A28" authorId="1">
      <text>
        <r>
          <rPr>
            <b/>
            <sz val="8"/>
            <rFont val="Tahoma"/>
            <family val="0"/>
          </rPr>
          <t>MCC:</t>
        </r>
        <r>
          <rPr>
            <sz val="8"/>
            <rFont val="Tahoma"/>
            <family val="0"/>
          </rPr>
          <t xml:space="preserve">
pi = profit
W = Wages
OB = Other beneficiaries
T = Taxes</t>
        </r>
      </text>
    </comment>
  </commentList>
</comments>
</file>

<file path=xl/sharedStrings.xml><?xml version="1.0" encoding="utf-8"?>
<sst xmlns="http://schemas.openxmlformats.org/spreadsheetml/2006/main" count="763" uniqueCount="266">
  <si>
    <r>
      <t xml:space="preserve">     2.  </t>
    </r>
    <r>
      <rPr>
        <i/>
        <sz val="10"/>
        <rFont val="Arial"/>
        <family val="2"/>
      </rPr>
      <t>Portfolio company technical assistance</t>
    </r>
    <r>
      <rPr>
        <sz val="10"/>
        <rFont val="Arial"/>
        <family val="0"/>
      </rPr>
      <t>.  In addition to investment capital of the Fund, the Fund Activity will also include 
            a separate technical assistance facility with up to $2 million of MCC funding available for management technical 
            assistance, at the discretion of the Investment Manager. Funds will target improvements in the performance of portfolio 
            companies following investment or assistance with prospective portfolio companies in becoming qualified for GRDF 
            investments.</t>
    </r>
  </si>
  <si>
    <r>
      <t xml:space="preserve">     3.  </t>
    </r>
    <r>
      <rPr>
        <i/>
        <sz val="10"/>
        <rFont val="Arial"/>
        <family val="2"/>
      </rPr>
      <t>Legal and policy environment support</t>
    </r>
    <r>
      <rPr>
        <sz val="10"/>
        <rFont val="Arial"/>
        <family val="0"/>
      </rPr>
      <t>.  MCC Funding will be used to engage an expert to identify and support Georgians 
            advocating for key legal and policy reforms affecting the investment environment and to establish and operate a 
            mechanism for this analysis and advocacy. This is intended to be similar to venture capital industry groups in other 
            countries that work with local, key stakeholders and donors to build consensus and advocate for reforms needed for 
            successful risk capital investments.</t>
    </r>
  </si>
  <si>
    <t xml:space="preserve">     The GRDF is designed to give small and medium sized companies access to the risk capital, technical assistance and capacity building they need to grow. The fund will (a) provide a competitive, disciplined mechanism for increasing capital that is provided to small and medium sized companies, with a particular emphasis on agriculture and agribusiness, (b) build local company and fund management capacity, and (c) encourage and build support for legal reform that will improve the enabling environment for investment in Georgian SMEs.</t>
  </si>
  <si>
    <t xml:space="preserve">     Expected financial rates of return (IRR) have been estimated using quantitative data from the Small Enterprise Assistance Funds (SEAF), which manages funds with characteristics similar to those expected of GRDF. Analysis shows weighted average gross IRRs of approximately 5 percent and net IRRs of –2.5 percent. Such returns are broadly consistent with those from funds managed by bilateral and multilateral donors and NGOs.</t>
  </si>
  <si>
    <t xml:space="preserve">Description </t>
  </si>
  <si>
    <t>FIRR (if avail.)</t>
  </si>
  <si>
    <t>Investment</t>
  </si>
  <si>
    <t>Net profit p.a.</t>
  </si>
  <si>
    <t>Time horizon</t>
  </si>
  <si>
    <t>No. of employees (by skill level)</t>
  </si>
  <si>
    <t>High skill</t>
  </si>
  <si>
    <t>Low skill</t>
  </si>
  <si>
    <t>No. other beneficiaries</t>
  </si>
  <si>
    <t>VA per beneficiary</t>
  </si>
  <si>
    <t>Net wages - high</t>
  </si>
  <si>
    <t>Net wages - low</t>
  </si>
  <si>
    <t>Taxes paid p.a.</t>
  </si>
  <si>
    <t>Dairy</t>
  </si>
  <si>
    <t>Other data</t>
  </si>
  <si>
    <t>Notes:</t>
  </si>
  <si>
    <t>tons milk/day needed as inputs to dairy</t>
  </si>
  <si>
    <t>of this demand is satisfied by imported/reconstituted milk &amp; powder</t>
  </si>
  <si>
    <t>Remainder (tons of milk) satisfied by the 600 farmers</t>
  </si>
  <si>
    <t>Litres of milk per farmer per day</t>
  </si>
  <si>
    <t>Wood processing</t>
  </si>
  <si>
    <t>m^3 logs/day - plant capacity (small)</t>
  </si>
  <si>
    <t>Investment ($)</t>
  </si>
  <si>
    <t>Forest belong to community who live nearby.</t>
  </si>
  <si>
    <t>Time horizon (y)</t>
  </si>
  <si>
    <t>Fruit concentrate</t>
  </si>
  <si>
    <t>Specialty mountain honey</t>
  </si>
  <si>
    <t>Plant and beehives will be in poor mountainous zone</t>
  </si>
  <si>
    <t>Georgian Specialty Tea Project</t>
  </si>
  <si>
    <t>Apple juice concentrate - Kaspi</t>
  </si>
  <si>
    <t>tons/hr production of concentrate</t>
  </si>
  <si>
    <t>$/ton production cost (goes into net profit calculation above)</t>
  </si>
  <si>
    <t>Kobuleti Tourist Centre</t>
  </si>
  <si>
    <t>"Project duration" (construction time): 24 months</t>
  </si>
  <si>
    <t>Clean Citrus Products</t>
  </si>
  <si>
    <t>Flavored mineral waters</t>
  </si>
  <si>
    <t>Project duration = 1 year</t>
  </si>
  <si>
    <t>VA per beneficiary, p.a.</t>
  </si>
  <si>
    <t>Sunflower seed oil</t>
  </si>
  <si>
    <t>Production capacity =3 million l/yr.</t>
  </si>
  <si>
    <t>High quality greens production</t>
  </si>
  <si>
    <t>Project duration = 2 years</t>
  </si>
  <si>
    <t>Planned production capacity = 5,690 t/yr.</t>
  </si>
  <si>
    <t>Geo Stevia</t>
  </si>
  <si>
    <t>Planned production capacity = 400 t/yr.</t>
  </si>
  <si>
    <t>=</t>
  </si>
  <si>
    <t>Equipment</t>
  </si>
  <si>
    <t>Chem's, Matls</t>
  </si>
  <si>
    <t>HW/steam supply</t>
  </si>
  <si>
    <t>Metal bldg. on slab</t>
  </si>
  <si>
    <t>Install'n/training</t>
  </si>
  <si>
    <t>Wkg. cap</t>
  </si>
  <si>
    <t>Import tax</t>
  </si>
  <si>
    <t>QC laboratory</t>
  </si>
  <si>
    <t>Transp. border--&gt;site</t>
  </si>
  <si>
    <t>Overhead</t>
  </si>
  <si>
    <t>Breakdown</t>
  </si>
  <si>
    <t>One-time import tax</t>
  </si>
  <si>
    <t>10 months @ 100% capacity</t>
  </si>
  <si>
    <t xml:space="preserve">Half revenues in year one, </t>
  </si>
  <si>
    <t xml:space="preserve">   full revenues after that.</t>
  </si>
  <si>
    <t>GEL/$</t>
  </si>
  <si>
    <t>Lari/kg</t>
  </si>
  <si>
    <t>$/kg</t>
  </si>
  <si>
    <t>Price of product =</t>
  </si>
  <si>
    <t>Energy for 1kg prod.</t>
  </si>
  <si>
    <t>kWh</t>
  </si>
  <si>
    <t>Exchange rate</t>
  </si>
  <si>
    <t xml:space="preserve">Use </t>
  </si>
  <si>
    <t xml:space="preserve">Assume that numbers in business plans are computed for 2003 as well, so no need to inflate.  </t>
  </si>
  <si>
    <t>Unemployment rate, 2003 =</t>
  </si>
  <si>
    <t>(30% leverage)</t>
  </si>
  <si>
    <t xml:space="preserve">Adjusted for unemployment rate, the expected (workers') wage is </t>
  </si>
  <si>
    <t xml:space="preserve">Assume that managers in this industry are paid </t>
  </si>
  <si>
    <t>times what workers are paid.</t>
  </si>
  <si>
    <t>Assume that unemployment rate for managers is</t>
  </si>
  <si>
    <t>That is, we subtract this figure from (low) wage figures to get net incremental (low) wages.</t>
  </si>
  <si>
    <t>of the general unemployment rate, or</t>
  </si>
  <si>
    <t xml:space="preserve">Adjusted for unemployment rate, the expected (managers') wage is </t>
  </si>
  <si>
    <t xml:space="preserve">Avg monthly wage for mfr. of food products and beverages for 2003 = </t>
  </si>
  <si>
    <t>Therefore, average monthly wage for managers in mfr. of food products and beverages for 2003 =</t>
  </si>
  <si>
    <t>That is, we subtract this figure from (high) wage figures to get net incremental (high) wages.</t>
  </si>
  <si>
    <t>Average (low) wage for projects where we have wages:</t>
  </si>
  <si>
    <t>Average farming wage for 2003 =</t>
  </si>
  <si>
    <t>Assume that unemployment rate for farmers is</t>
  </si>
  <si>
    <t xml:space="preserve">Adjusted for unemployment rate, the expected farmers' wage is </t>
  </si>
  <si>
    <t>Use these figures to estimate total employment where investment but not number of employees is given.</t>
  </si>
  <si>
    <t xml:space="preserve">Assume </t>
  </si>
  <si>
    <t>of total employees are low-wage employees ("workers")</t>
  </si>
  <si>
    <t>Average tax rate on net profit (where we have data):</t>
  </si>
  <si>
    <t>SUM</t>
  </si>
  <si>
    <t xml:space="preserve">FIRR = </t>
  </si>
  <si>
    <t>Other beneficiaries</t>
  </si>
  <si>
    <t>Taxes</t>
  </si>
  <si>
    <t>GRAND SUM</t>
  </si>
  <si>
    <t xml:space="preserve">Assuming a </t>
  </si>
  <si>
    <t xml:space="preserve">profit margin, net profit p.a. is </t>
  </si>
  <si>
    <t>Gross sales =</t>
  </si>
  <si>
    <t>per year</t>
  </si>
  <si>
    <t>Net Wages</t>
  </si>
  <si>
    <t xml:space="preserve">Profits+Wages </t>
  </si>
  <si>
    <t>Profits+Wages+Taxes</t>
  </si>
  <si>
    <r>
      <t>EIRR(</t>
    </r>
    <r>
      <rPr>
        <sz val="10"/>
        <rFont val="Times New Roman"/>
        <family val="1"/>
      </rPr>
      <t>π</t>
    </r>
    <r>
      <rPr>
        <sz val="8.5"/>
        <rFont val="Arial"/>
        <family val="0"/>
      </rPr>
      <t>,</t>
    </r>
    <r>
      <rPr>
        <sz val="10"/>
        <rFont val="Arial"/>
        <family val="0"/>
      </rPr>
      <t xml:space="preserve">W,T) = </t>
    </r>
  </si>
  <si>
    <r>
      <t>EIRR(</t>
    </r>
    <r>
      <rPr>
        <sz val="10"/>
        <rFont val="Times New Roman"/>
        <family val="1"/>
      </rPr>
      <t>π</t>
    </r>
    <r>
      <rPr>
        <sz val="8.5"/>
        <rFont val="Arial"/>
        <family val="0"/>
      </rPr>
      <t>,</t>
    </r>
    <r>
      <rPr>
        <sz val="10"/>
        <rFont val="Arial"/>
        <family val="0"/>
      </rPr>
      <t xml:space="preserve">W) = </t>
    </r>
  </si>
  <si>
    <t>Project</t>
  </si>
  <si>
    <t>FIRR</t>
  </si>
  <si>
    <t>No.</t>
  </si>
  <si>
    <t>Wood proc</t>
  </si>
  <si>
    <t>Fruit conc</t>
  </si>
  <si>
    <t>Honey</t>
  </si>
  <si>
    <t>Geo Specialty Tea</t>
  </si>
  <si>
    <t>Apple juice conc. - Kaspi</t>
  </si>
  <si>
    <t>Clean Citrus Prod's</t>
  </si>
  <si>
    <t>High qual greens</t>
  </si>
  <si>
    <t>Tomato prod's</t>
  </si>
  <si>
    <t>Nabeghlavi</t>
  </si>
  <si>
    <t>--</t>
  </si>
  <si>
    <t>Summary statistics:</t>
  </si>
  <si>
    <t># months of farmer sales:</t>
  </si>
  <si>
    <t>mo.</t>
  </si>
  <si>
    <t>citrus</t>
  </si>
  <si>
    <t>tea</t>
  </si>
  <si>
    <t>(See below for notes)</t>
  </si>
  <si>
    <t>30%?</t>
  </si>
  <si>
    <t>Average income for our primary producers (where we have data):</t>
  </si>
  <si>
    <t>Assume that</t>
  </si>
  <si>
    <t>of farmers' wages represent "operating profit," net of operating costs</t>
  </si>
  <si>
    <t>Average farming operating profit for 2003 =</t>
  </si>
  <si>
    <t xml:space="preserve">Adjusted for unemployment rate, the expected farmers' operating profit is </t>
  </si>
  <si>
    <t>Average operating profit for our primary producers (where we have data):</t>
  </si>
  <si>
    <t>Avg prod'n per farmer</t>
  </si>
  <si>
    <t>kg</t>
  </si>
  <si>
    <t>Avg. selling price</t>
  </si>
  <si>
    <t>Avg. price paid to farmers</t>
  </si>
  <si>
    <t>(1)</t>
  </si>
  <si>
    <t>(2)</t>
  </si>
  <si>
    <t>(3)</t>
  </si>
  <si>
    <t>(4)</t>
  </si>
  <si>
    <t>(2) -- (1)</t>
  </si>
  <si>
    <t>(3) -- (1)</t>
  </si>
  <si>
    <t>(4) -- (1)</t>
  </si>
  <si>
    <t>Capital investment</t>
  </si>
  <si>
    <t>(Million dollars)</t>
  </si>
  <si>
    <r>
      <t>EIRR(</t>
    </r>
    <r>
      <rPr>
        <sz val="10"/>
        <rFont val="Times New Roman"/>
        <family val="1"/>
      </rPr>
      <t>π</t>
    </r>
    <r>
      <rPr>
        <sz val="8.5"/>
        <rFont val="Arial"/>
        <family val="0"/>
      </rPr>
      <t>,</t>
    </r>
    <r>
      <rPr>
        <sz val="10"/>
        <rFont val="Arial"/>
        <family val="0"/>
      </rPr>
      <t xml:space="preserve">W,T,OB) = </t>
    </r>
  </si>
  <si>
    <t>Other var. cost</t>
  </si>
  <si>
    <t>(All currency figures in USD)</t>
  </si>
  <si>
    <t>GEL/mo.</t>
  </si>
  <si>
    <t>GEL/mo. as round figure</t>
  </si>
  <si>
    <t>Average employees per million dollars investment capital (where we have data):</t>
  </si>
  <si>
    <t>Weighted average</t>
  </si>
  <si>
    <t>Simple average</t>
  </si>
  <si>
    <t>Median</t>
  </si>
  <si>
    <t>Avg. plot size =</t>
  </si>
  <si>
    <t>ha</t>
  </si>
  <si>
    <t>Key:</t>
  </si>
  <si>
    <t>Profits</t>
  </si>
  <si>
    <t>Wages</t>
  </si>
  <si>
    <t>W</t>
  </si>
  <si>
    <t>T</t>
  </si>
  <si>
    <t>OB</t>
  </si>
  <si>
    <t>π</t>
  </si>
  <si>
    <t>EIRR</t>
  </si>
  <si>
    <t>Financial internal rate of return</t>
  </si>
  <si>
    <t>Economic internal rate of return</t>
  </si>
  <si>
    <r>
      <t>EIRR(</t>
    </r>
    <r>
      <rPr>
        <sz val="10"/>
        <rFont val="Times New Roman"/>
        <family val="1"/>
      </rPr>
      <t>π</t>
    </r>
    <r>
      <rPr>
        <sz val="10"/>
        <rFont val="Arial"/>
        <family val="0"/>
      </rPr>
      <t>,W)</t>
    </r>
  </si>
  <si>
    <r>
      <t>EIRR(</t>
    </r>
    <r>
      <rPr>
        <sz val="10"/>
        <rFont val="Times New Roman"/>
        <family val="1"/>
      </rPr>
      <t>π</t>
    </r>
    <r>
      <rPr>
        <sz val="10"/>
        <rFont val="Arial"/>
        <family val="0"/>
      </rPr>
      <t>,W,T)</t>
    </r>
  </si>
  <si>
    <r>
      <t>EIRR(</t>
    </r>
    <r>
      <rPr>
        <sz val="10"/>
        <rFont val="Times New Roman"/>
        <family val="1"/>
      </rPr>
      <t>π</t>
    </r>
    <r>
      <rPr>
        <sz val="10"/>
        <rFont val="Arial"/>
        <family val="0"/>
      </rPr>
      <t>,W,T,OB)</t>
    </r>
  </si>
  <si>
    <t>Increment between</t>
  </si>
  <si>
    <t>EIRR(π,W) and FIRR</t>
  </si>
  <si>
    <t>EIRR(π,W,T) and FIRR</t>
  </si>
  <si>
    <t>EIRR(π,W,T,OB) and FIRR</t>
  </si>
  <si>
    <t>ERR</t>
  </si>
  <si>
    <t xml:space="preserve">Normally farms are very small (several mature trees) and scattered.  </t>
  </si>
  <si>
    <t>Project name</t>
  </si>
  <si>
    <t>Georgia Regional Development Fund</t>
  </si>
  <si>
    <t>Amount of MCC funds</t>
  </si>
  <si>
    <t>$32.5 million</t>
  </si>
  <si>
    <t>Estimated ERR and time horizon</t>
  </si>
  <si>
    <t>26% over 15 years</t>
  </si>
  <si>
    <t>Benefit streams included in ERR</t>
  </si>
  <si>
    <t>Costs included in ERR (other than costs borne by MCC)</t>
  </si>
  <si>
    <t>Project description</t>
  </si>
  <si>
    <t>Last updated:  7/7/2005</t>
  </si>
  <si>
    <t>Enterprise Development Project</t>
  </si>
  <si>
    <t>Incremental profits of entrepreneurs</t>
  </si>
  <si>
    <t>Incremental wages of employees</t>
  </si>
  <si>
    <t>Higher costs associated with increased production are implicit in incremental profits</t>
  </si>
  <si>
    <t>Spreadsheet version</t>
  </si>
  <si>
    <t>Investment memo, final</t>
  </si>
  <si>
    <t>Date</t>
  </si>
  <si>
    <t>Worksheets in this file</t>
  </si>
  <si>
    <t>Activity Description</t>
  </si>
  <si>
    <t>One should read this sheet first, as it offers a summary of the activity, a list of components, and states the economic rationale for the project.</t>
  </si>
  <si>
    <t>ERR &amp; Sensitivity Analysis</t>
  </si>
  <si>
    <t>A brief summary of the project's key parameters and ERR calculations.</t>
  </si>
  <si>
    <t>Summary</t>
  </si>
  <si>
    <t>Components</t>
  </si>
  <si>
    <t>Economic Rationale</t>
  </si>
  <si>
    <r>
      <t>The objective of the Fund is to increase profitable investments in small and medium enterprises (SMEs), particularly in the regions.</t>
    </r>
    <r>
      <rPr>
        <sz val="10"/>
        <color indexed="8"/>
        <rFont val="Arial"/>
        <family val="2"/>
      </rPr>
      <t xml:space="preserve"> The Activity will create a professionally and independently managed investment fund to co-invest development capital to small and medium sized companies, provide technical assistance for portfolio companies and identify </t>
    </r>
    <r>
      <rPr>
        <sz val="10"/>
        <rFont val="Arial"/>
        <family val="2"/>
      </rPr>
      <t>legal and policy reforms needed to encourage further investment in SMEs.</t>
    </r>
  </si>
  <si>
    <t>The Investment Fund Activity involves three sub-activities:</t>
  </si>
  <si>
    <t>Total</t>
  </si>
  <si>
    <t>ERR and sensitivity analysis</t>
  </si>
  <si>
    <t>Description of key parameters</t>
  </si>
  <si>
    <t>Parameter values</t>
  </si>
  <si>
    <t>Values used in ERR computation</t>
  </si>
  <si>
    <t>Economic rate of return (ERR):</t>
  </si>
  <si>
    <t>Parameter type</t>
  </si>
  <si>
    <t>User Input</t>
  </si>
  <si>
    <t>MCC Estimate</t>
  </si>
  <si>
    <t>Plausible Range</t>
  </si>
  <si>
    <t>Actual costs as a percentage of estimated costs</t>
  </si>
  <si>
    <t>80 - 120%</t>
  </si>
  <si>
    <t>Actual benefits as a percentage of estimated benefits</t>
  </si>
  <si>
    <t>Specific</t>
  </si>
  <si>
    <t>All summary parameters set to initial values?</t>
  </si>
  <si>
    <t xml:space="preserve">   More Info</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</si>
  <si>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</si>
  <si>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r>
      <t xml:space="preserve">   </t>
    </r>
    <r>
      <rPr>
        <u val="single"/>
        <sz val="10"/>
        <color indexed="12"/>
        <rFont val="Arial"/>
        <family val="0"/>
      </rPr>
      <t>Activity Description</t>
    </r>
  </si>
  <si>
    <r>
      <t xml:space="preserve">   </t>
    </r>
    <r>
      <rPr>
        <u val="single"/>
        <sz val="10"/>
        <color indexed="12"/>
        <rFont val="Arial"/>
        <family val="0"/>
      </rPr>
      <t>User's Guide</t>
    </r>
  </si>
  <si>
    <r>
      <t xml:space="preserve">MCC Estimated ERR </t>
    </r>
    <r>
      <rPr>
        <b/>
        <sz val="8"/>
        <rFont val="Arial"/>
        <family val="2"/>
      </rPr>
      <t>(as of 7/7/2005)</t>
    </r>
    <r>
      <rPr>
        <b/>
        <sz val="10"/>
        <rFont val="Arial"/>
        <family val="2"/>
      </rPr>
      <t>:</t>
    </r>
  </si>
  <si>
    <t>Cost Scenario</t>
  </si>
  <si>
    <t>Benefit Scenario</t>
  </si>
  <si>
    <t>(baseline 139.8)</t>
  </si>
  <si>
    <t>(baseline 11.5%)</t>
  </si>
  <si>
    <t>Unemployment rate</t>
  </si>
  <si>
    <t>Wage ratio of management/average worker</t>
  </si>
  <si>
    <t>Average farming wage (GEL/month)</t>
  </si>
  <si>
    <t>Ratio of manager unemployment/worker unemployment</t>
  </si>
  <si>
    <t>(baseline 47.6)</t>
  </si>
  <si>
    <t>Ratio of farmer unemployment rate/general unemployment rate</t>
  </si>
  <si>
    <t>Farmers' operating profit as a percentage of wages</t>
  </si>
  <si>
    <t>(baseline 15%)</t>
  </si>
  <si>
    <t>Average monthly wage for manufacturers of food products and beverages (GEL/month)</t>
  </si>
  <si>
    <t>2 - 5</t>
  </si>
  <si>
    <t>0.3 - 0.6</t>
  </si>
  <si>
    <t>100 - 200</t>
  </si>
  <si>
    <t>0.75 - 2.00</t>
  </si>
  <si>
    <t>35 - 100</t>
  </si>
  <si>
    <t>10 - 20%</t>
  </si>
  <si>
    <t>9 - 14%</t>
  </si>
  <si>
    <t>Undiscounted Annual Net Benefits</t>
  </si>
  <si>
    <t>Shows the capital expenditure and ERR of Small Enterprise Assistance Funds (SEAF) projects, which are comparable in scope to expected GRDF investments.  The overall ERR is calculated using a weighted average of these individual ERRs.</t>
  </si>
  <si>
    <t>Compares the annual economic costs and benefits of an SEAF investment in the dairy sector and computes the resulting ERR over a 15-year time period.</t>
  </si>
  <si>
    <t>Lists the key assumptions used in the analyses.</t>
  </si>
  <si>
    <t>Compares the annual economic costs and benefits of an SEAF investment in the wood processing sector and computes the resulting ERR over a 15-year time period.</t>
  </si>
  <si>
    <t>Compares the annual economic costs and benefits of an SEAF investment in the fruit concentrate production industry and computes the resulting ERR over a 15-year time period.</t>
  </si>
  <si>
    <t>Compares the annual economic costs and benefits of an SEAF investment in the specialty mountain honey industry and computes the resulting ERR over a 15-year time period.</t>
  </si>
  <si>
    <t>Compares the annual economic costs and benefits of an SEAF investment in the Georgian Specialty Tea Project and computes the resulting ERR over a 15-year time period.</t>
  </si>
  <si>
    <t>Compares the annual economic costs and benefits of an SEAF investment in apple juice concentrate production in the Kaspi district and computes the resulting ERR over a 15-year time period.</t>
  </si>
  <si>
    <t>Compares the annual economic costs and benefits of an SEAF investment in a tourist center in the Kobuleti district and computes the resulting ERR over a 15-year time period.</t>
  </si>
  <si>
    <t>Compares the annual economic costs and benefits of an SEAF investment in the production of high quality, ecologically clean citrus plants and tea products and computes the resulting ERR over a 15-year time period.</t>
  </si>
  <si>
    <t>Compares the annual economic costs and benefits of an SEAF investment in sunflower seed oil production and computes the resulting ERR over a 15-year time period.</t>
  </si>
  <si>
    <t>Compares the annual economic costs and benefits of an SEAF investment in high quality greens growing and production in Tskhaltubo district of Imereti region and computes the resulting ERR over a 15-year time period.</t>
  </si>
  <si>
    <t>Compares the annual economic costs and benefits of an SEAF investment in growing stevia, a sugarlike herb, in Guria region and computes the resulting ERR over a 15-year time period.</t>
  </si>
  <si>
    <t>Compares the annual economic costs and benefits of an SEAF investment in tomato cultivation and production and computes the resulting ERR over a 15-year time period.</t>
  </si>
  <si>
    <t>Compares the annual economic costs and benefits of an SEAF investment in the production of flavored Nabeghlavi mineral water and computes the resulting ERR over a 15-year time period.</t>
  </si>
  <si>
    <t>Key assumptions</t>
  </si>
  <si>
    <t xml:space="preserve">     The objective of the Fund is to increase profitable investments in small and medium enterprises (SMEs). The Activity will create a professionally and independently managed investment fund to co-invest development capital in small and medium sized companies, provide technical assistance for portfolio companies and identify legal and policy reforms needed to encourage further investment in SMEs.</t>
  </si>
  <si>
    <r>
      <t xml:space="preserve">     1.  </t>
    </r>
    <r>
      <rPr>
        <i/>
        <sz val="10"/>
        <rFont val="Arial"/>
        <family val="2"/>
      </rPr>
      <t>Creation and capitalization of the Georgia Regional Development Fund (GRDF)</t>
    </r>
    <r>
      <rPr>
        <sz val="10"/>
        <rFont val="Arial"/>
        <family val="0"/>
      </rPr>
      <t>.  The GRDF will be managed by a 
            professional, independent and qualified investment manager, a governing board comprised of individuals with financial 
            and development experience, and an investment board responsible for approving investments and monitoring the 
            performance of those investments.  The GRDF will operate over a ten year period and will make new investments during 
            the “initial investment period” of the first five years. The fund will invest primarily in existing small and medium enterprises 
            (SMEs) that are agribusinesses, tourism businesses and businesses in other promising sectors of the economy, 
            primarily outside of Tbilisi. The fund may also invest, to a very limited extent, in start-up companies in those sectors. 
            Investments in equity, quasi-equity and debt will be permitted, subject to limits.  During the 
            “wind down period” of the final five years, the Fund will only make follow-on investments in companies in which it already 
            has an interest, for the purposes of protecting or enhancing its investment.</t>
    </r>
  </si>
  <si>
    <t xml:space="preserve">     Expected economic returns (ERR) have been estimated using indicative Georgian investment proposals in agribusiness and tourism that were drawn from Georgian entrepreneurs encountered during MCC due diligence. Analysis suggests an ERR of 26 percent. This reflects underlying benefits in net profit, wages paid, taxes paid, and payments to local suppliers, particularly farmers in the case of agribusiness projects. This definition is conservative because it ignores benefits that may accrue to competitors, local communities, suppliers of related products, financial institutions, or other parties, as well as any “spillover” benefits to the economy. However, this definition does account for the expected net IRR of –2.5 percent noted above.</t>
  </si>
  <si>
    <t>NB: Currency figures on this page in GEL</t>
  </si>
  <si>
    <t>Key Parameters and Assumptions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</si>
</sst>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0%"/>
    <numFmt numFmtId="167" formatCode="0.000000000000000%"/>
    <numFmt numFmtId="168" formatCode="&quot;Yes&quot;;&quot;Yes&quot;;&quot;No&quot;"/>
    <numFmt numFmtId="169" formatCode="&quot;True&quot;;&quot;True&quot;;&quot;False&quot;"/>
    <numFmt numFmtId="170" formatCode="&quot;On&quot;;&quot;On&quot;;&quot;Off&quot;"/>
    <numFmt numFmtId="171" formatCode="[$€-2]\ #,##0.00_);[Red]\([$€-2]\ #,##0.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00"/>
    <numFmt numFmtId="180" formatCode="0.000"/>
    <numFmt numFmtId="181" formatCode="_([$$-409]* #,##0.00_);_([$$-409]* \(#,##0.00\);_([$$-409]* &quot;-&quot;??_);_(@_)"/>
    <numFmt numFmtId="182" formatCode="#,##0.000"/>
    <numFmt numFmtId="183" formatCode="#,##0.0"/>
    <numFmt numFmtId="184" formatCode="_([$$-409]* #,##0.000_);_([$$-409]* \(#,##0.000\);_([$$-409]* &quot;-&quot;??_);_(@_)"/>
    <numFmt numFmtId="185" formatCode="_([$$-409]* #,##0.0_);_([$$-409]* \(#,##0.0\);_([$$-409]* &quot;-&quot;??_);_(@_)"/>
    <numFmt numFmtId="186" formatCode="_([$$-409]* #,##0_);_([$$-409]* \(#,##0\);_([$$-409]* &quot;-&quot;??_);_(@_)"/>
    <numFmt numFmtId="187" formatCode="0.0"/>
    <numFmt numFmtId="188" formatCode="&quot;$&quot;#,##0"/>
    <numFmt numFmtId="189" formatCode="[$$-409]#,##0"/>
    <numFmt numFmtId="190" formatCode="&quot;$&quot;#,##0.0"/>
    <numFmt numFmtId="191" formatCode="&quot;$&quot;#,##0.000"/>
    <numFmt numFmtId="192" formatCode="_(* #,##0_);_(* \(#,##0\);_(* &quot;-&quot;??_);_(@_)"/>
    <numFmt numFmtId="193" formatCode="0.000%"/>
    <numFmt numFmtId="194" formatCode="&quot;$&quot;#,##0.000_);\(&quot;$&quot;#,##0.000\)"/>
    <numFmt numFmtId="195" formatCode="#,##0.0_);\(#,##0.0\)"/>
  </numFmts>
  <fonts count="26">
    <font>
      <sz val="10"/>
      <name val="Arial"/>
      <family val="0"/>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sz val="10"/>
      <name val="Times New Roman"/>
      <family val="1"/>
    </font>
    <font>
      <sz val="8.5"/>
      <name val="Arial"/>
      <family val="0"/>
    </font>
    <font>
      <b/>
      <sz val="10"/>
      <name val="Arial"/>
      <family val="2"/>
    </font>
    <font>
      <sz val="10"/>
      <color indexed="8"/>
      <name val="Arial"/>
      <family val="2"/>
    </font>
    <font>
      <sz val="8"/>
      <color indexed="17"/>
      <name val="Arial"/>
      <family val="0"/>
    </font>
    <font>
      <b/>
      <sz val="16"/>
      <name val="Arial"/>
      <family val="2"/>
    </font>
    <font>
      <sz val="14"/>
      <name val="Arial"/>
      <family val="0"/>
    </font>
    <font>
      <i/>
      <sz val="10"/>
      <name val="Arial"/>
      <family val="2"/>
    </font>
    <font>
      <b/>
      <sz val="10"/>
      <color indexed="12"/>
      <name val="Arial"/>
      <family val="2"/>
    </font>
    <font>
      <b/>
      <sz val="18"/>
      <color indexed="32"/>
      <name val="Arial"/>
      <family val="2"/>
    </font>
    <font>
      <sz val="10"/>
      <color indexed="12"/>
      <name val="Arial"/>
      <family val="2"/>
    </font>
    <font>
      <b/>
      <sz val="12"/>
      <name val="Arial"/>
      <family val="2"/>
    </font>
    <font>
      <sz val="10"/>
      <color indexed="23"/>
      <name val="Arial"/>
      <family val="2"/>
    </font>
    <font>
      <b/>
      <sz val="10"/>
      <color indexed="55"/>
      <name val="Arial"/>
      <family val="2"/>
    </font>
    <font>
      <sz val="10"/>
      <color indexed="9"/>
      <name val="Arial"/>
      <family val="2"/>
    </font>
    <font>
      <b/>
      <sz val="10"/>
      <color indexed="9"/>
      <name val="Arial"/>
      <family val="2"/>
    </font>
    <font>
      <b/>
      <sz val="8"/>
      <name val="Arial"/>
      <family val="2"/>
    </font>
    <font>
      <sz val="9.75"/>
      <name val="Arial"/>
      <family val="0"/>
    </font>
    <font>
      <b/>
      <sz val="9.75"/>
      <name val="Arial"/>
      <family val="0"/>
    </font>
    <font>
      <b/>
      <sz val="14"/>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1"/>
        <bgColor indexed="64"/>
      </patternFill>
    </fill>
  </fills>
  <borders count="52">
    <border>
      <left/>
      <right/>
      <top/>
      <bottom/>
      <diagonal/>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uble"/>
      <right style="thin"/>
      <top>
        <color indexed="63"/>
      </top>
      <bottom style="thin"/>
    </border>
    <border>
      <left style="double"/>
      <right style="thin"/>
      <top style="thin"/>
      <bottom style="thin"/>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style="thin"/>
    </border>
    <border>
      <left style="thin"/>
      <right style="double"/>
      <top style="thin"/>
      <bottom style="thin"/>
    </border>
    <border>
      <left style="thin"/>
      <right style="double"/>
      <top>
        <color indexed="63"/>
      </top>
      <bottom>
        <color indexed="63"/>
      </bottom>
    </border>
    <border>
      <left style="thin"/>
      <right style="double"/>
      <top>
        <color indexed="63"/>
      </top>
      <bottom style="double"/>
    </border>
    <border>
      <left style="thin"/>
      <right>
        <color indexed="63"/>
      </right>
      <top>
        <color indexed="63"/>
      </top>
      <bottom style="medium"/>
    </border>
    <border>
      <left style="thin"/>
      <right style="thin"/>
      <top style="thin"/>
      <bottom style="mediu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double"/>
      <top style="double"/>
      <bottom>
        <color indexed="63"/>
      </bottom>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double"/>
    </border>
    <border>
      <left style="double"/>
      <right style="thin"/>
      <top style="double"/>
      <bottom style="thin"/>
    </border>
    <border>
      <left style="double"/>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0" fillId="0" borderId="0" xfId="0" applyAlignment="1">
      <alignment/>
    </xf>
    <xf numFmtId="0" fontId="0" fillId="0" borderId="1" xfId="0" applyBorder="1" applyAlignment="1">
      <alignment horizontal="center"/>
    </xf>
    <xf numFmtId="0" fontId="0" fillId="0" borderId="1" xfId="0" applyBorder="1" applyAlignment="1">
      <alignment/>
    </xf>
    <xf numFmtId="9" fontId="0" fillId="0" borderId="0" xfId="0" applyNumberFormat="1" applyAlignment="1">
      <alignment/>
    </xf>
    <xf numFmtId="3" fontId="0" fillId="0" borderId="0" xfId="0" applyNumberFormat="1" applyAlignment="1">
      <alignment/>
    </xf>
    <xf numFmtId="0" fontId="0" fillId="0" borderId="0" xfId="0" applyBorder="1" applyAlignment="1">
      <alignment horizontal="center"/>
    </xf>
    <xf numFmtId="0" fontId="0" fillId="0" borderId="0" xfId="0" applyAlignment="1">
      <alignment horizontal="center"/>
    </xf>
    <xf numFmtId="3" fontId="0" fillId="0" borderId="1" xfId="0" applyNumberFormat="1" applyBorder="1" applyAlignment="1">
      <alignment/>
    </xf>
    <xf numFmtId="9" fontId="0" fillId="0" borderId="0" xfId="0" applyNumberFormat="1" applyAlignment="1">
      <alignment horizontal="center"/>
    </xf>
    <xf numFmtId="4" fontId="0" fillId="0" borderId="0" xfId="0" applyNumberFormat="1" applyAlignment="1">
      <alignment/>
    </xf>
    <xf numFmtId="0" fontId="0" fillId="0" borderId="0" xfId="0" applyAlignment="1">
      <alignment horizontal="right"/>
    </xf>
    <xf numFmtId="165" fontId="0" fillId="0" borderId="0" xfId="0" applyNumberFormat="1" applyAlignment="1">
      <alignment/>
    </xf>
    <xf numFmtId="2" fontId="0" fillId="0" borderId="0" xfId="0" applyNumberFormat="1" applyAlignment="1">
      <alignment/>
    </xf>
    <xf numFmtId="2" fontId="0" fillId="0" borderId="0" xfId="0" applyNumberFormat="1" applyAlignment="1">
      <alignment horizontal="center"/>
    </xf>
    <xf numFmtId="10" fontId="0" fillId="0" borderId="0" xfId="0" applyNumberFormat="1" applyAlignment="1">
      <alignment/>
    </xf>
    <xf numFmtId="1" fontId="0" fillId="0" borderId="0" xfId="0" applyNumberFormat="1" applyAlignment="1">
      <alignment/>
    </xf>
    <xf numFmtId="1" fontId="0" fillId="0" borderId="0" xfId="0" applyNumberFormat="1" applyAlignment="1">
      <alignment horizontal="center"/>
    </xf>
    <xf numFmtId="0" fontId="0" fillId="0" borderId="2" xfId="0" applyBorder="1" applyAlignment="1">
      <alignment horizontal="right"/>
    </xf>
    <xf numFmtId="165" fontId="0" fillId="0" borderId="3" xfId="0" applyNumberFormat="1" applyBorder="1" applyAlignment="1">
      <alignment/>
    </xf>
    <xf numFmtId="3" fontId="0" fillId="0" borderId="0" xfId="0" applyNumberFormat="1" applyAlignment="1">
      <alignment horizontal="center"/>
    </xf>
    <xf numFmtId="3" fontId="0" fillId="0" borderId="0" xfId="0" applyNumberFormat="1" applyFill="1" applyBorder="1" applyAlignment="1">
      <alignment/>
    </xf>
    <xf numFmtId="0" fontId="0" fillId="0" borderId="0" xfId="0" applyBorder="1" applyAlignment="1">
      <alignment horizontal="right"/>
    </xf>
    <xf numFmtId="165" fontId="0" fillId="0" borderId="0" xfId="0" applyNumberFormat="1" applyBorder="1" applyAlignment="1">
      <alignment/>
    </xf>
    <xf numFmtId="0" fontId="0" fillId="0" borderId="4" xfId="0" applyBorder="1" applyAlignment="1">
      <alignment/>
    </xf>
    <xf numFmtId="0" fontId="0" fillId="0" borderId="4" xfId="0" applyBorder="1" applyAlignment="1">
      <alignment horizontal="center"/>
    </xf>
    <xf numFmtId="0" fontId="0" fillId="0" borderId="4" xfId="0" applyBorder="1" applyAlignment="1" quotePrefix="1">
      <alignment horizontal="center"/>
    </xf>
    <xf numFmtId="165" fontId="0" fillId="0" borderId="0" xfId="0" applyNumberFormat="1" applyAlignment="1">
      <alignment horizontal="center"/>
    </xf>
    <xf numFmtId="0" fontId="0" fillId="0" borderId="0" xfId="0" applyAlignment="1" quotePrefix="1">
      <alignment horizontal="center"/>
    </xf>
    <xf numFmtId="0" fontId="0" fillId="0" borderId="5" xfId="0" applyBorder="1" applyAlignment="1">
      <alignment/>
    </xf>
    <xf numFmtId="165" fontId="0" fillId="0" borderId="6" xfId="0" applyNumberFormat="1" applyBorder="1" applyAlignment="1">
      <alignment horizontal="center"/>
    </xf>
    <xf numFmtId="165" fontId="0" fillId="0" borderId="5" xfId="0" applyNumberFormat="1" applyBorder="1" applyAlignment="1">
      <alignment horizontal="center"/>
    </xf>
    <xf numFmtId="0" fontId="0" fillId="0" borderId="7" xfId="0" applyBorder="1" applyAlignment="1" quotePrefix="1">
      <alignment horizontal="center"/>
    </xf>
    <xf numFmtId="0" fontId="0" fillId="0" borderId="8" xfId="0" applyBorder="1" applyAlignment="1">
      <alignment/>
    </xf>
    <xf numFmtId="3" fontId="0" fillId="0" borderId="9" xfId="0" applyNumberFormat="1" applyBorder="1" applyAlignment="1">
      <alignment/>
    </xf>
    <xf numFmtId="3" fontId="0" fillId="0" borderId="10" xfId="0" applyNumberFormat="1" applyBorder="1" applyAlignment="1">
      <alignment/>
    </xf>
    <xf numFmtId="165" fontId="0" fillId="0" borderId="0" xfId="0" applyNumberFormat="1" applyBorder="1" applyAlignment="1">
      <alignment horizontal="center"/>
    </xf>
    <xf numFmtId="0" fontId="6" fillId="0" borderId="0" xfId="0" applyFont="1" applyAlignment="1">
      <alignment horizontal="center"/>
    </xf>
    <xf numFmtId="0" fontId="0" fillId="0" borderId="0" xfId="0" applyBorder="1" applyAlignment="1">
      <alignment/>
    </xf>
    <xf numFmtId="0" fontId="0" fillId="0" borderId="4" xfId="0" applyBorder="1" applyAlignment="1">
      <alignment/>
    </xf>
    <xf numFmtId="0" fontId="0" fillId="0" borderId="6" xfId="0" applyBorder="1" applyAlignment="1">
      <alignment/>
    </xf>
    <xf numFmtId="0" fontId="0" fillId="0" borderId="11" xfId="0" applyBorder="1" applyAlignment="1">
      <alignment/>
    </xf>
    <xf numFmtId="0" fontId="0" fillId="0" borderId="12" xfId="0" applyBorder="1" applyAlignment="1">
      <alignment/>
    </xf>
    <xf numFmtId="165" fontId="0" fillId="0" borderId="13" xfId="0" applyNumberFormat="1" applyBorder="1" applyAlignment="1">
      <alignment horizontal="center"/>
    </xf>
    <xf numFmtId="0" fontId="0" fillId="0" borderId="7" xfId="0" applyBorder="1" applyAlignment="1">
      <alignment/>
    </xf>
    <xf numFmtId="165" fontId="0" fillId="0" borderId="4" xfId="0" applyNumberFormat="1" applyBorder="1" applyAlignment="1">
      <alignment horizontal="center"/>
    </xf>
    <xf numFmtId="165" fontId="0" fillId="0" borderId="14" xfId="0" applyNumberFormat="1" applyBorder="1" applyAlignment="1">
      <alignment horizontal="center"/>
    </xf>
    <xf numFmtId="0" fontId="0" fillId="0" borderId="9" xfId="0" applyBorder="1" applyAlignment="1">
      <alignment/>
    </xf>
    <xf numFmtId="0" fontId="0" fillId="0" borderId="14" xfId="0" applyBorder="1" applyAlignment="1">
      <alignment/>
    </xf>
    <xf numFmtId="3" fontId="0" fillId="0" borderId="5" xfId="0" applyNumberFormat="1" applyBorder="1" applyAlignment="1">
      <alignment horizontal="center"/>
    </xf>
    <xf numFmtId="0" fontId="0" fillId="2" borderId="5" xfId="0" applyFill="1" applyBorder="1" applyAlignment="1">
      <alignment/>
    </xf>
    <xf numFmtId="0" fontId="0" fillId="2" borderId="0" xfId="0" applyFill="1" applyBorder="1" applyAlignment="1">
      <alignment/>
    </xf>
    <xf numFmtId="165" fontId="0" fillId="2" borderId="0" xfId="0" applyNumberFormat="1" applyFill="1" applyBorder="1" applyAlignment="1">
      <alignment horizontal="center"/>
    </xf>
    <xf numFmtId="165" fontId="0" fillId="2" borderId="13" xfId="0" applyNumberFormat="1" applyFill="1" applyBorder="1" applyAlignment="1">
      <alignment horizontal="center"/>
    </xf>
    <xf numFmtId="3" fontId="0" fillId="0" borderId="6" xfId="0" applyNumberFormat="1" applyBorder="1" applyAlignment="1">
      <alignment/>
    </xf>
    <xf numFmtId="3" fontId="0" fillId="0" borderId="5" xfId="0" applyNumberFormat="1" applyBorder="1" applyAlignment="1">
      <alignment/>
    </xf>
    <xf numFmtId="0" fontId="0" fillId="0" borderId="14" xfId="0" applyBorder="1" applyAlignment="1">
      <alignment/>
    </xf>
    <xf numFmtId="0" fontId="0" fillId="0" borderId="11" xfId="0" applyBorder="1" applyAlignment="1">
      <alignment horizontal="center"/>
    </xf>
    <xf numFmtId="0" fontId="0" fillId="0" borderId="12" xfId="0" applyBorder="1" applyAlignment="1">
      <alignment horizontal="center"/>
    </xf>
    <xf numFmtId="165" fontId="0" fillId="0" borderId="0" xfId="0" applyNumberFormat="1" applyFill="1" applyAlignment="1">
      <alignment horizontal="center"/>
    </xf>
    <xf numFmtId="0" fontId="0" fillId="0" borderId="0" xfId="0" applyFill="1" applyBorder="1" applyAlignment="1">
      <alignment/>
    </xf>
    <xf numFmtId="165" fontId="0" fillId="0" borderId="0" xfId="0" applyNumberFormat="1" applyFill="1" applyBorder="1" applyAlignment="1">
      <alignment/>
    </xf>
    <xf numFmtId="9" fontId="0" fillId="0" borderId="0" xfId="0" applyNumberFormat="1" applyFill="1" applyBorder="1" applyAlignment="1">
      <alignment horizontal="center"/>
    </xf>
    <xf numFmtId="0" fontId="8" fillId="0" borderId="0" xfId="0" applyFont="1" applyAlignment="1">
      <alignment/>
    </xf>
    <xf numFmtId="0" fontId="0" fillId="0" borderId="15" xfId="0" applyFont="1" applyBorder="1" applyAlignment="1">
      <alignment horizontal="left" vertical="center" wrapText="1"/>
    </xf>
    <xf numFmtId="0" fontId="0" fillId="0" borderId="0" xfId="0" applyAlignment="1">
      <alignment vertical="center"/>
    </xf>
    <xf numFmtId="0" fontId="0" fillId="0" borderId="16" xfId="0" applyFont="1" applyBorder="1" applyAlignment="1">
      <alignment horizontal="left" vertical="center" wrapText="1"/>
    </xf>
    <xf numFmtId="0" fontId="0" fillId="0" borderId="0" xfId="0" applyAlignment="1">
      <alignmen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14" fontId="0" fillId="0" borderId="19" xfId="0" applyNumberFormat="1" applyFont="1" applyBorder="1" applyAlignment="1">
      <alignment horizontal="left" vertical="center" wrapText="1"/>
    </xf>
    <xf numFmtId="0" fontId="0" fillId="0" borderId="16" xfId="0" applyFont="1" applyBorder="1" applyAlignment="1">
      <alignment vertical="center" wrapText="1"/>
    </xf>
    <xf numFmtId="0" fontId="0" fillId="0" borderId="20" xfId="0" applyFont="1" applyBorder="1" applyAlignment="1">
      <alignment vertical="center" wrapText="1"/>
    </xf>
    <xf numFmtId="0" fontId="0" fillId="0" borderId="20" xfId="0" applyFont="1" applyBorder="1" applyAlignment="1">
      <alignment horizontal="left" vertical="center" wrapText="1"/>
    </xf>
    <xf numFmtId="0" fontId="4" fillId="0" borderId="21" xfId="20" applyBorder="1" applyAlignment="1">
      <alignment vertical="center" wrapText="1"/>
    </xf>
    <xf numFmtId="0" fontId="0" fillId="0" borderId="21" xfId="0" applyFont="1" applyBorder="1" applyAlignment="1">
      <alignment horizontal="left" vertical="center" wrapText="1"/>
    </xf>
    <xf numFmtId="0" fontId="4" fillId="0" borderId="21" xfId="20"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8" fillId="0" borderId="0" xfId="0" applyFont="1" applyAlignment="1">
      <alignment vertical="center" wrapText="1"/>
    </xf>
    <xf numFmtId="0" fontId="0" fillId="0" borderId="0" xfId="0" applyNumberFormat="1" applyAlignment="1">
      <alignment vertical="center" wrapText="1"/>
    </xf>
    <xf numFmtId="0" fontId="10" fillId="0" borderId="0" xfId="0" applyFont="1" applyAlignment="1">
      <alignment horizontal="right"/>
    </xf>
    <xf numFmtId="0" fontId="11" fillId="0" borderId="0" xfId="0" applyFont="1" applyAlignment="1">
      <alignment/>
    </xf>
    <xf numFmtId="0" fontId="15" fillId="0" borderId="0" xfId="0" applyFont="1" applyAlignment="1">
      <alignment/>
    </xf>
    <xf numFmtId="0" fontId="0" fillId="0" borderId="0" xfId="0" applyFont="1" applyAlignment="1">
      <alignment/>
    </xf>
    <xf numFmtId="0" fontId="12" fillId="0" borderId="0" xfId="0" applyFont="1" applyAlignment="1">
      <alignment/>
    </xf>
    <xf numFmtId="3" fontId="0" fillId="0" borderId="0" xfId="0" applyNumberFormat="1" applyBorder="1" applyAlignment="1">
      <alignment/>
    </xf>
    <xf numFmtId="0" fontId="0" fillId="0" borderId="23" xfId="0" applyBorder="1" applyAlignment="1">
      <alignment/>
    </xf>
    <xf numFmtId="0" fontId="14" fillId="0" borderId="24" xfId="0" applyFont="1" applyBorder="1" applyAlignment="1">
      <alignment horizontal="center" vertical="center"/>
    </xf>
    <xf numFmtId="0" fontId="0"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0" fillId="0" borderId="26" xfId="0" applyFont="1" applyBorder="1" applyAlignment="1">
      <alignment vertical="center"/>
    </xf>
    <xf numFmtId="0" fontId="0" fillId="0" borderId="27" xfId="0" applyBorder="1" applyAlignment="1">
      <alignment vertical="center" wrapText="1"/>
    </xf>
    <xf numFmtId="9" fontId="14" fillId="3" borderId="27" xfId="0" applyNumberFormat="1" applyFont="1" applyFill="1" applyBorder="1" applyAlignment="1">
      <alignment horizontal="center" vertical="center" wrapText="1"/>
    </xf>
    <xf numFmtId="9" fontId="0" fillId="0" borderId="27" xfId="0" applyNumberFormat="1" applyFont="1" applyBorder="1" applyAlignment="1">
      <alignment horizontal="center" vertical="center" wrapText="1"/>
    </xf>
    <xf numFmtId="0" fontId="0" fillId="0" borderId="28" xfId="0" applyFont="1" applyBorder="1" applyAlignment="1">
      <alignment horizontal="center" vertical="center" wrapText="1"/>
    </xf>
    <xf numFmtId="9" fontId="0" fillId="4" borderId="28" xfId="0" applyNumberFormat="1" applyFont="1" applyFill="1" applyBorder="1" applyAlignment="1">
      <alignment horizontal="center" vertical="center"/>
    </xf>
    <xf numFmtId="0" fontId="19" fillId="0" borderId="29" xfId="0" applyFont="1" applyFill="1" applyBorder="1" applyAlignment="1">
      <alignment horizontal="center" vertical="center" wrapText="1"/>
    </xf>
    <xf numFmtId="0" fontId="0" fillId="0" borderId="26" xfId="0" applyFont="1" applyFill="1" applyBorder="1" applyAlignment="1">
      <alignment vertical="center"/>
    </xf>
    <xf numFmtId="0" fontId="20" fillId="0" borderId="0" xfId="0" applyFont="1" applyAlignment="1">
      <alignment horizontal="center" vertical="center"/>
    </xf>
    <xf numFmtId="0" fontId="17" fillId="0" borderId="30" xfId="0" applyFont="1" applyBorder="1" applyAlignment="1">
      <alignment horizontal="left" vertical="center"/>
    </xf>
    <xf numFmtId="0" fontId="14" fillId="0" borderId="30" xfId="0" applyFont="1" applyBorder="1" applyAlignment="1">
      <alignment horizontal="center" vertical="center"/>
    </xf>
    <xf numFmtId="0" fontId="0" fillId="0" borderId="30" xfId="0" applyFont="1" applyBorder="1" applyAlignment="1">
      <alignment horizontal="center" vertical="center" wrapText="1"/>
    </xf>
    <xf numFmtId="0" fontId="0" fillId="0" borderId="26" xfId="0" applyBorder="1" applyAlignment="1">
      <alignment vertical="center"/>
    </xf>
    <xf numFmtId="0" fontId="0" fillId="0" borderId="27" xfId="0" applyFont="1" applyBorder="1" applyAlignment="1">
      <alignment vertical="center"/>
    </xf>
    <xf numFmtId="0" fontId="0" fillId="0" borderId="27" xfId="0" applyFont="1" applyBorder="1" applyAlignment="1">
      <alignment horizontal="center" vertical="center"/>
    </xf>
    <xf numFmtId="0" fontId="8" fillId="0" borderId="31" xfId="0" applyFont="1" applyBorder="1" applyAlignment="1">
      <alignment vertical="center"/>
    </xf>
    <xf numFmtId="0" fontId="0" fillId="0" borderId="0" xfId="0" applyFont="1" applyBorder="1" applyAlignment="1">
      <alignment horizontal="center" vertical="center"/>
    </xf>
    <xf numFmtId="0" fontId="16" fillId="0" borderId="27" xfId="20" applyFont="1" applyBorder="1" applyAlignment="1">
      <alignment vertical="center"/>
    </xf>
    <xf numFmtId="0" fontId="16" fillId="0" borderId="29" xfId="20" applyFont="1" applyBorder="1" applyAlignment="1">
      <alignment vertical="center"/>
    </xf>
    <xf numFmtId="0" fontId="0" fillId="0" borderId="32" xfId="0" applyBorder="1" applyAlignment="1">
      <alignment vertical="center"/>
    </xf>
    <xf numFmtId="0" fontId="8" fillId="0" borderId="0" xfId="0" applyFont="1" applyAlignment="1">
      <alignment horizontal="right"/>
    </xf>
    <xf numFmtId="165" fontId="21" fillId="5" borderId="31" xfId="0" applyNumberFormat="1" applyFont="1" applyFill="1" applyBorder="1" applyAlignment="1">
      <alignment horizontal="center"/>
    </xf>
    <xf numFmtId="10" fontId="0" fillId="0" borderId="0" xfId="0" applyNumberFormat="1" applyFont="1" applyAlignment="1">
      <alignment/>
    </xf>
    <xf numFmtId="165" fontId="21" fillId="0" borderId="0" xfId="0" applyNumberFormat="1" applyFont="1" applyFill="1" applyBorder="1" applyAlignment="1">
      <alignment/>
    </xf>
    <xf numFmtId="0" fontId="8" fillId="0" borderId="0" xfId="0" applyFont="1" applyFill="1" applyBorder="1" applyAlignment="1">
      <alignment horizontal="right"/>
    </xf>
    <xf numFmtId="165" fontId="8" fillId="0" borderId="31" xfId="0" applyNumberFormat="1" applyFont="1" applyBorder="1" applyAlignment="1">
      <alignment horizontal="center"/>
    </xf>
    <xf numFmtId="0" fontId="0" fillId="0" borderId="0" xfId="0" applyFont="1" applyAlignment="1">
      <alignment/>
    </xf>
    <xf numFmtId="0" fontId="8"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2" xfId="0" applyBorder="1" applyAlignment="1">
      <alignment/>
    </xf>
    <xf numFmtId="9" fontId="16" fillId="3" borderId="36" xfId="0" applyNumberFormat="1" applyFont="1" applyFill="1" applyBorder="1" applyAlignment="1">
      <alignment/>
    </xf>
    <xf numFmtId="165" fontId="21" fillId="5" borderId="2" xfId="0" applyNumberFormat="1" applyFont="1" applyFill="1" applyBorder="1" applyAlignment="1">
      <alignment horizontal="center"/>
    </xf>
    <xf numFmtId="0" fontId="21" fillId="5" borderId="3" xfId="0" applyFont="1" applyFill="1" applyBorder="1" applyAlignment="1">
      <alignment/>
    </xf>
    <xf numFmtId="165" fontId="0" fillId="4" borderId="3" xfId="0" applyNumberFormat="1" applyFill="1" applyBorder="1" applyAlignment="1">
      <alignment/>
    </xf>
    <xf numFmtId="0" fontId="8" fillId="0" borderId="1" xfId="0" applyFont="1" applyBorder="1" applyAlignment="1">
      <alignment horizontal="center"/>
    </xf>
    <xf numFmtId="165" fontId="0" fillId="6" borderId="3" xfId="0" applyNumberFormat="1" applyFill="1" applyBorder="1" applyAlignment="1">
      <alignment/>
    </xf>
    <xf numFmtId="0" fontId="0" fillId="0" borderId="27" xfId="0" applyFont="1" applyBorder="1" applyAlignment="1">
      <alignment vertical="center" wrapText="1"/>
    </xf>
    <xf numFmtId="0" fontId="16" fillId="0" borderId="0" xfId="0" applyFont="1" applyAlignment="1">
      <alignment horizontal="center"/>
    </xf>
    <xf numFmtId="165" fontId="16" fillId="0" borderId="0" xfId="0" applyNumberFormat="1" applyFont="1" applyAlignment="1">
      <alignment/>
    </xf>
    <xf numFmtId="195" fontId="16" fillId="0" borderId="0" xfId="0" applyNumberFormat="1" applyFont="1" applyAlignment="1">
      <alignment horizontal="center"/>
    </xf>
    <xf numFmtId="9" fontId="16" fillId="0" borderId="0" xfId="0" applyNumberFormat="1" applyFont="1" applyAlignment="1">
      <alignment horizontal="center"/>
    </xf>
    <xf numFmtId="0" fontId="0" fillId="0" borderId="0" xfId="0" applyAlignment="1">
      <alignment horizontal="left"/>
    </xf>
    <xf numFmtId="0" fontId="0" fillId="0" borderId="29"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wrapText="1"/>
    </xf>
    <xf numFmtId="2"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0" fontId="0" fillId="0" borderId="33" xfId="0" applyBorder="1" applyAlignment="1">
      <alignment vertical="center"/>
    </xf>
    <xf numFmtId="0" fontId="0" fillId="0" borderId="25" xfId="0" applyFont="1" applyBorder="1" applyAlignment="1">
      <alignment vertical="center"/>
    </xf>
    <xf numFmtId="0" fontId="0" fillId="4" borderId="28" xfId="0" applyFont="1" applyFill="1" applyBorder="1" applyAlignment="1">
      <alignment horizontal="center" vertical="center"/>
    </xf>
    <xf numFmtId="187" fontId="0" fillId="4" borderId="28" xfId="0" applyNumberFormat="1" applyFont="1" applyFill="1" applyBorder="1" applyAlignment="1">
      <alignment horizontal="center" vertical="center"/>
    </xf>
    <xf numFmtId="2" fontId="0" fillId="4" borderId="28" xfId="0" applyNumberFormat="1" applyFont="1" applyFill="1" applyBorder="1" applyAlignment="1">
      <alignment horizontal="center" vertical="center"/>
    </xf>
    <xf numFmtId="0" fontId="0" fillId="0" borderId="29" xfId="0" applyFont="1" applyBorder="1" applyAlignment="1">
      <alignment horizontal="center" vertical="center"/>
    </xf>
    <xf numFmtId="183" fontId="0" fillId="0" borderId="0" xfId="0" applyNumberFormat="1" applyFont="1" applyBorder="1" applyAlignment="1">
      <alignment horizontal="center" vertical="center"/>
    </xf>
    <xf numFmtId="187" fontId="0" fillId="0" borderId="0" xfId="0" applyNumberFormat="1" applyFont="1" applyBorder="1" applyAlignment="1">
      <alignment horizontal="center" vertical="center"/>
    </xf>
    <xf numFmtId="195" fontId="14" fillId="3" borderId="27" xfId="0" applyNumberFormat="1" applyFont="1" applyFill="1" applyBorder="1" applyAlignment="1">
      <alignment horizontal="center" vertical="center"/>
    </xf>
    <xf numFmtId="187" fontId="14" fillId="3" borderId="27" xfId="0" applyNumberFormat="1" applyFont="1" applyFill="1" applyBorder="1" applyAlignment="1">
      <alignment horizontal="center" vertical="center"/>
    </xf>
    <xf numFmtId="2" fontId="14" fillId="3" borderId="27" xfId="0" applyNumberFormat="1" applyFont="1" applyFill="1" applyBorder="1" applyAlignment="1">
      <alignment horizontal="center" vertical="center"/>
    </xf>
    <xf numFmtId="9" fontId="14" fillId="3" borderId="27" xfId="0" applyNumberFormat="1" applyFont="1" applyFill="1" applyBorder="1" applyAlignment="1">
      <alignment horizontal="center" vertical="center"/>
    </xf>
    <xf numFmtId="0" fontId="0" fillId="0" borderId="0" xfId="0" applyFont="1" applyAlignment="1">
      <alignment horizontal="center"/>
    </xf>
    <xf numFmtId="49" fontId="0" fillId="0" borderId="27" xfId="0" applyNumberFormat="1" applyFont="1" applyBorder="1" applyAlignment="1">
      <alignment horizontal="center" vertical="center"/>
    </xf>
    <xf numFmtId="9" fontId="0" fillId="0" borderId="0" xfId="0" applyNumberFormat="1" applyFont="1" applyAlignment="1">
      <alignment horizontal="center"/>
    </xf>
    <xf numFmtId="165" fontId="14" fillId="3" borderId="25" xfId="0" applyNumberFormat="1" applyFont="1" applyFill="1" applyBorder="1" applyAlignment="1">
      <alignment horizontal="center" vertical="center"/>
    </xf>
    <xf numFmtId="165" fontId="0" fillId="0" borderId="34" xfId="0" applyNumberFormat="1" applyFont="1" applyFill="1" applyBorder="1" applyAlignment="1">
      <alignment horizontal="center" vertical="center"/>
    </xf>
    <xf numFmtId="0" fontId="0" fillId="0" borderId="25" xfId="0" applyFont="1" applyBorder="1" applyAlignment="1">
      <alignment horizontal="center" vertical="center"/>
    </xf>
    <xf numFmtId="165" fontId="0" fillId="4" borderId="35" xfId="0" applyNumberFormat="1" applyFont="1" applyFill="1" applyBorder="1" applyAlignment="1">
      <alignment horizontal="center" vertical="center"/>
    </xf>
    <xf numFmtId="187" fontId="14" fillId="3" borderId="29" xfId="0" applyNumberFormat="1" applyFont="1" applyFill="1" applyBorder="1" applyAlignment="1">
      <alignment horizontal="center" vertical="center"/>
    </xf>
    <xf numFmtId="187" fontId="0" fillId="0" borderId="1" xfId="0" applyNumberFormat="1" applyFont="1" applyBorder="1" applyAlignment="1">
      <alignment horizontal="center" vertical="center"/>
    </xf>
    <xf numFmtId="187" fontId="0" fillId="4" borderId="36" xfId="0" applyNumberFormat="1" applyFont="1" applyFill="1" applyBorder="1" applyAlignment="1">
      <alignment horizontal="center" vertical="center"/>
    </xf>
    <xf numFmtId="187" fontId="14" fillId="0" borderId="0" xfId="0" applyNumberFormat="1" applyFont="1" applyFill="1" applyBorder="1" applyAlignment="1">
      <alignment horizontal="center" vertical="center"/>
    </xf>
    <xf numFmtId="187" fontId="0" fillId="0" borderId="0" xfId="0" applyNumberFormat="1" applyFont="1" applyFill="1" applyBorder="1" applyAlignment="1">
      <alignment horizontal="center" vertical="center"/>
    </xf>
    <xf numFmtId="0" fontId="8" fillId="0" borderId="37" xfId="0" applyFont="1" applyBorder="1" applyAlignment="1">
      <alignment horizontal="center"/>
    </xf>
    <xf numFmtId="0" fontId="8" fillId="0" borderId="38" xfId="0" applyFont="1" applyBorder="1" applyAlignment="1">
      <alignment horizontal="center"/>
    </xf>
    <xf numFmtId="0" fontId="0" fillId="0" borderId="39" xfId="0" applyBorder="1" applyAlignment="1">
      <alignment/>
    </xf>
    <xf numFmtId="3" fontId="0" fillId="0" borderId="13" xfId="0" applyNumberFormat="1" applyBorder="1" applyAlignment="1">
      <alignment/>
    </xf>
    <xf numFmtId="0" fontId="0" fillId="0" borderId="40" xfId="0" applyBorder="1" applyAlignment="1">
      <alignment/>
    </xf>
    <xf numFmtId="0" fontId="8" fillId="0" borderId="40" xfId="0" applyFont="1" applyFill="1" applyBorder="1" applyAlignment="1">
      <alignment/>
    </xf>
    <xf numFmtId="0" fontId="0" fillId="0" borderId="41" xfId="0" applyBorder="1" applyAlignment="1">
      <alignment/>
    </xf>
    <xf numFmtId="0" fontId="8" fillId="0" borderId="42" xfId="0" applyFont="1" applyBorder="1" applyAlignment="1">
      <alignment horizontal="center"/>
    </xf>
    <xf numFmtId="3" fontId="0" fillId="0" borderId="26" xfId="0" applyNumberFormat="1" applyBorder="1" applyAlignment="1">
      <alignment/>
    </xf>
    <xf numFmtId="0" fontId="8" fillId="0" borderId="43" xfId="0" applyFont="1" applyBorder="1" applyAlignment="1">
      <alignment horizontal="center"/>
    </xf>
    <xf numFmtId="3" fontId="0" fillId="0" borderId="28" xfId="0" applyNumberFormat="1" applyBorder="1" applyAlignment="1">
      <alignment/>
    </xf>
    <xf numFmtId="0" fontId="0" fillId="0" borderId="44" xfId="0" applyBorder="1" applyAlignment="1">
      <alignment/>
    </xf>
    <xf numFmtId="3" fontId="0" fillId="0" borderId="4" xfId="0" applyNumberFormat="1" applyBorder="1" applyAlignment="1">
      <alignment/>
    </xf>
    <xf numFmtId="3" fontId="0" fillId="0" borderId="14" xfId="0" applyNumberFormat="1" applyBorder="1" applyAlignment="1">
      <alignment/>
    </xf>
    <xf numFmtId="0" fontId="10" fillId="0" borderId="0" xfId="0" applyFont="1" applyAlignment="1">
      <alignment horizontal="right" vertical="center" wrapText="1"/>
    </xf>
    <xf numFmtId="0" fontId="0" fillId="0" borderId="0" xfId="0" applyFont="1" applyAlignment="1">
      <alignment vertical="center" wrapText="1"/>
    </xf>
    <xf numFmtId="0" fontId="8" fillId="0" borderId="45" xfId="0" applyFont="1" applyBorder="1" applyAlignment="1">
      <alignment horizontal="center" vertical="center" wrapText="1"/>
    </xf>
    <xf numFmtId="0" fontId="0" fillId="0" borderId="46" xfId="0" applyFont="1" applyBorder="1" applyAlignment="1">
      <alignment vertical="center" wrapText="1"/>
    </xf>
    <xf numFmtId="0" fontId="0" fillId="0" borderId="47" xfId="0" applyBorder="1" applyAlignment="1">
      <alignment vertical="center" wrapText="1"/>
    </xf>
    <xf numFmtId="0" fontId="0" fillId="0" borderId="48" xfId="0" applyFont="1" applyBorder="1" applyAlignment="1">
      <alignment vertical="center" wrapText="1"/>
    </xf>
    <xf numFmtId="0" fontId="0" fillId="0" borderId="21" xfId="0" applyBorder="1" applyAlignment="1">
      <alignment vertical="center" wrapText="1"/>
    </xf>
    <xf numFmtId="0" fontId="0" fillId="0" borderId="49" xfId="0" applyFont="1" applyBorder="1" applyAlignment="1">
      <alignment vertical="center" wrapText="1"/>
    </xf>
    <xf numFmtId="0" fontId="0" fillId="0" borderId="22" xfId="0" applyFont="1" applyBorder="1" applyAlignment="1">
      <alignment vertical="center" wrapText="1"/>
    </xf>
    <xf numFmtId="0" fontId="25" fillId="0" borderId="0" xfId="0" applyFont="1" applyAlignment="1">
      <alignment/>
    </xf>
    <xf numFmtId="0" fontId="0" fillId="0" borderId="16" xfId="0" applyFont="1" applyBorder="1" applyAlignment="1">
      <alignment vertical="center" wrapText="1"/>
    </xf>
    <xf numFmtId="0" fontId="11" fillId="0" borderId="0" xfId="0" applyFont="1" applyAlignment="1">
      <alignment horizontal="center"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8" fillId="0" borderId="0" xfId="0" applyFont="1" applyFill="1" applyAlignment="1">
      <alignment horizontal="left" vertical="center" wrapText="1"/>
    </xf>
    <xf numFmtId="0" fontId="0" fillId="0" borderId="0" xfId="0" applyAlignment="1">
      <alignment horizontal="left" wrapText="1"/>
    </xf>
    <xf numFmtId="0" fontId="17" fillId="0" borderId="31" xfId="0" applyFont="1" applyBorder="1" applyAlignment="1">
      <alignment horizontal="left" vertical="center"/>
    </xf>
    <xf numFmtId="0" fontId="17" fillId="0" borderId="24" xfId="0" applyFont="1" applyBorder="1" applyAlignment="1">
      <alignment horizontal="left" vertical="center"/>
    </xf>
    <xf numFmtId="0" fontId="17" fillId="0" borderId="31" xfId="0" applyFont="1" applyBorder="1" applyAlignment="1">
      <alignment horizontal="center" vertical="center"/>
    </xf>
    <xf numFmtId="0" fontId="0" fillId="0" borderId="1" xfId="0" applyBorder="1" applyAlignment="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Georgia Regional Development Fund</a:t>
            </a:r>
          </a:p>
        </c:rich>
      </c:tx>
      <c:layout/>
      <c:spPr>
        <a:noFill/>
        <a:ln>
          <a:noFill/>
        </a:ln>
      </c:spPr>
    </c:title>
    <c:plotArea>
      <c:layout/>
      <c:areaChart>
        <c:grouping val="standard"/>
        <c:varyColors val="0"/>
        <c:ser>
          <c:idx val="0"/>
          <c:order val="0"/>
          <c:tx>
            <c:v>Undiscounted annual net benefits of Georgia Regional Development Fund</c:v>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ERR!$C$34:$Q$34</c:f>
              <c:num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ERR!$C$48:$Q$48</c:f>
              <c:numCache>
                <c:ptCount val="15"/>
                <c:pt idx="0">
                  <c:v>-37311000</c:v>
                </c:pt>
                <c:pt idx="1">
                  <c:v>27477858.42446198</c:v>
                </c:pt>
                <c:pt idx="2">
                  <c:v>30167858.42446198</c:v>
                </c:pt>
                <c:pt idx="3">
                  <c:v>30167858.42446198</c:v>
                </c:pt>
                <c:pt idx="4">
                  <c:v>30167858.42446198</c:v>
                </c:pt>
                <c:pt idx="5">
                  <c:v>30167858.42446198</c:v>
                </c:pt>
                <c:pt idx="6">
                  <c:v>30167858.42446198</c:v>
                </c:pt>
                <c:pt idx="7">
                  <c:v>30167858.42446198</c:v>
                </c:pt>
                <c:pt idx="8">
                  <c:v>30167858.42446198</c:v>
                </c:pt>
                <c:pt idx="9">
                  <c:v>30167858.42446198</c:v>
                </c:pt>
                <c:pt idx="10">
                  <c:v>30167858.42446198</c:v>
                </c:pt>
                <c:pt idx="11">
                  <c:v>30167858.42446198</c:v>
                </c:pt>
                <c:pt idx="12">
                  <c:v>30167858.42446198</c:v>
                </c:pt>
                <c:pt idx="13">
                  <c:v>30167858.42446198</c:v>
                </c:pt>
                <c:pt idx="14">
                  <c:v>30167858.42446198</c:v>
                </c:pt>
              </c:numCache>
            </c:numRef>
          </c:val>
        </c:ser>
        <c:axId val="4127001"/>
        <c:axId val="896458"/>
      </c:areaChart>
      <c:catAx>
        <c:axId val="4127001"/>
        <c:scaling>
          <c:orientation val="minMax"/>
        </c:scaling>
        <c:axPos val="b"/>
        <c:title>
          <c:tx>
            <c:rich>
              <a:bodyPr vert="horz" rot="0" anchor="ctr"/>
              <a:lstStyle/>
              <a:p>
                <a:pPr algn="ctr">
                  <a:defRPr/>
                </a:pPr>
                <a:r>
                  <a:rPr lang="en-US" cap="none" sz="9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896458"/>
        <c:crosses val="autoZero"/>
        <c:auto val="1"/>
        <c:lblOffset val="100"/>
        <c:tickLblSkip val="2"/>
        <c:noMultiLvlLbl val="0"/>
      </c:catAx>
      <c:valAx>
        <c:axId val="896458"/>
        <c:scaling>
          <c:orientation val="minMax"/>
          <c:max val="40000000"/>
          <c:min val="-40000000"/>
        </c:scaling>
        <c:axPos val="l"/>
        <c:title>
          <c:tx>
            <c:rich>
              <a:bodyPr vert="horz" rot="-5400000" anchor="ctr"/>
              <a:lstStyle/>
              <a:p>
                <a:pPr algn="ctr">
                  <a:defRPr/>
                </a:pPr>
                <a:r>
                  <a:rPr lang="en-US" cap="none" sz="975"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crossAx val="4127001"/>
        <c:crossesAt val="1"/>
        <c:crossBetween val="midCat"/>
        <c:dispUnits/>
        <c:majorUnit val="10000000"/>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ERR Given Uncertainty in Key Parameters</a:t>
            </a:r>
            <a:r>
              <a:rPr lang="en-US" cap="none" sz="1000" b="1" i="0" u="none" baseline="0">
                <a:latin typeface="Arial"/>
                <a:ea typeface="Arial"/>
                <a:cs typeface="Arial"/>
              </a:rPr>
              <a:t>
</a:t>
            </a:r>
            <a:r>
              <a:rPr lang="en-US" cap="none" sz="800" b="1" i="0" u="none" baseline="0">
                <a:latin typeface="Arial"/>
                <a:ea typeface="Arial"/>
                <a:cs typeface="Arial"/>
              </a:rPr>
              <a:t>(as of 7/7/2005)</a:t>
            </a:r>
          </a:p>
        </c:rich>
      </c:tx>
      <c:layout/>
      <c:spPr>
        <a:noFill/>
        <a:ln>
          <a:noFill/>
        </a:ln>
      </c:spPr>
    </c:title>
    <c:plotArea>
      <c:layout>
        <c:manualLayout>
          <c:xMode val="edge"/>
          <c:yMode val="edge"/>
          <c:x val="0.0475"/>
          <c:y val="0.1515"/>
          <c:w val="0.93775"/>
          <c:h val="0.814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0.23185673774301435</c:v>
              </c:pt>
              <c:pt idx="10">
                <c:v>0.24325777958401584</c:v>
              </c:pt>
              <c:pt idx="20">
                <c:v>0.25465882142501733</c:v>
              </c:pt>
              <c:pt idx="30">
                <c:v>0.2660598632660189</c:v>
              </c:pt>
              <c:pt idx="40">
                <c:v>0.2774609051070204</c:v>
              </c:pt>
              <c:pt idx="49">
                <c:v>0.2877218427639217</c:v>
              </c:pt>
            </c:strLit>
          </c:cat>
          <c:val>
            <c:numLit>
              <c:ptCount val="50"/>
              <c:pt idx="0">
                <c:v>3</c:v>
              </c:pt>
              <c:pt idx="1">
                <c:v>13</c:v>
              </c:pt>
              <c:pt idx="2">
                <c:v>14</c:v>
              </c:pt>
              <c:pt idx="3">
                <c:v>21</c:v>
              </c:pt>
              <c:pt idx="4">
                <c:v>31</c:v>
              </c:pt>
              <c:pt idx="5">
                <c:v>52</c:v>
              </c:pt>
              <c:pt idx="6">
                <c:v>55</c:v>
              </c:pt>
              <c:pt idx="7">
                <c:v>76</c:v>
              </c:pt>
              <c:pt idx="8">
                <c:v>92</c:v>
              </c:pt>
              <c:pt idx="9">
                <c:v>106</c:v>
              </c:pt>
              <c:pt idx="10">
                <c:v>138</c:v>
              </c:pt>
              <c:pt idx="11">
                <c:v>169</c:v>
              </c:pt>
              <c:pt idx="12">
                <c:v>157</c:v>
              </c:pt>
              <c:pt idx="13">
                <c:v>210</c:v>
              </c:pt>
              <c:pt idx="14">
                <c:v>232</c:v>
              </c:pt>
              <c:pt idx="15">
                <c:v>275</c:v>
              </c:pt>
              <c:pt idx="16">
                <c:v>317</c:v>
              </c:pt>
              <c:pt idx="17">
                <c:v>325</c:v>
              </c:pt>
              <c:pt idx="18">
                <c:v>297</c:v>
              </c:pt>
              <c:pt idx="19">
                <c:v>376</c:v>
              </c:pt>
              <c:pt idx="20">
                <c:v>372</c:v>
              </c:pt>
              <c:pt idx="21">
                <c:v>407</c:v>
              </c:pt>
              <c:pt idx="22">
                <c:v>412</c:v>
              </c:pt>
              <c:pt idx="23">
                <c:v>431</c:v>
              </c:pt>
              <c:pt idx="24">
                <c:v>433</c:v>
              </c:pt>
              <c:pt idx="25">
                <c:v>404</c:v>
              </c:pt>
              <c:pt idx="26">
                <c:v>399</c:v>
              </c:pt>
              <c:pt idx="27">
                <c:v>434</c:v>
              </c:pt>
              <c:pt idx="28">
                <c:v>404</c:v>
              </c:pt>
              <c:pt idx="29">
                <c:v>368</c:v>
              </c:pt>
              <c:pt idx="30">
                <c:v>362</c:v>
              </c:pt>
              <c:pt idx="31">
                <c:v>330</c:v>
              </c:pt>
              <c:pt idx="32">
                <c:v>352</c:v>
              </c:pt>
              <c:pt idx="33">
                <c:v>277</c:v>
              </c:pt>
              <c:pt idx="34">
                <c:v>273</c:v>
              </c:pt>
              <c:pt idx="35">
                <c:v>229</c:v>
              </c:pt>
              <c:pt idx="36">
                <c:v>213</c:v>
              </c:pt>
              <c:pt idx="37">
                <c:v>167</c:v>
              </c:pt>
              <c:pt idx="38">
                <c:v>165</c:v>
              </c:pt>
              <c:pt idx="39">
                <c:v>116</c:v>
              </c:pt>
              <c:pt idx="40">
                <c:v>120</c:v>
              </c:pt>
              <c:pt idx="41">
                <c:v>99</c:v>
              </c:pt>
              <c:pt idx="42">
                <c:v>81</c:v>
              </c:pt>
              <c:pt idx="43">
                <c:v>58</c:v>
              </c:pt>
              <c:pt idx="44">
                <c:v>44</c:v>
              </c:pt>
              <c:pt idx="45">
                <c:v>27</c:v>
              </c:pt>
              <c:pt idx="46">
                <c:v>18</c:v>
              </c:pt>
              <c:pt idx="47">
                <c:v>16</c:v>
              </c:pt>
              <c:pt idx="48">
                <c:v>11</c:v>
              </c:pt>
              <c:pt idx="49">
                <c:v>7</c:v>
              </c:pt>
            </c:numLit>
          </c:val>
        </c:ser>
        <c:overlap val="100"/>
        <c:gapWidth val="10"/>
        <c:axId val="43926443"/>
        <c:axId val="4912060"/>
      </c:barChart>
      <c:catAx>
        <c:axId val="43926443"/>
        <c:scaling>
          <c:orientation val="minMax"/>
        </c:scaling>
        <c:axPos val="b"/>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912060"/>
        <c:crosses val="autoZero"/>
        <c:auto val="0"/>
        <c:lblOffset val="100"/>
        <c:tickLblSkip val="1"/>
        <c:tickMarkSkip val="5"/>
        <c:noMultiLvlLbl val="0"/>
      </c:catAx>
      <c:valAx>
        <c:axId val="4912060"/>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43926443"/>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3.png"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23</xdr:row>
      <xdr:rowOff>19050</xdr:rowOff>
    </xdr:from>
    <xdr:to>
      <xdr:col>1</xdr:col>
      <xdr:colOff>2190750</xdr:colOff>
      <xdr:row>24</xdr:row>
      <xdr:rowOff>9525</xdr:rowOff>
    </xdr:to>
    <xdr:pic>
      <xdr:nvPicPr>
        <xdr:cNvPr id="1" name="Picture 1"/>
        <xdr:cNvPicPr preferRelativeResize="1">
          <a:picLocks noChangeAspect="1"/>
        </xdr:cNvPicPr>
      </xdr:nvPicPr>
      <xdr:blipFill>
        <a:blip r:embed="rId1"/>
        <a:stretch>
          <a:fillRect/>
        </a:stretch>
      </xdr:blipFill>
      <xdr:spPr>
        <a:xfrm>
          <a:off x="409575" y="9248775"/>
          <a:ext cx="2162175" cy="152400"/>
        </a:xfrm>
        <a:prstGeom prst="rect">
          <a:avLst/>
        </a:prstGeom>
        <a:noFill/>
        <a:ln w="9525" cmpd="sng">
          <a:noFill/>
        </a:ln>
      </xdr:spPr>
    </xdr:pic>
    <xdr:clientData/>
  </xdr:twoCellAnchor>
  <xdr:twoCellAnchor editAs="oneCell">
    <xdr:from>
      <xdr:col>1</xdr:col>
      <xdr:colOff>28575</xdr:colOff>
      <xdr:row>0</xdr:row>
      <xdr:rowOff>19050</xdr:rowOff>
    </xdr:from>
    <xdr:to>
      <xdr:col>1</xdr:col>
      <xdr:colOff>2190750</xdr:colOff>
      <xdr:row>1</xdr:row>
      <xdr:rowOff>9525</xdr:rowOff>
    </xdr:to>
    <xdr:pic>
      <xdr:nvPicPr>
        <xdr:cNvPr id="2" name="Picture 2"/>
        <xdr:cNvPicPr preferRelativeResize="1">
          <a:picLocks noChangeAspect="1"/>
        </xdr:cNvPicPr>
      </xdr:nvPicPr>
      <xdr:blipFill>
        <a:blip r:embed="rId1"/>
        <a:stretch>
          <a:fillRect/>
        </a:stretch>
      </xdr:blipFill>
      <xdr:spPr>
        <a:xfrm>
          <a:off x="409575" y="1905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628650</xdr:colOff>
      <xdr:row>1</xdr:row>
      <xdr:rowOff>123825</xdr:rowOff>
    </xdr:from>
    <xdr:to>
      <xdr:col>6</xdr:col>
      <xdr:colOff>933450</xdr:colOff>
      <xdr:row>1</xdr:row>
      <xdr:rowOff>276225</xdr:rowOff>
    </xdr:to>
    <xdr:pic>
      <xdr:nvPicPr>
        <xdr:cNvPr id="1" name="Picture 2"/>
        <xdr:cNvPicPr preferRelativeResize="1">
          <a:picLocks noChangeAspect="1"/>
        </xdr:cNvPicPr>
      </xdr:nvPicPr>
      <xdr:blipFill>
        <a:blip r:embed="rId1"/>
        <a:stretch>
          <a:fillRect/>
        </a:stretch>
      </xdr:blipFill>
      <xdr:spPr>
        <a:xfrm>
          <a:off x="6267450" y="285750"/>
          <a:ext cx="2162175" cy="152400"/>
        </a:xfrm>
        <a:prstGeom prst="rect">
          <a:avLst/>
        </a:prstGeom>
        <a:noFill/>
        <a:ln w="9525" cmpd="sng">
          <a:noFill/>
        </a:ln>
      </xdr:spPr>
    </xdr:pic>
    <xdr:clientData/>
  </xdr:twoCellAnchor>
  <xdr:twoCellAnchor>
    <xdr:from>
      <xdr:col>1</xdr:col>
      <xdr:colOff>771525</xdr:colOff>
      <xdr:row>26</xdr:row>
      <xdr:rowOff>152400</xdr:rowOff>
    </xdr:from>
    <xdr:to>
      <xdr:col>6</xdr:col>
      <xdr:colOff>180975</xdr:colOff>
      <xdr:row>51</xdr:row>
      <xdr:rowOff>142875</xdr:rowOff>
    </xdr:to>
    <xdr:graphicFrame>
      <xdr:nvGraphicFramePr>
        <xdr:cNvPr id="2" name="Chart 18"/>
        <xdr:cNvGraphicFramePr/>
      </xdr:nvGraphicFramePr>
      <xdr:xfrm>
        <a:off x="1152525" y="7839075"/>
        <a:ext cx="6524625" cy="40386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3" name="CB_Block_7.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3"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0000000000000000000000000000000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xdr:from>
      <xdr:col>1</xdr:col>
      <xdr:colOff>771525</xdr:colOff>
      <xdr:row>53</xdr:row>
      <xdr:rowOff>0</xdr:rowOff>
    </xdr:from>
    <xdr:to>
      <xdr:col>6</xdr:col>
      <xdr:colOff>133350</xdr:colOff>
      <xdr:row>71</xdr:row>
      <xdr:rowOff>9525</xdr:rowOff>
    </xdr:to>
    <xdr:graphicFrame>
      <xdr:nvGraphicFramePr>
        <xdr:cNvPr id="8" name="Chart 24"/>
        <xdr:cNvGraphicFramePr/>
      </xdr:nvGraphicFramePr>
      <xdr:xfrm>
        <a:off x="1152525" y="12058650"/>
        <a:ext cx="6477000" cy="29241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orgia%20Pipeline%20-%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 val="Georgia Pipeline - v3"/>
    </sheetNames>
    <sheetDataSet>
      <sheetData sheetId="4">
        <row r="22">
          <cell r="C22" t="str">
            <v>Low</v>
          </cell>
          <cell r="D22" t="str">
            <v>Medium</v>
          </cell>
          <cell r="E22" t="str">
            <v>High</v>
          </cell>
        </row>
        <row r="32">
          <cell r="H32">
            <v>24926449.275362317</v>
          </cell>
          <cell r="I32">
            <v>19573550.724637683</v>
          </cell>
        </row>
        <row r="40">
          <cell r="G40">
            <v>2122416</v>
          </cell>
          <cell r="H40">
            <v>2164864.32</v>
          </cell>
          <cell r="I40">
            <v>2208161.6064</v>
          </cell>
          <cell r="J40">
            <v>2252324.838528</v>
          </cell>
          <cell r="K40">
            <v>2297371.3352985596</v>
          </cell>
          <cell r="L40">
            <v>2343318.762004531</v>
          </cell>
          <cell r="M40">
            <v>2390185.1372446218</v>
          </cell>
          <cell r="N40">
            <v>2437988.839989514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B69"/>
  <sheetViews>
    <sheetView showGridLines="0" workbookViewId="0" topLeftCell="A1">
      <selection activeCell="A8" sqref="A8:A9"/>
    </sheetView>
  </sheetViews>
  <sheetFormatPr defaultColWidth="9.140625" defaultRowHeight="12.75"/>
  <cols>
    <col min="1" max="1" width="39.57421875" style="180" customWidth="1"/>
    <col min="2" max="2" width="106.421875" style="180" customWidth="1"/>
    <col min="3" max="16384" width="9.140625" style="180" customWidth="1"/>
  </cols>
  <sheetData>
    <row r="1" spans="1:2" ht="12.75">
      <c r="A1" s="67"/>
      <c r="B1" s="179" t="s">
        <v>186</v>
      </c>
    </row>
    <row r="2" spans="1:2" ht="20.25" customHeight="1">
      <c r="A2" s="67"/>
      <c r="B2" s="190" t="s">
        <v>178</v>
      </c>
    </row>
    <row r="3" spans="1:2" ht="12.75">
      <c r="A3" s="67"/>
      <c r="B3" s="190"/>
    </row>
    <row r="4" spans="1:2" ht="12.75">
      <c r="A4" s="67"/>
      <c r="B4" s="190"/>
    </row>
    <row r="5" spans="1:2" ht="12.75">
      <c r="A5" s="67"/>
      <c r="B5" s="190"/>
    </row>
    <row r="6" spans="1:2" ht="12.75">
      <c r="A6" s="67"/>
      <c r="B6" s="190"/>
    </row>
    <row r="7" ht="13.5" thickBot="1"/>
    <row r="8" spans="1:2" ht="18" customHeight="1" thickTop="1">
      <c r="A8" s="191" t="s">
        <v>177</v>
      </c>
      <c r="B8" s="181" t="s">
        <v>187</v>
      </c>
    </row>
    <row r="9" spans="1:2" ht="18" customHeight="1" thickBot="1">
      <c r="A9" s="192"/>
      <c r="B9" s="78" t="s">
        <v>178</v>
      </c>
    </row>
    <row r="10" spans="1:2" ht="18" customHeight="1" thickTop="1">
      <c r="A10" s="64" t="s">
        <v>191</v>
      </c>
      <c r="B10" s="69" t="s">
        <v>192</v>
      </c>
    </row>
    <row r="11" spans="1:2" ht="18" customHeight="1">
      <c r="A11" s="66" t="s">
        <v>193</v>
      </c>
      <c r="B11" s="70">
        <v>38540</v>
      </c>
    </row>
    <row r="12" spans="1:2" ht="18" customHeight="1">
      <c r="A12" s="71" t="s">
        <v>179</v>
      </c>
      <c r="B12" s="68" t="s">
        <v>180</v>
      </c>
    </row>
    <row r="13" spans="1:2" ht="58.5" customHeight="1">
      <c r="A13" s="71" t="s">
        <v>185</v>
      </c>
      <c r="B13" s="72" t="s">
        <v>202</v>
      </c>
    </row>
    <row r="14" spans="1:2" ht="18" customHeight="1">
      <c r="A14" s="189" t="s">
        <v>183</v>
      </c>
      <c r="B14" s="68" t="s">
        <v>188</v>
      </c>
    </row>
    <row r="15" spans="1:2" ht="18" customHeight="1">
      <c r="A15" s="189"/>
      <c r="B15" s="68" t="s">
        <v>189</v>
      </c>
    </row>
    <row r="16" spans="1:2" ht="29.25" customHeight="1">
      <c r="A16" s="71" t="s">
        <v>184</v>
      </c>
      <c r="B16" s="73" t="s">
        <v>190</v>
      </c>
    </row>
    <row r="17" spans="1:2" ht="18" customHeight="1">
      <c r="A17" s="71" t="s">
        <v>181</v>
      </c>
      <c r="B17" s="73" t="s">
        <v>182</v>
      </c>
    </row>
    <row r="18" spans="1:2" ht="6.75" customHeight="1">
      <c r="A18" s="182"/>
      <c r="B18" s="183"/>
    </row>
    <row r="19" spans="1:2" ht="12.75">
      <c r="A19" s="184" t="s">
        <v>194</v>
      </c>
      <c r="B19" s="74" t="s">
        <v>195</v>
      </c>
    </row>
    <row r="20" spans="1:2" ht="25.5">
      <c r="A20" s="184"/>
      <c r="B20" s="75" t="s">
        <v>196</v>
      </c>
    </row>
    <row r="21" spans="1:2" ht="12.75">
      <c r="A21" s="184"/>
      <c r="B21" s="185"/>
    </row>
    <row r="22" spans="1:2" ht="12.75">
      <c r="A22" s="184"/>
      <c r="B22" s="76" t="s">
        <v>197</v>
      </c>
    </row>
    <row r="23" spans="1:2" ht="12.75">
      <c r="A23" s="184"/>
      <c r="B23" s="77" t="s">
        <v>198</v>
      </c>
    </row>
    <row r="24" spans="1:2" ht="12.75">
      <c r="A24" s="184"/>
      <c r="B24" s="185"/>
    </row>
    <row r="25" spans="1:2" ht="12.75">
      <c r="A25" s="184"/>
      <c r="B25" s="74" t="s">
        <v>175</v>
      </c>
    </row>
    <row r="26" spans="1:2" ht="25.5">
      <c r="A26" s="184"/>
      <c r="B26" s="77" t="s">
        <v>245</v>
      </c>
    </row>
    <row r="27" spans="1:2" ht="12.75">
      <c r="A27" s="184"/>
      <c r="B27" s="77"/>
    </row>
    <row r="28" spans="1:2" ht="12.75">
      <c r="A28" s="184"/>
      <c r="B28" s="74" t="s">
        <v>17</v>
      </c>
    </row>
    <row r="29" spans="1:2" ht="25.5">
      <c r="A29" s="184"/>
      <c r="B29" s="77" t="s">
        <v>246</v>
      </c>
    </row>
    <row r="30" spans="1:2" ht="12.75">
      <c r="A30" s="184"/>
      <c r="B30" s="77"/>
    </row>
    <row r="31" spans="1:2" ht="12.75">
      <c r="A31" s="184"/>
      <c r="B31" s="74" t="s">
        <v>111</v>
      </c>
    </row>
    <row r="32" spans="1:2" ht="25.5">
      <c r="A32" s="184"/>
      <c r="B32" s="77" t="s">
        <v>248</v>
      </c>
    </row>
    <row r="33" spans="1:2" ht="12.75">
      <c r="A33" s="184"/>
      <c r="B33" s="77"/>
    </row>
    <row r="34" spans="1:2" ht="12.75">
      <c r="A34" s="184"/>
      <c r="B34" s="74" t="s">
        <v>112</v>
      </c>
    </row>
    <row r="35" spans="1:2" ht="25.5">
      <c r="A35" s="184"/>
      <c r="B35" s="77" t="s">
        <v>249</v>
      </c>
    </row>
    <row r="36" spans="1:2" ht="12.75">
      <c r="A36" s="184"/>
      <c r="B36" s="77"/>
    </row>
    <row r="37" spans="1:2" ht="12.75">
      <c r="A37" s="184"/>
      <c r="B37" s="74" t="s">
        <v>113</v>
      </c>
    </row>
    <row r="38" spans="1:2" ht="25.5">
      <c r="A38" s="184"/>
      <c r="B38" s="77" t="s">
        <v>250</v>
      </c>
    </row>
    <row r="39" spans="1:2" ht="12.75">
      <c r="A39" s="184"/>
      <c r="B39" s="77"/>
    </row>
    <row r="40" spans="1:2" ht="12.75">
      <c r="A40" s="184"/>
      <c r="B40" s="74" t="s">
        <v>114</v>
      </c>
    </row>
    <row r="41" spans="1:2" ht="25.5">
      <c r="A41" s="184"/>
      <c r="B41" s="77" t="s">
        <v>251</v>
      </c>
    </row>
    <row r="42" spans="1:2" ht="12.75">
      <c r="A42" s="184"/>
      <c r="B42" s="77"/>
    </row>
    <row r="43" spans="1:2" ht="12.75">
      <c r="A43" s="184"/>
      <c r="B43" s="74" t="s">
        <v>115</v>
      </c>
    </row>
    <row r="44" spans="1:2" ht="25.5">
      <c r="A44" s="184"/>
      <c r="B44" s="77" t="s">
        <v>252</v>
      </c>
    </row>
    <row r="45" spans="1:2" ht="12.75">
      <c r="A45" s="184"/>
      <c r="B45" s="77"/>
    </row>
    <row r="46" spans="1:2" ht="12.75">
      <c r="A46" s="184"/>
      <c r="B46" s="74" t="s">
        <v>36</v>
      </c>
    </row>
    <row r="47" spans="1:2" ht="25.5">
      <c r="A47" s="184"/>
      <c r="B47" s="77" t="s">
        <v>253</v>
      </c>
    </row>
    <row r="48" spans="1:2" ht="12.75">
      <c r="A48" s="184"/>
      <c r="B48" s="77"/>
    </row>
    <row r="49" spans="1:2" ht="12.75">
      <c r="A49" s="184"/>
      <c r="B49" s="74" t="s">
        <v>116</v>
      </c>
    </row>
    <row r="50" spans="1:2" ht="25.5">
      <c r="A50" s="184"/>
      <c r="B50" s="77" t="s">
        <v>254</v>
      </c>
    </row>
    <row r="51" spans="1:2" ht="12.75">
      <c r="A51" s="184"/>
      <c r="B51" s="77"/>
    </row>
    <row r="52" spans="1:2" ht="12.75">
      <c r="A52" s="184"/>
      <c r="B52" s="74" t="s">
        <v>42</v>
      </c>
    </row>
    <row r="53" spans="1:2" ht="25.5">
      <c r="A53" s="184"/>
      <c r="B53" s="77" t="s">
        <v>255</v>
      </c>
    </row>
    <row r="54" spans="1:2" ht="12.75">
      <c r="A54" s="184"/>
      <c r="B54" s="77"/>
    </row>
    <row r="55" spans="1:2" ht="12.75">
      <c r="A55" s="184"/>
      <c r="B55" s="74" t="s">
        <v>117</v>
      </c>
    </row>
    <row r="56" spans="1:2" ht="25.5">
      <c r="A56" s="184"/>
      <c r="B56" s="77" t="s">
        <v>256</v>
      </c>
    </row>
    <row r="57" spans="1:2" ht="12.75">
      <c r="A57" s="184"/>
      <c r="B57" s="77"/>
    </row>
    <row r="58" spans="1:2" ht="12.75">
      <c r="A58" s="184"/>
      <c r="B58" s="74" t="s">
        <v>47</v>
      </c>
    </row>
    <row r="59" spans="1:2" ht="25.5">
      <c r="A59" s="184"/>
      <c r="B59" s="77" t="s">
        <v>257</v>
      </c>
    </row>
    <row r="60" spans="1:2" ht="12.75">
      <c r="A60" s="184"/>
      <c r="B60" s="77"/>
    </row>
    <row r="61" spans="1:2" ht="12.75">
      <c r="A61" s="184"/>
      <c r="B61" s="74" t="s">
        <v>118</v>
      </c>
    </row>
    <row r="62" spans="1:2" ht="25.5">
      <c r="A62" s="184"/>
      <c r="B62" s="77" t="s">
        <v>258</v>
      </c>
    </row>
    <row r="63" spans="1:2" ht="12.75">
      <c r="A63" s="184"/>
      <c r="B63" s="77"/>
    </row>
    <row r="64" spans="1:2" ht="12.75">
      <c r="A64" s="184"/>
      <c r="B64" s="74" t="s">
        <v>119</v>
      </c>
    </row>
    <row r="65" spans="1:2" ht="25.5">
      <c r="A65" s="184"/>
      <c r="B65" s="77" t="s">
        <v>259</v>
      </c>
    </row>
    <row r="66" spans="1:2" ht="12.75">
      <c r="A66" s="184"/>
      <c r="B66" s="77"/>
    </row>
    <row r="67" spans="1:2" ht="12.75">
      <c r="A67" s="184"/>
      <c r="B67" s="74" t="s">
        <v>260</v>
      </c>
    </row>
    <row r="68" spans="1:2" ht="12.75">
      <c r="A68" s="184"/>
      <c r="B68" s="77" t="s">
        <v>247</v>
      </c>
    </row>
    <row r="69" spans="1:2" ht="6.75" customHeight="1" thickBot="1">
      <c r="A69" s="186"/>
      <c r="B69" s="187"/>
    </row>
    <row r="70" ht="13.5" thickTop="1"/>
  </sheetData>
  <mergeCells count="3">
    <mergeCell ref="A14:A15"/>
    <mergeCell ref="B2:B6"/>
    <mergeCell ref="A8:A9"/>
  </mergeCells>
  <hyperlinks>
    <hyperlink ref="B19" location="'Activity Description'!A1" display="Activity Description"/>
    <hyperlink ref="B22" location="'ERR &amp; Sensitivity Analysis'!A1" display="ERR &amp; Sensitivity Analysis"/>
    <hyperlink ref="B25" location="ERR!A1" display="ERR"/>
    <hyperlink ref="B28" location="Dairy!A1" display="Dairy"/>
    <hyperlink ref="B31" location="'Wood proc'!A1" display="Wood proc"/>
    <hyperlink ref="B34" location="'Fruit conc'!A1" display="Fruit conc"/>
    <hyperlink ref="B37" location="Honey!A1" display="Honey"/>
    <hyperlink ref="B40" location="'Geo Specialty Tea'!A1" display="Geo Specialty Tea"/>
    <hyperlink ref="B43" location="'Apple juice conc. - Kaspi'!A1" display="Apple juice conc. - Kaspi"/>
    <hyperlink ref="B46" location="'Kobuleti Tourist Centre'!A1" display="Kobuleti Tourist Centre"/>
    <hyperlink ref="B49" location="'Clean Citrus Prod''s'!A1" display="Clean Citrus Prod's"/>
    <hyperlink ref="B52" location="'Sunflower seed oil'!A1" display="Sunflower seed oil"/>
    <hyperlink ref="B55" location="'High qual greens'!A1" display="High qual greens"/>
    <hyperlink ref="B58" location="'Geo Stevia'!A1" display="Geo Stevia"/>
    <hyperlink ref="B61" location="'Tomato prod''s'!A1" display="Tomato prod's"/>
    <hyperlink ref="B64" location="Nabeghlavi!A1" display="Nabeghlavi"/>
    <hyperlink ref="B67" location="'Key assumptions'!A1" display="Key assumptions"/>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9"/>
  <dimension ref="A1:P40"/>
  <sheetViews>
    <sheetView zoomScale="85" zoomScaleNormal="85" workbookViewId="0" topLeftCell="A1">
      <selection activeCell="A1" sqref="A1"/>
    </sheetView>
  </sheetViews>
  <sheetFormatPr defaultColWidth="9.140625" defaultRowHeight="12.75"/>
  <cols>
    <col min="1" max="1" width="15.140625" style="0" bestFit="1" customWidth="1"/>
    <col min="2" max="2" width="20.140625" style="0" customWidth="1"/>
    <col min="3" max="3" width="12.421875" style="0" bestFit="1" customWidth="1"/>
    <col min="4" max="4" width="9.8515625" style="0" bestFit="1" customWidth="1"/>
    <col min="5" max="5" width="12.140625" style="0" bestFit="1" customWidth="1"/>
    <col min="6" max="6" width="11.57421875" style="0" bestFit="1" customWidth="1"/>
    <col min="7" max="8" width="9.281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198" t="s">
        <v>9</v>
      </c>
      <c r="H1" s="198"/>
      <c r="I1" s="198"/>
      <c r="J1" s="198"/>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32</v>
      </c>
      <c r="D4" s="5">
        <f>575000*L9</f>
        <v>575000</v>
      </c>
      <c r="E4" s="5">
        <f>F10*L12</f>
        <v>288900</v>
      </c>
      <c r="G4" s="16">
        <v>4</v>
      </c>
      <c r="H4" s="16">
        <v>21</v>
      </c>
      <c r="I4" s="5">
        <f>500*12*L12</f>
        <v>6000</v>
      </c>
      <c r="J4" s="5">
        <f>150*12*L12</f>
        <v>1800</v>
      </c>
      <c r="K4" s="5">
        <v>1500</v>
      </c>
      <c r="L4">
        <f>2000*'Key assumptions'!C23*L12</f>
        <v>300</v>
      </c>
      <c r="M4" s="5">
        <f>200000*L12</f>
        <v>200000</v>
      </c>
    </row>
    <row r="5" spans="9:12" ht="12.75">
      <c r="I5" s="10">
        <f>(I4/12-'Key assumptions'!H16/'Key assumptions'!C3)*12</f>
        <v>3476.90744680851</v>
      </c>
      <c r="J5" s="10">
        <f>(J4/12-'Key assumptions'!G7/'Key assumptions'!C3)*12</f>
        <v>1010.2787234042553</v>
      </c>
      <c r="L5" s="10">
        <f>(L4/C15-'Key assumptions'!H25/'Key assumptions'!C3)*C15</f>
        <v>284.83224734042557</v>
      </c>
    </row>
    <row r="7" ht="12.75">
      <c r="A7" t="s">
        <v>19</v>
      </c>
    </row>
    <row r="8" spans="1:12" ht="12.75">
      <c r="A8" t="s">
        <v>101</v>
      </c>
      <c r="B8" s="20">
        <v>2700000</v>
      </c>
      <c r="C8" t="s">
        <v>102</v>
      </c>
      <c r="I8" s="120" t="s">
        <v>224</v>
      </c>
      <c r="J8" s="121"/>
      <c r="K8" s="121"/>
      <c r="L8" s="122"/>
    </row>
    <row r="9" spans="2:12" ht="12.75">
      <c r="B9" s="17"/>
      <c r="I9" s="123" t="s">
        <v>214</v>
      </c>
      <c r="J9" s="3"/>
      <c r="K9" s="3"/>
      <c r="L9" s="124">
        <f>'ERR &amp; Sensitivity Analysis'!$G$10</f>
        <v>1</v>
      </c>
    </row>
    <row r="10" spans="1:6" ht="12.75">
      <c r="A10" t="s">
        <v>99</v>
      </c>
      <c r="B10" s="27">
        <v>0.107</v>
      </c>
      <c r="C10" t="s">
        <v>100</v>
      </c>
      <c r="F10" s="5">
        <f>B8*B10</f>
        <v>288900</v>
      </c>
    </row>
    <row r="11" spans="1:12" ht="12.75">
      <c r="A11" t="s">
        <v>134</v>
      </c>
      <c r="C11" s="7">
        <v>150</v>
      </c>
      <c r="D11" t="s">
        <v>135</v>
      </c>
      <c r="I11" s="120" t="s">
        <v>225</v>
      </c>
      <c r="J11" s="121"/>
      <c r="K11" s="121"/>
      <c r="L11" s="122"/>
    </row>
    <row r="12" spans="1:12" ht="12.75">
      <c r="A12" t="s">
        <v>137</v>
      </c>
      <c r="C12" s="7">
        <v>4</v>
      </c>
      <c r="D12" t="s">
        <v>67</v>
      </c>
      <c r="I12" s="123" t="s">
        <v>216</v>
      </c>
      <c r="J12" s="3"/>
      <c r="K12" s="3"/>
      <c r="L12" s="124">
        <f>'ERR &amp; Sensitivity Analysis'!$G$11</f>
        <v>1</v>
      </c>
    </row>
    <row r="13" spans="1:4" ht="12.75">
      <c r="A13" t="s">
        <v>148</v>
      </c>
      <c r="C13" s="7">
        <v>2</v>
      </c>
      <c r="D13" t="s">
        <v>67</v>
      </c>
    </row>
    <row r="14" spans="1:4" ht="12.75">
      <c r="A14" t="s">
        <v>136</v>
      </c>
      <c r="C14" s="7">
        <v>12</v>
      </c>
      <c r="D14" t="s">
        <v>67</v>
      </c>
    </row>
    <row r="15" spans="1:4" ht="12.75">
      <c r="A15" t="s">
        <v>122</v>
      </c>
      <c r="C15" s="7">
        <v>5</v>
      </c>
      <c r="D15" t="s">
        <v>123</v>
      </c>
    </row>
    <row r="17" spans="1:16" s="63" customFormat="1" ht="12.75">
      <c r="A17" s="128"/>
      <c r="B17" s="128">
        <v>2006</v>
      </c>
      <c r="C17" s="128">
        <v>2007</v>
      </c>
      <c r="D17" s="128">
        <v>2008</v>
      </c>
      <c r="E17" s="128">
        <v>2009</v>
      </c>
      <c r="F17" s="128">
        <v>2010</v>
      </c>
      <c r="G17" s="128">
        <v>2011</v>
      </c>
      <c r="H17" s="128">
        <v>2012</v>
      </c>
      <c r="I17" s="128">
        <v>2013</v>
      </c>
      <c r="J17" s="128">
        <v>2014</v>
      </c>
      <c r="K17" s="128">
        <v>2015</v>
      </c>
      <c r="L17" s="128">
        <v>2016</v>
      </c>
      <c r="M17" s="128">
        <v>2017</v>
      </c>
      <c r="N17" s="128">
        <v>2018</v>
      </c>
      <c r="O17" s="128">
        <v>2019</v>
      </c>
      <c r="P17" s="128">
        <v>2020</v>
      </c>
    </row>
    <row r="19" spans="1:2" ht="12.75">
      <c r="A19" t="s">
        <v>6</v>
      </c>
      <c r="B19" s="5">
        <f>-D4</f>
        <v>-575000</v>
      </c>
    </row>
    <row r="20" spans="1:16" s="5" customFormat="1" ht="12.75">
      <c r="A20" s="8" t="s">
        <v>7</v>
      </c>
      <c r="B20" s="8"/>
      <c r="C20" s="8">
        <f>$E$4</f>
        <v>288900</v>
      </c>
      <c r="D20" s="8">
        <f aca="true" t="shared" si="0" ref="D20:P20">$E$4</f>
        <v>288900</v>
      </c>
      <c r="E20" s="8">
        <f t="shared" si="0"/>
        <v>288900</v>
      </c>
      <c r="F20" s="8">
        <f t="shared" si="0"/>
        <v>288900</v>
      </c>
      <c r="G20" s="8">
        <f t="shared" si="0"/>
        <v>288900</v>
      </c>
      <c r="H20" s="8">
        <f t="shared" si="0"/>
        <v>288900</v>
      </c>
      <c r="I20" s="8">
        <f t="shared" si="0"/>
        <v>288900</v>
      </c>
      <c r="J20" s="8">
        <f t="shared" si="0"/>
        <v>288900</v>
      </c>
      <c r="K20" s="8">
        <f t="shared" si="0"/>
        <v>288900</v>
      </c>
      <c r="L20" s="8">
        <f t="shared" si="0"/>
        <v>288900</v>
      </c>
      <c r="M20" s="8">
        <f t="shared" si="0"/>
        <v>288900</v>
      </c>
      <c r="N20" s="8">
        <f t="shared" si="0"/>
        <v>288900</v>
      </c>
      <c r="O20" s="8">
        <f t="shared" si="0"/>
        <v>288900</v>
      </c>
      <c r="P20" s="8">
        <f t="shared" si="0"/>
        <v>288900</v>
      </c>
    </row>
    <row r="21" spans="1:16" s="5" customFormat="1" ht="12.75">
      <c r="A21" s="5" t="s">
        <v>94</v>
      </c>
      <c r="B21" s="5">
        <f>SUM(B19:B20)</f>
        <v>-575000</v>
      </c>
      <c r="C21" s="5">
        <f aca="true" t="shared" si="1" ref="C21:P21">SUM(C19:C20)</f>
        <v>288900</v>
      </c>
      <c r="D21" s="5">
        <f t="shared" si="1"/>
        <v>288900</v>
      </c>
      <c r="E21" s="5">
        <f t="shared" si="1"/>
        <v>288900</v>
      </c>
      <c r="F21" s="5">
        <f t="shared" si="1"/>
        <v>288900</v>
      </c>
      <c r="G21" s="5">
        <f t="shared" si="1"/>
        <v>288900</v>
      </c>
      <c r="H21" s="5">
        <f t="shared" si="1"/>
        <v>288900</v>
      </c>
      <c r="I21" s="5">
        <f t="shared" si="1"/>
        <v>288900</v>
      </c>
      <c r="J21" s="5">
        <f t="shared" si="1"/>
        <v>288900</v>
      </c>
      <c r="K21" s="5">
        <f t="shared" si="1"/>
        <v>288900</v>
      </c>
      <c r="L21" s="5">
        <f t="shared" si="1"/>
        <v>288900</v>
      </c>
      <c r="M21" s="5">
        <f t="shared" si="1"/>
        <v>288900</v>
      </c>
      <c r="N21" s="5">
        <f t="shared" si="1"/>
        <v>288900</v>
      </c>
      <c r="O21" s="5">
        <f t="shared" si="1"/>
        <v>288900</v>
      </c>
      <c r="P21" s="5">
        <f t="shared" si="1"/>
        <v>288900</v>
      </c>
    </row>
    <row r="22" ht="13.5" thickBot="1"/>
    <row r="23" spans="1:2" ht="13.5" thickBot="1">
      <c r="A23" s="18" t="s">
        <v>95</v>
      </c>
      <c r="B23" s="127">
        <f>IRR(B21:P21)</f>
        <v>0.5007253073919415</v>
      </c>
    </row>
    <row r="25" spans="1:16" s="5" customFormat="1" ht="12.75">
      <c r="A25" s="5" t="s">
        <v>103</v>
      </c>
      <c r="C25" s="5">
        <f>$I$5*$G$4+$J$5*$H$4</f>
        <v>35123.482978723405</v>
      </c>
      <c r="D25" s="5">
        <f aca="true" t="shared" si="2" ref="D25:P25">$I$5*$G$4+$J$5*$H$4</f>
        <v>35123.482978723405</v>
      </c>
      <c r="E25" s="5">
        <f t="shared" si="2"/>
        <v>35123.482978723405</v>
      </c>
      <c r="F25" s="5">
        <f t="shared" si="2"/>
        <v>35123.482978723405</v>
      </c>
      <c r="G25" s="5">
        <f t="shared" si="2"/>
        <v>35123.482978723405</v>
      </c>
      <c r="H25" s="5">
        <f t="shared" si="2"/>
        <v>35123.482978723405</v>
      </c>
      <c r="I25" s="5">
        <f t="shared" si="2"/>
        <v>35123.482978723405</v>
      </c>
      <c r="J25" s="5">
        <f t="shared" si="2"/>
        <v>35123.482978723405</v>
      </c>
      <c r="K25" s="5">
        <f t="shared" si="2"/>
        <v>35123.482978723405</v>
      </c>
      <c r="L25" s="5">
        <f t="shared" si="2"/>
        <v>35123.482978723405</v>
      </c>
      <c r="M25" s="5">
        <f t="shared" si="2"/>
        <v>35123.482978723405</v>
      </c>
      <c r="N25" s="5">
        <f t="shared" si="2"/>
        <v>35123.482978723405</v>
      </c>
      <c r="O25" s="5">
        <f t="shared" si="2"/>
        <v>35123.482978723405</v>
      </c>
      <c r="P25" s="5">
        <f t="shared" si="2"/>
        <v>35123.482978723405</v>
      </c>
    </row>
    <row r="26" spans="1:16" s="5" customFormat="1" ht="12.75">
      <c r="A26" s="5" t="s">
        <v>96</v>
      </c>
      <c r="C26" s="5">
        <f>$L$5*$K$4</f>
        <v>427248.37101063837</v>
      </c>
      <c r="D26" s="5">
        <f aca="true" t="shared" si="3" ref="D26:P26">$L$5*$K$4</f>
        <v>427248.37101063837</v>
      </c>
      <c r="E26" s="5">
        <f t="shared" si="3"/>
        <v>427248.37101063837</v>
      </c>
      <c r="F26" s="5">
        <f t="shared" si="3"/>
        <v>427248.37101063837</v>
      </c>
      <c r="G26" s="5">
        <f t="shared" si="3"/>
        <v>427248.37101063837</v>
      </c>
      <c r="H26" s="5">
        <f t="shared" si="3"/>
        <v>427248.37101063837</v>
      </c>
      <c r="I26" s="5">
        <f t="shared" si="3"/>
        <v>427248.37101063837</v>
      </c>
      <c r="J26" s="5">
        <f t="shared" si="3"/>
        <v>427248.37101063837</v>
      </c>
      <c r="K26" s="5">
        <f t="shared" si="3"/>
        <v>427248.37101063837</v>
      </c>
      <c r="L26" s="5">
        <f t="shared" si="3"/>
        <v>427248.37101063837</v>
      </c>
      <c r="M26" s="5">
        <f t="shared" si="3"/>
        <v>427248.37101063837</v>
      </c>
      <c r="N26" s="5">
        <f t="shared" si="3"/>
        <v>427248.37101063837</v>
      </c>
      <c r="O26" s="5">
        <f t="shared" si="3"/>
        <v>427248.37101063837</v>
      </c>
      <c r="P26" s="5">
        <f t="shared" si="3"/>
        <v>427248.37101063837</v>
      </c>
    </row>
    <row r="27" spans="1:16" s="8" customFormat="1" ht="12.75">
      <c r="A27" s="8" t="s">
        <v>97</v>
      </c>
      <c r="C27" s="8">
        <f>$M$4</f>
        <v>200000</v>
      </c>
      <c r="D27" s="8">
        <f aca="true" t="shared" si="4" ref="D27:P27">$M$4</f>
        <v>200000</v>
      </c>
      <c r="E27" s="8">
        <f t="shared" si="4"/>
        <v>200000</v>
      </c>
      <c r="F27" s="8">
        <f t="shared" si="4"/>
        <v>200000</v>
      </c>
      <c r="G27" s="8">
        <f t="shared" si="4"/>
        <v>200000</v>
      </c>
      <c r="H27" s="8">
        <f t="shared" si="4"/>
        <v>200000</v>
      </c>
      <c r="I27" s="8">
        <f t="shared" si="4"/>
        <v>200000</v>
      </c>
      <c r="J27" s="8">
        <f t="shared" si="4"/>
        <v>200000</v>
      </c>
      <c r="K27" s="8">
        <f t="shared" si="4"/>
        <v>200000</v>
      </c>
      <c r="L27" s="8">
        <f t="shared" si="4"/>
        <v>200000</v>
      </c>
      <c r="M27" s="8">
        <f t="shared" si="4"/>
        <v>200000</v>
      </c>
      <c r="N27" s="8">
        <f t="shared" si="4"/>
        <v>200000</v>
      </c>
      <c r="O27" s="8">
        <f t="shared" si="4"/>
        <v>200000</v>
      </c>
      <c r="P27" s="8">
        <f t="shared" si="4"/>
        <v>200000</v>
      </c>
    </row>
    <row r="28" spans="1:16" s="5" customFormat="1" ht="12.75">
      <c r="A28" s="21" t="s">
        <v>98</v>
      </c>
      <c r="B28" s="5">
        <f>B21</f>
        <v>-575000</v>
      </c>
      <c r="C28" s="5">
        <f>C21+SUM(C25:C27)</f>
        <v>951271.8539893618</v>
      </c>
      <c r="D28" s="5">
        <f aca="true" t="shared" si="5" ref="D28:P28">D21+SUM(D25:D27)</f>
        <v>951271.8539893618</v>
      </c>
      <c r="E28" s="5">
        <f t="shared" si="5"/>
        <v>951271.8539893618</v>
      </c>
      <c r="F28" s="5">
        <f t="shared" si="5"/>
        <v>951271.8539893618</v>
      </c>
      <c r="G28" s="5">
        <f t="shared" si="5"/>
        <v>951271.8539893618</v>
      </c>
      <c r="H28" s="5">
        <f t="shared" si="5"/>
        <v>951271.8539893618</v>
      </c>
      <c r="I28" s="5">
        <f t="shared" si="5"/>
        <v>951271.8539893618</v>
      </c>
      <c r="J28" s="5">
        <f t="shared" si="5"/>
        <v>951271.8539893618</v>
      </c>
      <c r="K28" s="5">
        <f t="shared" si="5"/>
        <v>951271.8539893618</v>
      </c>
      <c r="L28" s="5">
        <f t="shared" si="5"/>
        <v>951271.8539893618</v>
      </c>
      <c r="M28" s="5">
        <f t="shared" si="5"/>
        <v>951271.8539893618</v>
      </c>
      <c r="N28" s="5">
        <f t="shared" si="5"/>
        <v>951271.8539893618</v>
      </c>
      <c r="O28" s="5">
        <f t="shared" si="5"/>
        <v>951271.8539893618</v>
      </c>
      <c r="P28" s="5">
        <f t="shared" si="5"/>
        <v>951271.8539893618</v>
      </c>
    </row>
    <row r="29" ht="13.5" thickBot="1"/>
    <row r="30" spans="1:2" ht="13.5" thickBot="1">
      <c r="A30" s="18" t="s">
        <v>147</v>
      </c>
      <c r="B30" s="129">
        <f>IRR(B28:P28)</f>
        <v>1.6543839137177965</v>
      </c>
    </row>
    <row r="31" spans="1:2" ht="12.75">
      <c r="A31" s="22"/>
      <c r="B31" s="23"/>
    </row>
    <row r="32" spans="1:16" ht="12.75">
      <c r="A32" t="s">
        <v>105</v>
      </c>
      <c r="B32" s="5">
        <f>B36</f>
        <v>-575000</v>
      </c>
      <c r="C32" s="5">
        <f aca="true" t="shared" si="6" ref="C32:P32">C28-C26</f>
        <v>524023.4829787234</v>
      </c>
      <c r="D32" s="5">
        <f t="shared" si="6"/>
        <v>524023.4829787234</v>
      </c>
      <c r="E32" s="5">
        <f t="shared" si="6"/>
        <v>524023.4829787234</v>
      </c>
      <c r="F32" s="5">
        <f t="shared" si="6"/>
        <v>524023.4829787234</v>
      </c>
      <c r="G32" s="5">
        <f t="shared" si="6"/>
        <v>524023.4829787234</v>
      </c>
      <c r="H32" s="5">
        <f t="shared" si="6"/>
        <v>524023.4829787234</v>
      </c>
      <c r="I32" s="5">
        <f t="shared" si="6"/>
        <v>524023.4829787234</v>
      </c>
      <c r="J32" s="5">
        <f t="shared" si="6"/>
        <v>524023.4829787234</v>
      </c>
      <c r="K32" s="5">
        <f t="shared" si="6"/>
        <v>524023.4829787234</v>
      </c>
      <c r="L32" s="5">
        <f t="shared" si="6"/>
        <v>524023.4829787234</v>
      </c>
      <c r="M32" s="5">
        <f t="shared" si="6"/>
        <v>524023.4829787234</v>
      </c>
      <c r="N32" s="5">
        <f t="shared" si="6"/>
        <v>524023.4829787234</v>
      </c>
      <c r="O32" s="5">
        <f t="shared" si="6"/>
        <v>524023.4829787234</v>
      </c>
      <c r="P32" s="5">
        <f t="shared" si="6"/>
        <v>524023.4829787234</v>
      </c>
    </row>
    <row r="33" ht="13.5" thickBot="1"/>
    <row r="34" spans="1:2" ht="13.5" thickBot="1">
      <c r="A34" s="18" t="s">
        <v>106</v>
      </c>
      <c r="B34" s="19">
        <f>IRR(B32:P32)</f>
        <v>0.9112401684687612</v>
      </c>
    </row>
    <row r="36" spans="1:16" ht="12.75">
      <c r="A36" t="s">
        <v>104</v>
      </c>
      <c r="B36" s="5">
        <f>B28</f>
        <v>-575000</v>
      </c>
      <c r="C36" s="5">
        <f>C28-C26-C27</f>
        <v>324023.4829787234</v>
      </c>
      <c r="D36" s="5">
        <f aca="true" t="shared" si="7" ref="D36:P36">D28-D26-D27</f>
        <v>324023.4829787234</v>
      </c>
      <c r="E36" s="5">
        <f t="shared" si="7"/>
        <v>324023.4829787234</v>
      </c>
      <c r="F36" s="5">
        <f t="shared" si="7"/>
        <v>324023.4829787234</v>
      </c>
      <c r="G36" s="5">
        <f t="shared" si="7"/>
        <v>324023.4829787234</v>
      </c>
      <c r="H36" s="5">
        <f t="shared" si="7"/>
        <v>324023.4829787234</v>
      </c>
      <c r="I36" s="5">
        <f t="shared" si="7"/>
        <v>324023.4829787234</v>
      </c>
      <c r="J36" s="5">
        <f t="shared" si="7"/>
        <v>324023.4829787234</v>
      </c>
      <c r="K36" s="5">
        <f t="shared" si="7"/>
        <v>324023.4829787234</v>
      </c>
      <c r="L36" s="5">
        <f t="shared" si="7"/>
        <v>324023.4829787234</v>
      </c>
      <c r="M36" s="5">
        <f t="shared" si="7"/>
        <v>324023.4829787234</v>
      </c>
      <c r="N36" s="5">
        <f t="shared" si="7"/>
        <v>324023.4829787234</v>
      </c>
      <c r="O36" s="5">
        <f t="shared" si="7"/>
        <v>324023.4829787234</v>
      </c>
      <c r="P36" s="5">
        <f t="shared" si="7"/>
        <v>324023.4829787234</v>
      </c>
    </row>
    <row r="37" ht="13.5" thickBot="1"/>
    <row r="38" spans="1:2" ht="13.5" thickBot="1">
      <c r="A38" s="18" t="s">
        <v>107</v>
      </c>
      <c r="B38" s="19">
        <f>IRR(B36:P36)</f>
        <v>0.5624283968186313</v>
      </c>
    </row>
    <row r="40" spans="1:8" ht="12.75" customHeight="1">
      <c r="A40" s="193">
        <f>IF('ERR &amp; Sensitivity Analysis'!$I$10="N","Note: Current calculations are based on user input and are not the original MCC estimates.",IF('ERR &amp; Sensitivity Analysis'!$I$11="N","Note: Current calculations are based on user input and are not the original MCC estimates.",0))</f>
        <v>0</v>
      </c>
      <c r="B40" s="193"/>
      <c r="C40" s="193"/>
      <c r="D40" s="193"/>
      <c r="E40" s="193"/>
      <c r="F40" s="193"/>
      <c r="G40" s="193"/>
      <c r="H40" s="193"/>
    </row>
  </sheetData>
  <mergeCells count="2">
    <mergeCell ref="G1:J1"/>
    <mergeCell ref="A40:H40"/>
  </mergeCells>
  <conditionalFormatting sqref="A40">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10"/>
  <dimension ref="A1:P38"/>
  <sheetViews>
    <sheetView zoomScale="85" zoomScaleNormal="85" workbookViewId="0" topLeftCell="A1">
      <selection activeCell="A1" sqref="A1"/>
    </sheetView>
  </sheetViews>
  <sheetFormatPr defaultColWidth="9.140625" defaultRowHeight="12.75"/>
  <cols>
    <col min="1" max="1" width="15.140625" style="0" bestFit="1" customWidth="1"/>
    <col min="2" max="2" width="10.8515625" style="0" bestFit="1" customWidth="1"/>
    <col min="3" max="3" width="12.421875" style="0" bestFit="1" customWidth="1"/>
    <col min="4" max="4" width="9.8515625" style="0" bestFit="1" customWidth="1"/>
    <col min="5" max="5" width="12.140625" style="0" bestFit="1" customWidth="1"/>
    <col min="6" max="6" width="11.57421875" style="0" bestFit="1" customWidth="1"/>
    <col min="7" max="7" width="8.57421875" style="0" bestFit="1" customWidth="1"/>
    <col min="8" max="8" width="8.1406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198" t="s">
        <v>9</v>
      </c>
      <c r="H1" s="198"/>
      <c r="I1" s="198"/>
      <c r="J1" s="198"/>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33</v>
      </c>
      <c r="D4" s="5">
        <f>(160000+30000+290000)*L8</f>
        <v>480000</v>
      </c>
      <c r="E4" s="5">
        <f>(600-450)*2000*L11</f>
        <v>300000</v>
      </c>
      <c r="G4" s="16">
        <f>(D4/'Fruit conc'!D4)*'Fruit conc'!G4</f>
        <v>0.96</v>
      </c>
      <c r="H4" s="16">
        <f>(D4/'Fruit conc'!D4)*'Fruit conc'!H4</f>
        <v>16</v>
      </c>
      <c r="I4" s="5">
        <f>600*12*L11</f>
        <v>7200</v>
      </c>
      <c r="J4" s="5">
        <f>150*12*L11</f>
        <v>1800</v>
      </c>
      <c r="K4" s="5">
        <v>1000</v>
      </c>
      <c r="L4" s="13">
        <f>(E4/'Fruit conc'!E4)*'Fruit conc'!L4</f>
        <v>111.5702479338843</v>
      </c>
      <c r="M4" s="10">
        <f>'Key assumptions'!F32*E4</f>
        <v>117081.46092593524</v>
      </c>
    </row>
    <row r="5" spans="9:12" ht="12.75">
      <c r="I5" s="10">
        <f>(I4/12-'Key assumptions'!H16/'Key assumptions'!C3)*12</f>
        <v>4676.90744680851</v>
      </c>
      <c r="J5" s="10">
        <f>(J4/12-'Key assumptions'!G7/'Key assumptions'!C3)*12</f>
        <v>1010.2787234042553</v>
      </c>
      <c r="L5" s="10">
        <f>(L4/C11-'Key assumptions'!H25/'Key assumptions'!C3)*C11</f>
        <v>96.40249527430983</v>
      </c>
    </row>
    <row r="6" ht="12.75">
      <c r="A6" t="s">
        <v>19</v>
      </c>
    </row>
    <row r="7" spans="1:12" ht="12.75">
      <c r="A7">
        <v>1.9</v>
      </c>
      <c r="B7" t="s">
        <v>34</v>
      </c>
      <c r="I7" s="120" t="s">
        <v>224</v>
      </c>
      <c r="J7" s="121"/>
      <c r="K7" s="121"/>
      <c r="L7" s="122"/>
    </row>
    <row r="8" spans="1:12" ht="12.75">
      <c r="A8">
        <v>450</v>
      </c>
      <c r="B8" t="s">
        <v>35</v>
      </c>
      <c r="I8" s="123" t="s">
        <v>214</v>
      </c>
      <c r="J8" s="3"/>
      <c r="K8" s="3"/>
      <c r="L8" s="124">
        <f>'ERR &amp; Sensitivity Analysis'!$G$10</f>
        <v>1</v>
      </c>
    </row>
    <row r="10" spans="2:12" ht="12.75">
      <c r="B10" s="17"/>
      <c r="I10" s="120" t="s">
        <v>225</v>
      </c>
      <c r="J10" s="121"/>
      <c r="K10" s="121"/>
      <c r="L10" s="122"/>
    </row>
    <row r="11" spans="1:12" ht="12.75">
      <c r="A11" t="s">
        <v>122</v>
      </c>
      <c r="C11" s="7">
        <v>5</v>
      </c>
      <c r="D11" t="s">
        <v>123</v>
      </c>
      <c r="I11" s="123" t="s">
        <v>216</v>
      </c>
      <c r="J11" s="3"/>
      <c r="K11" s="3"/>
      <c r="L11" s="124">
        <f>'ERR &amp; Sensitivity Analysis'!$G$11</f>
        <v>1</v>
      </c>
    </row>
    <row r="15" spans="1:16" s="63" customFormat="1" ht="12.75">
      <c r="A15" s="128"/>
      <c r="B15" s="128">
        <v>2006</v>
      </c>
      <c r="C15" s="128">
        <v>2007</v>
      </c>
      <c r="D15" s="128">
        <v>2008</v>
      </c>
      <c r="E15" s="128">
        <v>2009</v>
      </c>
      <c r="F15" s="128">
        <v>2010</v>
      </c>
      <c r="G15" s="128">
        <v>2011</v>
      </c>
      <c r="H15" s="128">
        <v>2012</v>
      </c>
      <c r="I15" s="128">
        <v>2013</v>
      </c>
      <c r="J15" s="128">
        <v>2014</v>
      </c>
      <c r="K15" s="128">
        <v>2015</v>
      </c>
      <c r="L15" s="128">
        <v>2016</v>
      </c>
      <c r="M15" s="128">
        <v>2017</v>
      </c>
      <c r="N15" s="128">
        <v>2018</v>
      </c>
      <c r="O15" s="128">
        <v>2019</v>
      </c>
      <c r="P15" s="128">
        <v>2020</v>
      </c>
    </row>
    <row r="17" spans="1:2" ht="12.75">
      <c r="A17" t="s">
        <v>6</v>
      </c>
      <c r="B17" s="5">
        <f>-D4</f>
        <v>-480000</v>
      </c>
    </row>
    <row r="18" spans="1:16" s="5" customFormat="1" ht="12.75">
      <c r="A18" s="8" t="s">
        <v>7</v>
      </c>
      <c r="B18" s="8"/>
      <c r="C18" s="8">
        <f aca="true" t="shared" si="0" ref="C18:P18">$E$4</f>
        <v>300000</v>
      </c>
      <c r="D18" s="8">
        <f t="shared" si="0"/>
        <v>300000</v>
      </c>
      <c r="E18" s="8">
        <f t="shared" si="0"/>
        <v>300000</v>
      </c>
      <c r="F18" s="8">
        <f t="shared" si="0"/>
        <v>300000</v>
      </c>
      <c r="G18" s="8">
        <f t="shared" si="0"/>
        <v>300000</v>
      </c>
      <c r="H18" s="8">
        <f t="shared" si="0"/>
        <v>300000</v>
      </c>
      <c r="I18" s="8">
        <f t="shared" si="0"/>
        <v>300000</v>
      </c>
      <c r="J18" s="8">
        <f t="shared" si="0"/>
        <v>300000</v>
      </c>
      <c r="K18" s="8">
        <f t="shared" si="0"/>
        <v>300000</v>
      </c>
      <c r="L18" s="8">
        <f t="shared" si="0"/>
        <v>300000</v>
      </c>
      <c r="M18" s="8">
        <f t="shared" si="0"/>
        <v>300000</v>
      </c>
      <c r="N18" s="8">
        <f t="shared" si="0"/>
        <v>300000</v>
      </c>
      <c r="O18" s="8">
        <f t="shared" si="0"/>
        <v>300000</v>
      </c>
      <c r="P18" s="8">
        <f t="shared" si="0"/>
        <v>300000</v>
      </c>
    </row>
    <row r="19" spans="1:16" s="5" customFormat="1" ht="12.75">
      <c r="A19" s="5" t="s">
        <v>94</v>
      </c>
      <c r="B19" s="5">
        <f>SUM(B17:B18)</f>
        <v>-480000</v>
      </c>
      <c r="C19" s="5">
        <f aca="true" t="shared" si="1" ref="C19:P19">SUM(C17:C18)</f>
        <v>300000</v>
      </c>
      <c r="D19" s="5">
        <f t="shared" si="1"/>
        <v>300000</v>
      </c>
      <c r="E19" s="5">
        <f t="shared" si="1"/>
        <v>300000</v>
      </c>
      <c r="F19" s="5">
        <f t="shared" si="1"/>
        <v>300000</v>
      </c>
      <c r="G19" s="5">
        <f t="shared" si="1"/>
        <v>300000</v>
      </c>
      <c r="H19" s="5">
        <f t="shared" si="1"/>
        <v>300000</v>
      </c>
      <c r="I19" s="5">
        <f t="shared" si="1"/>
        <v>300000</v>
      </c>
      <c r="J19" s="5">
        <f t="shared" si="1"/>
        <v>300000</v>
      </c>
      <c r="K19" s="5">
        <f t="shared" si="1"/>
        <v>300000</v>
      </c>
      <c r="L19" s="5">
        <f t="shared" si="1"/>
        <v>300000</v>
      </c>
      <c r="M19" s="5">
        <f t="shared" si="1"/>
        <v>300000</v>
      </c>
      <c r="N19" s="5">
        <f t="shared" si="1"/>
        <v>300000</v>
      </c>
      <c r="O19" s="5">
        <f t="shared" si="1"/>
        <v>300000</v>
      </c>
      <c r="P19" s="5">
        <f t="shared" si="1"/>
        <v>300000</v>
      </c>
    </row>
    <row r="20" ht="13.5" thickBot="1"/>
    <row r="21" spans="1:2" ht="13.5" thickBot="1">
      <c r="A21" s="18" t="s">
        <v>95</v>
      </c>
      <c r="B21" s="127">
        <f>IRR(B19:P19)</f>
        <v>0.6242976372975948</v>
      </c>
    </row>
    <row r="23" spans="1:16" s="5" customFormat="1" ht="12.75">
      <c r="A23" s="5" t="s">
        <v>103</v>
      </c>
      <c r="C23" s="5">
        <f>$I$5*$G$4+$J$5*$H$4</f>
        <v>20654.290723404254</v>
      </c>
      <c r="D23" s="5">
        <f aca="true" t="shared" si="2" ref="D23:P23">$I$5*$G$4+$J$5*$H$4</f>
        <v>20654.290723404254</v>
      </c>
      <c r="E23" s="5">
        <f t="shared" si="2"/>
        <v>20654.290723404254</v>
      </c>
      <c r="F23" s="5">
        <f t="shared" si="2"/>
        <v>20654.290723404254</v>
      </c>
      <c r="G23" s="5">
        <f t="shared" si="2"/>
        <v>20654.290723404254</v>
      </c>
      <c r="H23" s="5">
        <f t="shared" si="2"/>
        <v>20654.290723404254</v>
      </c>
      <c r="I23" s="5">
        <f t="shared" si="2"/>
        <v>20654.290723404254</v>
      </c>
      <c r="J23" s="5">
        <f t="shared" si="2"/>
        <v>20654.290723404254</v>
      </c>
      <c r="K23" s="5">
        <f t="shared" si="2"/>
        <v>20654.290723404254</v>
      </c>
      <c r="L23" s="5">
        <f t="shared" si="2"/>
        <v>20654.290723404254</v>
      </c>
      <c r="M23" s="5">
        <f t="shared" si="2"/>
        <v>20654.290723404254</v>
      </c>
      <c r="N23" s="5">
        <f t="shared" si="2"/>
        <v>20654.290723404254</v>
      </c>
      <c r="O23" s="5">
        <f t="shared" si="2"/>
        <v>20654.290723404254</v>
      </c>
      <c r="P23" s="5">
        <f t="shared" si="2"/>
        <v>20654.290723404254</v>
      </c>
    </row>
    <row r="24" spans="1:16" s="5" customFormat="1" ht="12.75">
      <c r="A24" s="5" t="s">
        <v>96</v>
      </c>
      <c r="C24" s="5">
        <f>$L$5*$K$4</f>
        <v>96402.49527430983</v>
      </c>
      <c r="D24" s="5">
        <f aca="true" t="shared" si="3" ref="D24:P24">$L$5*$K$4</f>
        <v>96402.49527430983</v>
      </c>
      <c r="E24" s="5">
        <f t="shared" si="3"/>
        <v>96402.49527430983</v>
      </c>
      <c r="F24" s="5">
        <f t="shared" si="3"/>
        <v>96402.49527430983</v>
      </c>
      <c r="G24" s="5">
        <f t="shared" si="3"/>
        <v>96402.49527430983</v>
      </c>
      <c r="H24" s="5">
        <f t="shared" si="3"/>
        <v>96402.49527430983</v>
      </c>
      <c r="I24" s="5">
        <f t="shared" si="3"/>
        <v>96402.49527430983</v>
      </c>
      <c r="J24" s="5">
        <f t="shared" si="3"/>
        <v>96402.49527430983</v>
      </c>
      <c r="K24" s="5">
        <f t="shared" si="3"/>
        <v>96402.49527430983</v>
      </c>
      <c r="L24" s="5">
        <f t="shared" si="3"/>
        <v>96402.49527430983</v>
      </c>
      <c r="M24" s="5">
        <f t="shared" si="3"/>
        <v>96402.49527430983</v>
      </c>
      <c r="N24" s="5">
        <f t="shared" si="3"/>
        <v>96402.49527430983</v>
      </c>
      <c r="O24" s="5">
        <f t="shared" si="3"/>
        <v>96402.49527430983</v>
      </c>
      <c r="P24" s="5">
        <f t="shared" si="3"/>
        <v>96402.49527430983</v>
      </c>
    </row>
    <row r="25" spans="1:16" s="8" customFormat="1" ht="12.75">
      <c r="A25" s="8" t="s">
        <v>97</v>
      </c>
      <c r="C25" s="8">
        <f>$M$4</f>
        <v>117081.46092593524</v>
      </c>
      <c r="D25" s="8">
        <f aca="true" t="shared" si="4" ref="D25:P25">$M$4</f>
        <v>117081.46092593524</v>
      </c>
      <c r="E25" s="8">
        <f t="shared" si="4"/>
        <v>117081.46092593524</v>
      </c>
      <c r="F25" s="8">
        <f t="shared" si="4"/>
        <v>117081.46092593524</v>
      </c>
      <c r="G25" s="8">
        <f t="shared" si="4"/>
        <v>117081.46092593524</v>
      </c>
      <c r="H25" s="8">
        <f t="shared" si="4"/>
        <v>117081.46092593524</v>
      </c>
      <c r="I25" s="8">
        <f t="shared" si="4"/>
        <v>117081.46092593524</v>
      </c>
      <c r="J25" s="8">
        <f t="shared" si="4"/>
        <v>117081.46092593524</v>
      </c>
      <c r="K25" s="8">
        <f t="shared" si="4"/>
        <v>117081.46092593524</v>
      </c>
      <c r="L25" s="8">
        <f t="shared" si="4"/>
        <v>117081.46092593524</v>
      </c>
      <c r="M25" s="8">
        <f t="shared" si="4"/>
        <v>117081.46092593524</v>
      </c>
      <c r="N25" s="8">
        <f t="shared" si="4"/>
        <v>117081.46092593524</v>
      </c>
      <c r="O25" s="8">
        <f t="shared" si="4"/>
        <v>117081.46092593524</v>
      </c>
      <c r="P25" s="8">
        <f t="shared" si="4"/>
        <v>117081.46092593524</v>
      </c>
    </row>
    <row r="26" spans="1:16" s="5" customFormat="1" ht="12.75">
      <c r="A26" s="21" t="s">
        <v>98</v>
      </c>
      <c r="B26" s="5">
        <f>B19</f>
        <v>-480000</v>
      </c>
      <c r="C26" s="5">
        <f>C19+SUM(C23:C25)</f>
        <v>534138.2469236493</v>
      </c>
      <c r="D26" s="5">
        <f aca="true" t="shared" si="5" ref="D26:P26">D19+SUM(D23:D25)</f>
        <v>534138.2469236493</v>
      </c>
      <c r="E26" s="5">
        <f t="shared" si="5"/>
        <v>534138.2469236493</v>
      </c>
      <c r="F26" s="5">
        <f t="shared" si="5"/>
        <v>534138.2469236493</v>
      </c>
      <c r="G26" s="5">
        <f t="shared" si="5"/>
        <v>534138.2469236493</v>
      </c>
      <c r="H26" s="5">
        <f t="shared" si="5"/>
        <v>534138.2469236493</v>
      </c>
      <c r="I26" s="5">
        <f t="shared" si="5"/>
        <v>534138.2469236493</v>
      </c>
      <c r="J26" s="5">
        <f t="shared" si="5"/>
        <v>534138.2469236493</v>
      </c>
      <c r="K26" s="5">
        <f t="shared" si="5"/>
        <v>534138.2469236493</v>
      </c>
      <c r="L26" s="5">
        <f t="shared" si="5"/>
        <v>534138.2469236493</v>
      </c>
      <c r="M26" s="5">
        <f t="shared" si="5"/>
        <v>534138.2469236493</v>
      </c>
      <c r="N26" s="5">
        <f t="shared" si="5"/>
        <v>534138.2469236493</v>
      </c>
      <c r="O26" s="5">
        <f t="shared" si="5"/>
        <v>534138.2469236493</v>
      </c>
      <c r="P26" s="5">
        <f t="shared" si="5"/>
        <v>534138.2469236493</v>
      </c>
    </row>
    <row r="27" ht="13.5" thickBot="1"/>
    <row r="28" spans="1:2" ht="13.5" thickBot="1">
      <c r="A28" s="18" t="s">
        <v>147</v>
      </c>
      <c r="B28" s="129">
        <f>IRR(B26:P26)</f>
        <v>1.1127564992153482</v>
      </c>
    </row>
    <row r="29" spans="1:2" ht="12.75">
      <c r="A29" s="22"/>
      <c r="B29" s="23"/>
    </row>
    <row r="30" spans="1:16" ht="12.75">
      <c r="A30" t="s">
        <v>105</v>
      </c>
      <c r="B30" s="5">
        <f>B34</f>
        <v>-480000</v>
      </c>
      <c r="C30" s="5">
        <f aca="true" t="shared" si="6" ref="C30:P30">C26-C24</f>
        <v>437735.7516493395</v>
      </c>
      <c r="D30" s="5">
        <f t="shared" si="6"/>
        <v>437735.7516493395</v>
      </c>
      <c r="E30" s="5">
        <f t="shared" si="6"/>
        <v>437735.7516493395</v>
      </c>
      <c r="F30" s="5">
        <f t="shared" si="6"/>
        <v>437735.7516493395</v>
      </c>
      <c r="G30" s="5">
        <f t="shared" si="6"/>
        <v>437735.7516493395</v>
      </c>
      <c r="H30" s="5">
        <f t="shared" si="6"/>
        <v>437735.7516493395</v>
      </c>
      <c r="I30" s="5">
        <f t="shared" si="6"/>
        <v>437735.7516493395</v>
      </c>
      <c r="J30" s="5">
        <f t="shared" si="6"/>
        <v>437735.7516493395</v>
      </c>
      <c r="K30" s="5">
        <f t="shared" si="6"/>
        <v>437735.7516493395</v>
      </c>
      <c r="L30" s="5">
        <f t="shared" si="6"/>
        <v>437735.7516493395</v>
      </c>
      <c r="M30" s="5">
        <f t="shared" si="6"/>
        <v>437735.7516493395</v>
      </c>
      <c r="N30" s="5">
        <f t="shared" si="6"/>
        <v>437735.7516493395</v>
      </c>
      <c r="O30" s="5">
        <f t="shared" si="6"/>
        <v>437735.7516493395</v>
      </c>
      <c r="P30" s="5">
        <f t="shared" si="6"/>
        <v>437735.7516493395</v>
      </c>
    </row>
    <row r="31" ht="13.5" thickBot="1"/>
    <row r="32" spans="1:2" ht="13.5" thickBot="1">
      <c r="A32" s="18" t="s">
        <v>106</v>
      </c>
      <c r="B32" s="19">
        <f>IRR(B30:P30)</f>
        <v>0.9118448580249607</v>
      </c>
    </row>
    <row r="34" spans="1:16" ht="12.75">
      <c r="A34" t="s">
        <v>104</v>
      </c>
      <c r="B34" s="5">
        <f>B26</f>
        <v>-480000</v>
      </c>
      <c r="C34" s="5">
        <f>C26-C24-C25</f>
        <v>320654.29072340427</v>
      </c>
      <c r="D34" s="5">
        <f aca="true" t="shared" si="7" ref="D34:P34">D26-D24-D25</f>
        <v>320654.29072340427</v>
      </c>
      <c r="E34" s="5">
        <f t="shared" si="7"/>
        <v>320654.29072340427</v>
      </c>
      <c r="F34" s="5">
        <f t="shared" si="7"/>
        <v>320654.29072340427</v>
      </c>
      <c r="G34" s="5">
        <f t="shared" si="7"/>
        <v>320654.29072340427</v>
      </c>
      <c r="H34" s="5">
        <f t="shared" si="7"/>
        <v>320654.29072340427</v>
      </c>
      <c r="I34" s="5">
        <f t="shared" si="7"/>
        <v>320654.29072340427</v>
      </c>
      <c r="J34" s="5">
        <f t="shared" si="7"/>
        <v>320654.29072340427</v>
      </c>
      <c r="K34" s="5">
        <f t="shared" si="7"/>
        <v>320654.29072340427</v>
      </c>
      <c r="L34" s="5">
        <f t="shared" si="7"/>
        <v>320654.29072340427</v>
      </c>
      <c r="M34" s="5">
        <f t="shared" si="7"/>
        <v>320654.29072340427</v>
      </c>
      <c r="N34" s="5">
        <f t="shared" si="7"/>
        <v>320654.29072340427</v>
      </c>
      <c r="O34" s="5">
        <f t="shared" si="7"/>
        <v>320654.29072340427</v>
      </c>
      <c r="P34" s="5">
        <f t="shared" si="7"/>
        <v>320654.29072340427</v>
      </c>
    </row>
    <row r="35" ht="13.5" thickBot="1"/>
    <row r="36" spans="1:2" ht="13.5" thickBot="1">
      <c r="A36" s="18" t="s">
        <v>107</v>
      </c>
      <c r="B36" s="19">
        <f>IRR(B34:P34)</f>
        <v>0.6675099706750779</v>
      </c>
    </row>
    <row r="38" spans="1:8" ht="12.75" customHeight="1">
      <c r="A38" s="193">
        <f>IF('ERR &amp; Sensitivity Analysis'!$I$10="N","Note: Current calculations are based on user input and are not the original MCC estimates.",IF('ERR &amp; Sensitivity Analysis'!$I$11="N","Note: Current calculations are based on user input and are not the original MCC estimates.",0))</f>
        <v>0</v>
      </c>
      <c r="B38" s="193"/>
      <c r="C38" s="193"/>
      <c r="D38" s="193"/>
      <c r="E38" s="193"/>
      <c r="F38" s="193"/>
      <c r="G38" s="193"/>
      <c r="H38" s="193"/>
    </row>
  </sheetData>
  <mergeCells count="2">
    <mergeCell ref="G1:J1"/>
    <mergeCell ref="A38:H38"/>
  </mergeCells>
  <conditionalFormatting sqref="A38">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codeName="Sheet11"/>
  <dimension ref="A1:P38"/>
  <sheetViews>
    <sheetView zoomScale="85" zoomScaleNormal="85" workbookViewId="0" topLeftCell="A1">
      <selection activeCell="A1" sqref="A1"/>
    </sheetView>
  </sheetViews>
  <sheetFormatPr defaultColWidth="9.140625" defaultRowHeight="12.75"/>
  <cols>
    <col min="1" max="1" width="15.140625" style="0" bestFit="1" customWidth="1"/>
    <col min="2" max="2" width="20.28125" style="0" bestFit="1" customWidth="1"/>
    <col min="3" max="3" width="12.57421875" style="0" bestFit="1" customWidth="1"/>
    <col min="4" max="4" width="10.00390625" style="0" bestFit="1" customWidth="1"/>
    <col min="5" max="5" width="12.28125" style="0" bestFit="1" customWidth="1"/>
    <col min="6" max="6" width="11.7109375" style="0" bestFit="1" customWidth="1"/>
    <col min="7" max="8" width="9.421875" style="0" bestFit="1" customWidth="1"/>
    <col min="9" max="9" width="15.140625" style="0" bestFit="1" customWidth="1"/>
    <col min="10" max="10" width="14.421875" style="0" bestFit="1" customWidth="1"/>
    <col min="11" max="11" width="19.8515625" style="0" bestFit="1" customWidth="1"/>
    <col min="12" max="12" width="16.421875" style="0" bestFit="1" customWidth="1"/>
    <col min="13" max="13" width="14.00390625" style="0" bestFit="1" customWidth="1"/>
    <col min="14" max="14" width="9.8515625" style="0" bestFit="1" customWidth="1"/>
    <col min="15" max="16" width="9.28125" style="0" bestFit="1" customWidth="1"/>
  </cols>
  <sheetData>
    <row r="1" spans="7:10" ht="12.75">
      <c r="G1" s="198" t="s">
        <v>9</v>
      </c>
      <c r="H1" s="198"/>
      <c r="I1" s="198"/>
      <c r="J1" s="198"/>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36</v>
      </c>
      <c r="C4" s="4">
        <v>0.4</v>
      </c>
      <c r="D4" s="5">
        <f>5000000*D10</f>
        <v>5000000</v>
      </c>
      <c r="E4" s="5">
        <f>2840000*J10</f>
        <v>2840000</v>
      </c>
      <c r="G4">
        <v>20</v>
      </c>
      <c r="H4">
        <v>180</v>
      </c>
      <c r="I4" s="10">
        <f>J4*'Key assumptions'!F13</f>
        <v>3351.0638297872338</v>
      </c>
      <c r="J4" s="10">
        <f>'Key assumptions'!H11/'Key assumptions'!C3*12*J10</f>
        <v>1117.0212765957447</v>
      </c>
      <c r="K4">
        <v>0</v>
      </c>
      <c r="M4" s="5">
        <f>90000*J10</f>
        <v>90000</v>
      </c>
    </row>
    <row r="5" spans="9:10" ht="12.75">
      <c r="I5" s="13">
        <f>(I4/12-'Key assumptions'!H16/'Key assumptions'!C3)*12</f>
        <v>827.9712765957443</v>
      </c>
      <c r="J5" s="13">
        <f>(J4/12-'Key assumptions'!G7/'Key assumptions'!C3)*12</f>
        <v>327.2999999999999</v>
      </c>
    </row>
    <row r="6" ht="12.75">
      <c r="A6" t="s">
        <v>19</v>
      </c>
    </row>
    <row r="7" ht="12.75">
      <c r="A7" t="s">
        <v>37</v>
      </c>
    </row>
    <row r="8" ht="12.75">
      <c r="B8" s="17"/>
    </row>
    <row r="9" spans="1:10" ht="12.75">
      <c r="A9" s="120" t="s">
        <v>224</v>
      </c>
      <c r="B9" s="121"/>
      <c r="C9" s="121"/>
      <c r="D9" s="122"/>
      <c r="F9" s="120" t="s">
        <v>225</v>
      </c>
      <c r="G9" s="121"/>
      <c r="H9" s="121"/>
      <c r="I9" s="121"/>
      <c r="J9" s="122"/>
    </row>
    <row r="10" spans="1:10" ht="12.75">
      <c r="A10" s="123" t="s">
        <v>214</v>
      </c>
      <c r="B10" s="3"/>
      <c r="C10" s="3"/>
      <c r="D10" s="124">
        <f>'ERR &amp; Sensitivity Analysis'!$G$10</f>
        <v>1</v>
      </c>
      <c r="F10" s="123" t="s">
        <v>216</v>
      </c>
      <c r="G10" s="3"/>
      <c r="H10" s="3"/>
      <c r="I10" s="3"/>
      <c r="J10" s="124">
        <f>'ERR &amp; Sensitivity Analysis'!$G$11</f>
        <v>1</v>
      </c>
    </row>
    <row r="15" spans="2:16" s="128" customFormat="1" ht="12.75">
      <c r="B15" s="128">
        <v>2006</v>
      </c>
      <c r="C15" s="128">
        <v>2007</v>
      </c>
      <c r="D15" s="128">
        <v>2008</v>
      </c>
      <c r="E15" s="128">
        <v>2009</v>
      </c>
      <c r="F15" s="128">
        <v>2010</v>
      </c>
      <c r="G15" s="128">
        <v>2011</v>
      </c>
      <c r="H15" s="128">
        <v>2012</v>
      </c>
      <c r="I15" s="128">
        <v>2013</v>
      </c>
      <c r="J15" s="128">
        <v>2014</v>
      </c>
      <c r="K15" s="128">
        <v>2015</v>
      </c>
      <c r="L15" s="128">
        <v>2016</v>
      </c>
      <c r="M15" s="128">
        <v>2017</v>
      </c>
      <c r="N15" s="128">
        <v>2018</v>
      </c>
      <c r="O15" s="128">
        <v>2019</v>
      </c>
      <c r="P15" s="128">
        <v>2020</v>
      </c>
    </row>
    <row r="17" spans="1:16" ht="12.75">
      <c r="A17" t="s">
        <v>6</v>
      </c>
      <c r="B17" s="5">
        <f>-D4</f>
        <v>-5000000</v>
      </c>
      <c r="C17" s="5"/>
      <c r="D17" s="5"/>
      <c r="E17" s="5"/>
      <c r="F17" s="5"/>
      <c r="G17" s="5"/>
      <c r="H17" s="5"/>
      <c r="I17" s="5"/>
      <c r="J17" s="5"/>
      <c r="K17" s="5"/>
      <c r="L17" s="5"/>
      <c r="M17" s="5"/>
      <c r="N17" s="5"/>
      <c r="O17" s="5"/>
      <c r="P17" s="5"/>
    </row>
    <row r="18" spans="1:16" s="3" customFormat="1" ht="12.75">
      <c r="A18" s="3" t="s">
        <v>7</v>
      </c>
      <c r="B18" s="8"/>
      <c r="C18" s="8"/>
      <c r="D18" s="8">
        <f aca="true" t="shared" si="0" ref="D18:P18">$E$4</f>
        <v>2840000</v>
      </c>
      <c r="E18" s="8">
        <f t="shared" si="0"/>
        <v>2840000</v>
      </c>
      <c r="F18" s="8">
        <f t="shared" si="0"/>
        <v>2840000</v>
      </c>
      <c r="G18" s="8">
        <f t="shared" si="0"/>
        <v>2840000</v>
      </c>
      <c r="H18" s="8">
        <f t="shared" si="0"/>
        <v>2840000</v>
      </c>
      <c r="I18" s="8">
        <f t="shared" si="0"/>
        <v>2840000</v>
      </c>
      <c r="J18" s="8">
        <f t="shared" si="0"/>
        <v>2840000</v>
      </c>
      <c r="K18" s="8">
        <f t="shared" si="0"/>
        <v>2840000</v>
      </c>
      <c r="L18" s="8">
        <f t="shared" si="0"/>
        <v>2840000</v>
      </c>
      <c r="M18" s="8">
        <f t="shared" si="0"/>
        <v>2840000</v>
      </c>
      <c r="N18" s="8">
        <f t="shared" si="0"/>
        <v>2840000</v>
      </c>
      <c r="O18" s="8">
        <f t="shared" si="0"/>
        <v>2840000</v>
      </c>
      <c r="P18" s="8">
        <f t="shared" si="0"/>
        <v>2840000</v>
      </c>
    </row>
    <row r="19" spans="1:16" ht="12.75">
      <c r="A19" t="s">
        <v>94</v>
      </c>
      <c r="B19" s="5">
        <f>SUM(B17:B18)</f>
        <v>-5000000</v>
      </c>
      <c r="C19" s="5">
        <f aca="true" t="shared" si="1" ref="C19:P19">SUM(C17:C18)</f>
        <v>0</v>
      </c>
      <c r="D19" s="5">
        <f t="shared" si="1"/>
        <v>2840000</v>
      </c>
      <c r="E19" s="5">
        <f t="shared" si="1"/>
        <v>2840000</v>
      </c>
      <c r="F19" s="5">
        <f t="shared" si="1"/>
        <v>2840000</v>
      </c>
      <c r="G19" s="5">
        <f t="shared" si="1"/>
        <v>2840000</v>
      </c>
      <c r="H19" s="5">
        <f t="shared" si="1"/>
        <v>2840000</v>
      </c>
      <c r="I19" s="5">
        <f t="shared" si="1"/>
        <v>2840000</v>
      </c>
      <c r="J19" s="5">
        <f t="shared" si="1"/>
        <v>2840000</v>
      </c>
      <c r="K19" s="5">
        <f t="shared" si="1"/>
        <v>2840000</v>
      </c>
      <c r="L19" s="5">
        <f t="shared" si="1"/>
        <v>2840000</v>
      </c>
      <c r="M19" s="5">
        <f t="shared" si="1"/>
        <v>2840000</v>
      </c>
      <c r="N19" s="5">
        <f t="shared" si="1"/>
        <v>2840000</v>
      </c>
      <c r="O19" s="5">
        <f t="shared" si="1"/>
        <v>2840000</v>
      </c>
      <c r="P19" s="5">
        <f t="shared" si="1"/>
        <v>2840000</v>
      </c>
    </row>
    <row r="20" ht="13.5" thickBot="1"/>
    <row r="21" spans="1:2" ht="13.5" thickBot="1">
      <c r="A21" s="18" t="s">
        <v>95</v>
      </c>
      <c r="B21" s="127">
        <f>IRR(B19:P19)</f>
        <v>0.4004865518476075</v>
      </c>
    </row>
    <row r="23" spans="1:16" s="5" customFormat="1" ht="12.75">
      <c r="A23" s="5" t="s">
        <v>103</v>
      </c>
      <c r="C23" s="5">
        <f>$I$5*$G$4+$J$5*$H$4</f>
        <v>75473.42553191487</v>
      </c>
      <c r="D23" s="5">
        <f aca="true" t="shared" si="2" ref="D23:P23">$I$5*$G$4+$J$5*$H$4</f>
        <v>75473.42553191487</v>
      </c>
      <c r="E23" s="5">
        <f t="shared" si="2"/>
        <v>75473.42553191487</v>
      </c>
      <c r="F23" s="5">
        <f t="shared" si="2"/>
        <v>75473.42553191487</v>
      </c>
      <c r="G23" s="5">
        <f t="shared" si="2"/>
        <v>75473.42553191487</v>
      </c>
      <c r="H23" s="5">
        <f t="shared" si="2"/>
        <v>75473.42553191487</v>
      </c>
      <c r="I23" s="5">
        <f t="shared" si="2"/>
        <v>75473.42553191487</v>
      </c>
      <c r="J23" s="5">
        <f t="shared" si="2"/>
        <v>75473.42553191487</v>
      </c>
      <c r="K23" s="5">
        <f t="shared" si="2"/>
        <v>75473.42553191487</v>
      </c>
      <c r="L23" s="5">
        <f t="shared" si="2"/>
        <v>75473.42553191487</v>
      </c>
      <c r="M23" s="5">
        <f t="shared" si="2"/>
        <v>75473.42553191487</v>
      </c>
      <c r="N23" s="5">
        <f t="shared" si="2"/>
        <v>75473.42553191487</v>
      </c>
      <c r="O23" s="5">
        <f t="shared" si="2"/>
        <v>75473.42553191487</v>
      </c>
      <c r="P23" s="5">
        <f t="shared" si="2"/>
        <v>75473.42553191487</v>
      </c>
    </row>
    <row r="24" spans="1:16" s="5" customFormat="1" ht="12.75">
      <c r="A24" s="5" t="s">
        <v>96</v>
      </c>
      <c r="C24" s="5">
        <f>$L$5*$K$4</f>
        <v>0</v>
      </c>
      <c r="D24" s="5">
        <f aca="true" t="shared" si="3" ref="D24:P24">$L$5*$K$4</f>
        <v>0</v>
      </c>
      <c r="E24" s="5">
        <f t="shared" si="3"/>
        <v>0</v>
      </c>
      <c r="F24" s="5">
        <f t="shared" si="3"/>
        <v>0</v>
      </c>
      <c r="G24" s="5">
        <f t="shared" si="3"/>
        <v>0</v>
      </c>
      <c r="H24" s="5">
        <f t="shared" si="3"/>
        <v>0</v>
      </c>
      <c r="I24" s="5">
        <f t="shared" si="3"/>
        <v>0</v>
      </c>
      <c r="J24" s="5">
        <f t="shared" si="3"/>
        <v>0</v>
      </c>
      <c r="K24" s="5">
        <f t="shared" si="3"/>
        <v>0</v>
      </c>
      <c r="L24" s="5">
        <f t="shared" si="3"/>
        <v>0</v>
      </c>
      <c r="M24" s="5">
        <f t="shared" si="3"/>
        <v>0</v>
      </c>
      <c r="N24" s="5">
        <f t="shared" si="3"/>
        <v>0</v>
      </c>
      <c r="O24" s="5">
        <f t="shared" si="3"/>
        <v>0</v>
      </c>
      <c r="P24" s="5">
        <f t="shared" si="3"/>
        <v>0</v>
      </c>
    </row>
    <row r="25" spans="1:16" s="8" customFormat="1" ht="12.75">
      <c r="A25" s="8" t="s">
        <v>97</v>
      </c>
      <c r="C25" s="8">
        <f>$M$4</f>
        <v>90000</v>
      </c>
      <c r="D25" s="8">
        <f aca="true" t="shared" si="4" ref="D25:P25">$M$4</f>
        <v>90000</v>
      </c>
      <c r="E25" s="8">
        <f t="shared" si="4"/>
        <v>90000</v>
      </c>
      <c r="F25" s="8">
        <f t="shared" si="4"/>
        <v>90000</v>
      </c>
      <c r="G25" s="8">
        <f t="shared" si="4"/>
        <v>90000</v>
      </c>
      <c r="H25" s="8">
        <f t="shared" si="4"/>
        <v>90000</v>
      </c>
      <c r="I25" s="8">
        <f t="shared" si="4"/>
        <v>90000</v>
      </c>
      <c r="J25" s="8">
        <f t="shared" si="4"/>
        <v>90000</v>
      </c>
      <c r="K25" s="8">
        <f t="shared" si="4"/>
        <v>90000</v>
      </c>
      <c r="L25" s="8">
        <f t="shared" si="4"/>
        <v>90000</v>
      </c>
      <c r="M25" s="8">
        <f t="shared" si="4"/>
        <v>90000</v>
      </c>
      <c r="N25" s="8">
        <f t="shared" si="4"/>
        <v>90000</v>
      </c>
      <c r="O25" s="8">
        <f t="shared" si="4"/>
        <v>90000</v>
      </c>
      <c r="P25" s="8">
        <f t="shared" si="4"/>
        <v>90000</v>
      </c>
    </row>
    <row r="26" spans="1:16" s="5" customFormat="1" ht="12.75">
      <c r="A26" s="21" t="s">
        <v>98</v>
      </c>
      <c r="B26" s="5">
        <f>B19</f>
        <v>-5000000</v>
      </c>
      <c r="C26" s="5">
        <f>C19+SUM(C23:C25)</f>
        <v>165473.42553191487</v>
      </c>
      <c r="D26" s="5">
        <f aca="true" t="shared" si="5" ref="D26:P26">D19+SUM(D23:D25)</f>
        <v>3005473.425531915</v>
      </c>
      <c r="E26" s="5">
        <f t="shared" si="5"/>
        <v>3005473.425531915</v>
      </c>
      <c r="F26" s="5">
        <f t="shared" si="5"/>
        <v>3005473.425531915</v>
      </c>
      <c r="G26" s="5">
        <f t="shared" si="5"/>
        <v>3005473.425531915</v>
      </c>
      <c r="H26" s="5">
        <f t="shared" si="5"/>
        <v>3005473.425531915</v>
      </c>
      <c r="I26" s="5">
        <f t="shared" si="5"/>
        <v>3005473.425531915</v>
      </c>
      <c r="J26" s="5">
        <f t="shared" si="5"/>
        <v>3005473.425531915</v>
      </c>
      <c r="K26" s="5">
        <f t="shared" si="5"/>
        <v>3005473.425531915</v>
      </c>
      <c r="L26" s="5">
        <f t="shared" si="5"/>
        <v>3005473.425531915</v>
      </c>
      <c r="M26" s="5">
        <f t="shared" si="5"/>
        <v>3005473.425531915</v>
      </c>
      <c r="N26" s="5">
        <f t="shared" si="5"/>
        <v>3005473.425531915</v>
      </c>
      <c r="O26" s="5">
        <f t="shared" si="5"/>
        <v>3005473.425531915</v>
      </c>
      <c r="P26" s="5">
        <f t="shared" si="5"/>
        <v>3005473.425531915</v>
      </c>
    </row>
    <row r="27" ht="13.5" thickBot="1"/>
    <row r="28" spans="1:2" ht="13.5" thickBot="1">
      <c r="A28" s="18" t="s">
        <v>147</v>
      </c>
      <c r="B28" s="129">
        <f>IRR(B26:P26)</f>
        <v>0.42699391167839695</v>
      </c>
    </row>
    <row r="29" spans="1:2" ht="12.75">
      <c r="A29" s="22"/>
      <c r="B29" s="23"/>
    </row>
    <row r="30" spans="1:16" ht="12.75">
      <c r="A30" t="s">
        <v>105</v>
      </c>
      <c r="B30" s="5">
        <f>B34</f>
        <v>-5000000</v>
      </c>
      <c r="C30" s="5">
        <f aca="true" t="shared" si="6" ref="C30:P30">C26-C24</f>
        <v>165473.42553191487</v>
      </c>
      <c r="D30" s="5">
        <f t="shared" si="6"/>
        <v>3005473.425531915</v>
      </c>
      <c r="E30" s="5">
        <f t="shared" si="6"/>
        <v>3005473.425531915</v>
      </c>
      <c r="F30" s="5">
        <f t="shared" si="6"/>
        <v>3005473.425531915</v>
      </c>
      <c r="G30" s="5">
        <f t="shared" si="6"/>
        <v>3005473.425531915</v>
      </c>
      <c r="H30" s="5">
        <f t="shared" si="6"/>
        <v>3005473.425531915</v>
      </c>
      <c r="I30" s="5">
        <f t="shared" si="6"/>
        <v>3005473.425531915</v>
      </c>
      <c r="J30" s="5">
        <f t="shared" si="6"/>
        <v>3005473.425531915</v>
      </c>
      <c r="K30" s="5">
        <f t="shared" si="6"/>
        <v>3005473.425531915</v>
      </c>
      <c r="L30" s="5">
        <f t="shared" si="6"/>
        <v>3005473.425531915</v>
      </c>
      <c r="M30" s="5">
        <f t="shared" si="6"/>
        <v>3005473.425531915</v>
      </c>
      <c r="N30" s="5">
        <f t="shared" si="6"/>
        <v>3005473.425531915</v>
      </c>
      <c r="O30" s="5">
        <f t="shared" si="6"/>
        <v>3005473.425531915</v>
      </c>
      <c r="P30" s="5">
        <f t="shared" si="6"/>
        <v>3005473.425531915</v>
      </c>
    </row>
    <row r="31" ht="13.5" thickBot="1"/>
    <row r="32" spans="1:2" ht="13.5" thickBot="1">
      <c r="A32" s="18" t="s">
        <v>106</v>
      </c>
      <c r="B32" s="19">
        <f>IRR(B30:P30)</f>
        <v>0.42699391167839695</v>
      </c>
    </row>
    <row r="34" spans="1:16" ht="12.75">
      <c r="A34" t="s">
        <v>104</v>
      </c>
      <c r="B34" s="5">
        <f>B26</f>
        <v>-5000000</v>
      </c>
      <c r="C34" s="5">
        <f>C26-C24-C25</f>
        <v>75473.42553191487</v>
      </c>
      <c r="D34" s="5">
        <f aca="true" t="shared" si="7" ref="D34:P34">D26-D24-D25</f>
        <v>2915473.425531915</v>
      </c>
      <c r="E34" s="5">
        <f t="shared" si="7"/>
        <v>2915473.425531915</v>
      </c>
      <c r="F34" s="5">
        <f t="shared" si="7"/>
        <v>2915473.425531915</v>
      </c>
      <c r="G34" s="5">
        <f t="shared" si="7"/>
        <v>2915473.425531915</v>
      </c>
      <c r="H34" s="5">
        <f t="shared" si="7"/>
        <v>2915473.425531915</v>
      </c>
      <c r="I34" s="5">
        <f t="shared" si="7"/>
        <v>2915473.425531915</v>
      </c>
      <c r="J34" s="5">
        <f t="shared" si="7"/>
        <v>2915473.425531915</v>
      </c>
      <c r="K34" s="5">
        <f t="shared" si="7"/>
        <v>2915473.425531915</v>
      </c>
      <c r="L34" s="5">
        <f t="shared" si="7"/>
        <v>2915473.425531915</v>
      </c>
      <c r="M34" s="5">
        <f t="shared" si="7"/>
        <v>2915473.425531915</v>
      </c>
      <c r="N34" s="5">
        <f t="shared" si="7"/>
        <v>2915473.425531915</v>
      </c>
      <c r="O34" s="5">
        <f t="shared" si="7"/>
        <v>2915473.425531915</v>
      </c>
      <c r="P34" s="5">
        <f t="shared" si="7"/>
        <v>2915473.425531915</v>
      </c>
    </row>
    <row r="35" ht="13.5" thickBot="1"/>
    <row r="36" spans="1:2" ht="13.5" thickBot="1">
      <c r="A36" s="18" t="s">
        <v>107</v>
      </c>
      <c r="B36" s="19">
        <f>IRR(B34:P34)</f>
        <v>0.41256875323903774</v>
      </c>
    </row>
    <row r="38" spans="1:8" ht="12.75" customHeight="1">
      <c r="A38" s="193">
        <f>IF('ERR &amp; Sensitivity Analysis'!$I$10="N","Note: Current calculations are based on user input and are not the original MCC estimates.",IF('ERR &amp; Sensitivity Analysis'!$I$11="N","Note: Current calculations are based on user input and are not the original MCC estimates.",0))</f>
        <v>0</v>
      </c>
      <c r="B38" s="193"/>
      <c r="C38" s="193"/>
      <c r="D38" s="193"/>
      <c r="E38" s="193"/>
      <c r="F38" s="193"/>
      <c r="G38" s="193"/>
      <c r="H38" s="193"/>
    </row>
  </sheetData>
  <mergeCells count="2">
    <mergeCell ref="G1:J1"/>
    <mergeCell ref="A38:H38"/>
  </mergeCells>
  <conditionalFormatting sqref="A38">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sheetPr codeName="Sheet12">
    <pageSetUpPr fitToPage="1"/>
  </sheetPr>
  <dimension ref="A1:P38"/>
  <sheetViews>
    <sheetView zoomScale="85" zoomScaleNormal="85" workbookViewId="0" topLeftCell="A1">
      <selection activeCell="A1" sqref="A1"/>
    </sheetView>
  </sheetViews>
  <sheetFormatPr defaultColWidth="9.140625" defaultRowHeight="12.75"/>
  <cols>
    <col min="1" max="1" width="15.140625" style="0" bestFit="1" customWidth="1"/>
    <col min="2" max="2" width="10.8515625" style="0" bestFit="1" customWidth="1"/>
    <col min="3" max="3" width="14.421875" style="0" customWidth="1"/>
    <col min="4" max="4" width="9.8515625" style="0" bestFit="1" customWidth="1"/>
    <col min="5" max="5" width="12.140625" style="0" bestFit="1" customWidth="1"/>
    <col min="6" max="6" width="14.421875" style="0" bestFit="1" customWidth="1"/>
    <col min="7" max="8" width="10.281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198" t="s">
        <v>9</v>
      </c>
      <c r="H1" s="198"/>
      <c r="I1" s="198"/>
      <c r="J1" s="198"/>
    </row>
    <row r="2" spans="2:14" s="3" customFormat="1" ht="12.75">
      <c r="B2" s="3" t="s">
        <v>4</v>
      </c>
      <c r="C2" s="3" t="s">
        <v>5</v>
      </c>
      <c r="D2" s="3" t="s">
        <v>26</v>
      </c>
      <c r="E2" s="3" t="s">
        <v>7</v>
      </c>
      <c r="F2" s="3" t="s">
        <v>28</v>
      </c>
      <c r="G2" s="3" t="s">
        <v>10</v>
      </c>
      <c r="H2" s="3" t="s">
        <v>11</v>
      </c>
      <c r="I2" s="3" t="s">
        <v>14</v>
      </c>
      <c r="J2" s="3" t="s">
        <v>15</v>
      </c>
      <c r="K2" s="3" t="s">
        <v>12</v>
      </c>
      <c r="L2" s="3" t="s">
        <v>41</v>
      </c>
      <c r="M2" s="3" t="s">
        <v>16</v>
      </c>
      <c r="N2" s="3" t="s">
        <v>18</v>
      </c>
    </row>
    <row r="4" spans="2:13" ht="12.75">
      <c r="B4" t="s">
        <v>38</v>
      </c>
      <c r="D4" s="5">
        <f>2500000*D13</f>
        <v>2500000</v>
      </c>
      <c r="E4" s="5">
        <f>618155*J13</f>
        <v>618155</v>
      </c>
      <c r="F4">
        <v>50</v>
      </c>
      <c r="G4" s="16">
        <f>H4*(15/85)</f>
        <v>26.47058823529412</v>
      </c>
      <c r="H4">
        <v>150</v>
      </c>
      <c r="I4" s="5">
        <f>J4*'Key assumptions'!F13</f>
        <v>5400</v>
      </c>
      <c r="J4" s="5">
        <f>150*12*J13</f>
        <v>1800</v>
      </c>
      <c r="K4" s="5">
        <v>2000</v>
      </c>
      <c r="L4">
        <f>150*'Key assumptions'!C23*C9*J13</f>
        <v>67.5</v>
      </c>
      <c r="M4" s="5">
        <f>(25000+154545+25200+42000)*J13</f>
        <v>246745</v>
      </c>
    </row>
    <row r="5" spans="9:12" ht="12.75">
      <c r="I5" s="10">
        <f>(I4/12-'Key assumptions'!H16/'Key assumptions'!C3)*12</f>
        <v>2876.90744680851</v>
      </c>
      <c r="J5" s="10">
        <f>(J4/12-'Key assumptions'!G7/'Key assumptions'!C3)*12</f>
        <v>1010.2787234042553</v>
      </c>
      <c r="K5" s="5">
        <v>3000</v>
      </c>
      <c r="L5">
        <f>400*'Key assumptions'!C23*C10*J13</f>
        <v>300</v>
      </c>
    </row>
    <row r="6" ht="12.75">
      <c r="L6" s="10">
        <f>(L4/C9-'Key assumptions'!H25/'Key assumptions'!C3)*C9</f>
        <v>58.39934840425532</v>
      </c>
    </row>
    <row r="7" spans="1:12" ht="12.75">
      <c r="A7" t="s">
        <v>19</v>
      </c>
      <c r="L7" s="10">
        <f>(L5/C10-'Key assumptions'!H25/'Key assumptions'!C3)*C10</f>
        <v>284.83224734042557</v>
      </c>
    </row>
    <row r="8" ht="12.75">
      <c r="A8" t="s">
        <v>40</v>
      </c>
    </row>
    <row r="9" spans="1:5" ht="12.75">
      <c r="A9" t="s">
        <v>122</v>
      </c>
      <c r="B9" s="17"/>
      <c r="C9" s="7">
        <v>3</v>
      </c>
      <c r="D9" t="s">
        <v>123</v>
      </c>
      <c r="E9" t="s">
        <v>124</v>
      </c>
    </row>
    <row r="10" spans="3:5" ht="12.75">
      <c r="C10" s="7">
        <v>5</v>
      </c>
      <c r="D10" t="s">
        <v>123</v>
      </c>
      <c r="E10" t="s">
        <v>125</v>
      </c>
    </row>
    <row r="12" spans="1:10" ht="12.75">
      <c r="A12" s="120" t="s">
        <v>224</v>
      </c>
      <c r="B12" s="121"/>
      <c r="C12" s="121"/>
      <c r="D12" s="122"/>
      <c r="F12" s="120" t="s">
        <v>225</v>
      </c>
      <c r="G12" s="121"/>
      <c r="H12" s="121"/>
      <c r="I12" s="121"/>
      <c r="J12" s="122"/>
    </row>
    <row r="13" spans="1:10" ht="12.75">
      <c r="A13" s="123" t="s">
        <v>214</v>
      </c>
      <c r="B13" s="3"/>
      <c r="C13" s="3"/>
      <c r="D13" s="124">
        <f>'ERR &amp; Sensitivity Analysis'!$G$10</f>
        <v>1</v>
      </c>
      <c r="F13" s="123" t="s">
        <v>216</v>
      </c>
      <c r="G13" s="3"/>
      <c r="H13" s="3"/>
      <c r="I13" s="3"/>
      <c r="J13" s="124">
        <f>'ERR &amp; Sensitivity Analysis'!$G$11</f>
        <v>1</v>
      </c>
    </row>
    <row r="15" spans="1:16" s="63" customFormat="1" ht="12.75">
      <c r="A15" s="128"/>
      <c r="B15" s="128">
        <v>2006</v>
      </c>
      <c r="C15" s="128">
        <v>2007</v>
      </c>
      <c r="D15" s="128">
        <v>2008</v>
      </c>
      <c r="E15" s="128">
        <v>2009</v>
      </c>
      <c r="F15" s="128">
        <v>2010</v>
      </c>
      <c r="G15" s="128">
        <v>2011</v>
      </c>
      <c r="H15" s="128">
        <v>2012</v>
      </c>
      <c r="I15" s="128">
        <v>2013</v>
      </c>
      <c r="J15" s="128">
        <v>2014</v>
      </c>
      <c r="K15" s="128">
        <v>2015</v>
      </c>
      <c r="L15" s="128">
        <v>2016</v>
      </c>
      <c r="M15" s="128">
        <v>2017</v>
      </c>
      <c r="N15" s="128">
        <v>2018</v>
      </c>
      <c r="O15" s="128">
        <v>2019</v>
      </c>
      <c r="P15" s="128">
        <v>2020</v>
      </c>
    </row>
    <row r="17" spans="1:2" ht="12.75">
      <c r="A17" t="s">
        <v>6</v>
      </c>
      <c r="B17" s="5">
        <f>-D4</f>
        <v>-2500000</v>
      </c>
    </row>
    <row r="18" spans="1:16" s="5" customFormat="1" ht="12.75">
      <c r="A18" s="8" t="s">
        <v>7</v>
      </c>
      <c r="B18" s="8"/>
      <c r="C18" s="8">
        <f>$E$4</f>
        <v>618155</v>
      </c>
      <c r="D18" s="8">
        <f aca="true" t="shared" si="0" ref="D18:P18">$E$4</f>
        <v>618155</v>
      </c>
      <c r="E18" s="8">
        <f t="shared" si="0"/>
        <v>618155</v>
      </c>
      <c r="F18" s="8">
        <f t="shared" si="0"/>
        <v>618155</v>
      </c>
      <c r="G18" s="8">
        <f t="shared" si="0"/>
        <v>618155</v>
      </c>
      <c r="H18" s="8">
        <f t="shared" si="0"/>
        <v>618155</v>
      </c>
      <c r="I18" s="8">
        <f t="shared" si="0"/>
        <v>618155</v>
      </c>
      <c r="J18" s="8">
        <f t="shared" si="0"/>
        <v>618155</v>
      </c>
      <c r="K18" s="8">
        <f t="shared" si="0"/>
        <v>618155</v>
      </c>
      <c r="L18" s="8">
        <f t="shared" si="0"/>
        <v>618155</v>
      </c>
      <c r="M18" s="8">
        <f t="shared" si="0"/>
        <v>618155</v>
      </c>
      <c r="N18" s="8">
        <f t="shared" si="0"/>
        <v>618155</v>
      </c>
      <c r="O18" s="8">
        <f t="shared" si="0"/>
        <v>618155</v>
      </c>
      <c r="P18" s="8">
        <f t="shared" si="0"/>
        <v>618155</v>
      </c>
    </row>
    <row r="19" spans="1:16" s="5" customFormat="1" ht="12.75">
      <c r="A19" s="5" t="s">
        <v>94</v>
      </c>
      <c r="B19" s="5">
        <f>SUM(B17:B18)</f>
        <v>-2500000</v>
      </c>
      <c r="C19" s="5">
        <f aca="true" t="shared" si="1" ref="C19:P19">SUM(C17:C18)</f>
        <v>618155</v>
      </c>
      <c r="D19" s="5">
        <f t="shared" si="1"/>
        <v>618155</v>
      </c>
      <c r="E19" s="5">
        <f t="shared" si="1"/>
        <v>618155</v>
      </c>
      <c r="F19" s="5">
        <f t="shared" si="1"/>
        <v>618155</v>
      </c>
      <c r="G19" s="5">
        <f t="shared" si="1"/>
        <v>618155</v>
      </c>
      <c r="H19" s="5">
        <f t="shared" si="1"/>
        <v>618155</v>
      </c>
      <c r="I19" s="5">
        <f t="shared" si="1"/>
        <v>618155</v>
      </c>
      <c r="J19" s="5">
        <f t="shared" si="1"/>
        <v>618155</v>
      </c>
      <c r="K19" s="5">
        <f t="shared" si="1"/>
        <v>618155</v>
      </c>
      <c r="L19" s="5">
        <f t="shared" si="1"/>
        <v>618155</v>
      </c>
      <c r="M19" s="5">
        <f t="shared" si="1"/>
        <v>618155</v>
      </c>
      <c r="N19" s="5">
        <f t="shared" si="1"/>
        <v>618155</v>
      </c>
      <c r="O19" s="5">
        <f t="shared" si="1"/>
        <v>618155</v>
      </c>
      <c r="P19" s="5">
        <f t="shared" si="1"/>
        <v>618155</v>
      </c>
    </row>
    <row r="20" ht="13.5" thickBot="1"/>
    <row r="21" spans="1:2" ht="13.5" thickBot="1">
      <c r="A21" s="18" t="s">
        <v>95</v>
      </c>
      <c r="B21" s="127">
        <f>IRR(B19:P19)</f>
        <v>0.2342791556176007</v>
      </c>
    </row>
    <row r="23" spans="1:16" s="5" customFormat="1" ht="12.75">
      <c r="A23" s="5" t="s">
        <v>103</v>
      </c>
      <c r="C23" s="5">
        <f>$I$5*$G$4+$J$5*$H$4</f>
        <v>227695.24092615768</v>
      </c>
      <c r="D23" s="5">
        <f aca="true" t="shared" si="2" ref="D23:P23">$I$5*$G$4+$J$5*$H$4</f>
        <v>227695.24092615768</v>
      </c>
      <c r="E23" s="5">
        <f t="shared" si="2"/>
        <v>227695.24092615768</v>
      </c>
      <c r="F23" s="5">
        <f t="shared" si="2"/>
        <v>227695.24092615768</v>
      </c>
      <c r="G23" s="5">
        <f t="shared" si="2"/>
        <v>227695.24092615768</v>
      </c>
      <c r="H23" s="5">
        <f t="shared" si="2"/>
        <v>227695.24092615768</v>
      </c>
      <c r="I23" s="5">
        <f t="shared" si="2"/>
        <v>227695.24092615768</v>
      </c>
      <c r="J23" s="5">
        <f t="shared" si="2"/>
        <v>227695.24092615768</v>
      </c>
      <c r="K23" s="5">
        <f t="shared" si="2"/>
        <v>227695.24092615768</v>
      </c>
      <c r="L23" s="5">
        <f t="shared" si="2"/>
        <v>227695.24092615768</v>
      </c>
      <c r="M23" s="5">
        <f t="shared" si="2"/>
        <v>227695.24092615768</v>
      </c>
      <c r="N23" s="5">
        <f t="shared" si="2"/>
        <v>227695.24092615768</v>
      </c>
      <c r="O23" s="5">
        <f t="shared" si="2"/>
        <v>227695.24092615768</v>
      </c>
      <c r="P23" s="5">
        <f t="shared" si="2"/>
        <v>227695.24092615768</v>
      </c>
    </row>
    <row r="24" spans="1:16" s="5" customFormat="1" ht="12.75">
      <c r="A24" s="5" t="s">
        <v>96</v>
      </c>
      <c r="C24" s="5">
        <f>$K$4*$L$6+$K$5*$L$7</f>
        <v>971295.4388297873</v>
      </c>
      <c r="D24" s="5">
        <f aca="true" t="shared" si="3" ref="D24:P24">$K$4*$L$6+$K$5*$L$7</f>
        <v>971295.4388297873</v>
      </c>
      <c r="E24" s="5">
        <f t="shared" si="3"/>
        <v>971295.4388297873</v>
      </c>
      <c r="F24" s="5">
        <f t="shared" si="3"/>
        <v>971295.4388297873</v>
      </c>
      <c r="G24" s="5">
        <f t="shared" si="3"/>
        <v>971295.4388297873</v>
      </c>
      <c r="H24" s="5">
        <f t="shared" si="3"/>
        <v>971295.4388297873</v>
      </c>
      <c r="I24" s="5">
        <f t="shared" si="3"/>
        <v>971295.4388297873</v>
      </c>
      <c r="J24" s="5">
        <f t="shared" si="3"/>
        <v>971295.4388297873</v>
      </c>
      <c r="K24" s="5">
        <f t="shared" si="3"/>
        <v>971295.4388297873</v>
      </c>
      <c r="L24" s="5">
        <f t="shared" si="3"/>
        <v>971295.4388297873</v>
      </c>
      <c r="M24" s="5">
        <f t="shared" si="3"/>
        <v>971295.4388297873</v>
      </c>
      <c r="N24" s="5">
        <f t="shared" si="3"/>
        <v>971295.4388297873</v>
      </c>
      <c r="O24" s="5">
        <f t="shared" si="3"/>
        <v>971295.4388297873</v>
      </c>
      <c r="P24" s="5">
        <f t="shared" si="3"/>
        <v>971295.4388297873</v>
      </c>
    </row>
    <row r="25" spans="1:16" s="8" customFormat="1" ht="12.75">
      <c r="A25" s="8" t="s">
        <v>97</v>
      </c>
      <c r="C25" s="8">
        <f>$M$4</f>
        <v>246745</v>
      </c>
      <c r="D25" s="8">
        <f aca="true" t="shared" si="4" ref="D25:P25">$M$4</f>
        <v>246745</v>
      </c>
      <c r="E25" s="8">
        <f t="shared" si="4"/>
        <v>246745</v>
      </c>
      <c r="F25" s="8">
        <f t="shared" si="4"/>
        <v>246745</v>
      </c>
      <c r="G25" s="8">
        <f t="shared" si="4"/>
        <v>246745</v>
      </c>
      <c r="H25" s="8">
        <f t="shared" si="4"/>
        <v>246745</v>
      </c>
      <c r="I25" s="8">
        <f t="shared" si="4"/>
        <v>246745</v>
      </c>
      <c r="J25" s="8">
        <f t="shared" si="4"/>
        <v>246745</v>
      </c>
      <c r="K25" s="8">
        <f t="shared" si="4"/>
        <v>246745</v>
      </c>
      <c r="L25" s="8">
        <f t="shared" si="4"/>
        <v>246745</v>
      </c>
      <c r="M25" s="8">
        <f t="shared" si="4"/>
        <v>246745</v>
      </c>
      <c r="N25" s="8">
        <f t="shared" si="4"/>
        <v>246745</v>
      </c>
      <c r="O25" s="8">
        <f t="shared" si="4"/>
        <v>246745</v>
      </c>
      <c r="P25" s="8">
        <f t="shared" si="4"/>
        <v>246745</v>
      </c>
    </row>
    <row r="26" spans="1:16" s="5" customFormat="1" ht="12.75">
      <c r="A26" s="21" t="s">
        <v>98</v>
      </c>
      <c r="B26" s="5">
        <f>B19</f>
        <v>-2500000</v>
      </c>
      <c r="C26" s="5">
        <f>C19+SUM(C23:C25)</f>
        <v>2063890.679755945</v>
      </c>
      <c r="D26" s="5">
        <f aca="true" t="shared" si="5" ref="D26:P26">D19+SUM(D23:D25)</f>
        <v>2063890.679755945</v>
      </c>
      <c r="E26" s="5">
        <f t="shared" si="5"/>
        <v>2063890.679755945</v>
      </c>
      <c r="F26" s="5">
        <f t="shared" si="5"/>
        <v>2063890.679755945</v>
      </c>
      <c r="G26" s="5">
        <f t="shared" si="5"/>
        <v>2063890.679755945</v>
      </c>
      <c r="H26" s="5">
        <f t="shared" si="5"/>
        <v>2063890.679755945</v>
      </c>
      <c r="I26" s="5">
        <f t="shared" si="5"/>
        <v>2063890.679755945</v>
      </c>
      <c r="J26" s="5">
        <f t="shared" si="5"/>
        <v>2063890.679755945</v>
      </c>
      <c r="K26" s="5">
        <f t="shared" si="5"/>
        <v>2063890.679755945</v>
      </c>
      <c r="L26" s="5">
        <f t="shared" si="5"/>
        <v>2063890.679755945</v>
      </c>
      <c r="M26" s="5">
        <f t="shared" si="5"/>
        <v>2063890.679755945</v>
      </c>
      <c r="N26" s="5">
        <f t="shared" si="5"/>
        <v>2063890.679755945</v>
      </c>
      <c r="O26" s="5">
        <f t="shared" si="5"/>
        <v>2063890.679755945</v>
      </c>
      <c r="P26" s="5">
        <f t="shared" si="5"/>
        <v>2063890.679755945</v>
      </c>
    </row>
    <row r="27" ht="13.5" thickBot="1"/>
    <row r="28" spans="1:2" ht="13.5" thickBot="1">
      <c r="A28" s="18" t="s">
        <v>147</v>
      </c>
      <c r="B28" s="129">
        <f>IRR(B26:P26)</f>
        <v>0.8253752143720982</v>
      </c>
    </row>
    <row r="29" spans="1:2" ht="12.75">
      <c r="A29" s="22"/>
      <c r="B29" s="23"/>
    </row>
    <row r="30" spans="1:16" ht="12.75">
      <c r="A30" t="s">
        <v>105</v>
      </c>
      <c r="B30" s="5">
        <f>B34</f>
        <v>-2500000</v>
      </c>
      <c r="C30" s="5">
        <f aca="true" t="shared" si="6" ref="C30:P30">C26-C24</f>
        <v>1092595.2409261577</v>
      </c>
      <c r="D30" s="5">
        <f t="shared" si="6"/>
        <v>1092595.2409261577</v>
      </c>
      <c r="E30" s="5">
        <f t="shared" si="6"/>
        <v>1092595.2409261577</v>
      </c>
      <c r="F30" s="5">
        <f t="shared" si="6"/>
        <v>1092595.2409261577</v>
      </c>
      <c r="G30" s="5">
        <f t="shared" si="6"/>
        <v>1092595.2409261577</v>
      </c>
      <c r="H30" s="5">
        <f t="shared" si="6"/>
        <v>1092595.2409261577</v>
      </c>
      <c r="I30" s="5">
        <f t="shared" si="6"/>
        <v>1092595.2409261577</v>
      </c>
      <c r="J30" s="5">
        <f t="shared" si="6"/>
        <v>1092595.2409261577</v>
      </c>
      <c r="K30" s="5">
        <f t="shared" si="6"/>
        <v>1092595.2409261577</v>
      </c>
      <c r="L30" s="5">
        <f t="shared" si="6"/>
        <v>1092595.2409261577</v>
      </c>
      <c r="M30" s="5">
        <f t="shared" si="6"/>
        <v>1092595.2409261577</v>
      </c>
      <c r="N30" s="5">
        <f t="shared" si="6"/>
        <v>1092595.2409261577</v>
      </c>
      <c r="O30" s="5">
        <f t="shared" si="6"/>
        <v>1092595.2409261577</v>
      </c>
      <c r="P30" s="5">
        <f t="shared" si="6"/>
        <v>1092595.2409261577</v>
      </c>
    </row>
    <row r="31" ht="13.5" thickBot="1"/>
    <row r="32" spans="1:2" ht="13.5" thickBot="1">
      <c r="A32" s="18" t="s">
        <v>106</v>
      </c>
      <c r="B32" s="19">
        <f>IRR(B30:P30)</f>
        <v>0.4342336934961358</v>
      </c>
    </row>
    <row r="34" spans="1:16" ht="12.75">
      <c r="A34" t="s">
        <v>104</v>
      </c>
      <c r="B34" s="5">
        <f>B26</f>
        <v>-2500000</v>
      </c>
      <c r="C34" s="5">
        <f>C26-C24-C25</f>
        <v>845850.2409261577</v>
      </c>
      <c r="D34" s="5">
        <f aca="true" t="shared" si="7" ref="D34:P34">D26-D24-D25</f>
        <v>845850.2409261577</v>
      </c>
      <c r="E34" s="5">
        <f t="shared" si="7"/>
        <v>845850.2409261577</v>
      </c>
      <c r="F34" s="5">
        <f t="shared" si="7"/>
        <v>845850.2409261577</v>
      </c>
      <c r="G34" s="5">
        <f t="shared" si="7"/>
        <v>845850.2409261577</v>
      </c>
      <c r="H34" s="5">
        <f t="shared" si="7"/>
        <v>845850.2409261577</v>
      </c>
      <c r="I34" s="5">
        <f t="shared" si="7"/>
        <v>845850.2409261577</v>
      </c>
      <c r="J34" s="5">
        <f t="shared" si="7"/>
        <v>845850.2409261577</v>
      </c>
      <c r="K34" s="5">
        <f t="shared" si="7"/>
        <v>845850.2409261577</v>
      </c>
      <c r="L34" s="5">
        <f t="shared" si="7"/>
        <v>845850.2409261577</v>
      </c>
      <c r="M34" s="5">
        <f t="shared" si="7"/>
        <v>845850.2409261577</v>
      </c>
      <c r="N34" s="5">
        <f t="shared" si="7"/>
        <v>845850.2409261577</v>
      </c>
      <c r="O34" s="5">
        <f t="shared" si="7"/>
        <v>845850.2409261577</v>
      </c>
      <c r="P34" s="5">
        <f t="shared" si="7"/>
        <v>845850.2409261577</v>
      </c>
    </row>
    <row r="35" ht="13.5" thickBot="1"/>
    <row r="36" spans="1:2" ht="13.5" thickBot="1">
      <c r="A36" s="18" t="s">
        <v>107</v>
      </c>
      <c r="B36" s="19">
        <f>IRR(B34:P34)</f>
        <v>0.33224206764717545</v>
      </c>
    </row>
    <row r="38" spans="1:8" ht="12.75" customHeight="1">
      <c r="A38" s="193">
        <f>IF('ERR &amp; Sensitivity Analysis'!$I$10="N","Note: Current calculations are based on user input and are not the original MCC estimates.",IF('ERR &amp; Sensitivity Analysis'!$I$11="N","Note: Current calculations are based on user input and are not the original MCC estimates.",0))</f>
        <v>0</v>
      </c>
      <c r="B38" s="193"/>
      <c r="C38" s="193"/>
      <c r="D38" s="193"/>
      <c r="E38" s="193"/>
      <c r="F38" s="193"/>
      <c r="G38" s="193"/>
      <c r="H38" s="193"/>
    </row>
  </sheetData>
  <mergeCells count="2">
    <mergeCell ref="G1:J1"/>
    <mergeCell ref="A38:H38"/>
  </mergeCells>
  <conditionalFormatting sqref="A38">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1" fitToWidth="1" horizontalDpi="600" verticalDpi="600" orientation="landscape" scale="61" r:id="rId3"/>
  <legacyDrawing r:id="rId2"/>
</worksheet>
</file>

<file path=xl/worksheets/sheet14.xml><?xml version="1.0" encoding="utf-8"?>
<worksheet xmlns="http://schemas.openxmlformats.org/spreadsheetml/2006/main" xmlns:r="http://schemas.openxmlformats.org/officeDocument/2006/relationships">
  <sheetPr codeName="Sheet13">
    <pageSetUpPr fitToPage="1"/>
  </sheetPr>
  <dimension ref="A1:P38"/>
  <sheetViews>
    <sheetView zoomScale="85" zoomScaleNormal="85" workbookViewId="0" topLeftCell="A1">
      <selection activeCell="A1" sqref="A1"/>
    </sheetView>
  </sheetViews>
  <sheetFormatPr defaultColWidth="9.140625" defaultRowHeight="12.75"/>
  <cols>
    <col min="1" max="1" width="15.140625" style="0" bestFit="1" customWidth="1"/>
    <col min="2" max="2" width="16.140625" style="0" bestFit="1" customWidth="1"/>
    <col min="3" max="3" width="12.421875" style="0" bestFit="1" customWidth="1"/>
    <col min="4" max="4" width="12.57421875" style="0" bestFit="1" customWidth="1"/>
    <col min="5" max="5" width="12.140625" style="0" bestFit="1" customWidth="1"/>
    <col min="6" max="6" width="11.57421875" style="0" bestFit="1" customWidth="1"/>
    <col min="7" max="8" width="9.28125" style="0"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6:10" ht="12.75">
      <c r="F1" s="6"/>
      <c r="G1" s="199" t="s">
        <v>9</v>
      </c>
      <c r="H1" s="199"/>
      <c r="I1" s="199"/>
      <c r="J1" s="199"/>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42</v>
      </c>
      <c r="D4" s="5">
        <f>4680000*D11</f>
        <v>4680000</v>
      </c>
      <c r="E4" s="5">
        <f>870400*J11</f>
        <v>870400</v>
      </c>
      <c r="F4">
        <v>50</v>
      </c>
      <c r="G4" s="16">
        <f>H4*(15/85)</f>
        <v>12.352941176470589</v>
      </c>
      <c r="H4">
        <v>70</v>
      </c>
      <c r="I4">
        <f>J4*'Key assumptions'!F13</f>
        <v>7200</v>
      </c>
      <c r="J4">
        <f>200*12*J11</f>
        <v>2400</v>
      </c>
      <c r="K4" s="5">
        <v>1500</v>
      </c>
      <c r="L4">
        <f>150*'Key assumptions'!C23*C8*J11</f>
        <v>67.5</v>
      </c>
      <c r="M4" s="5">
        <f>282880*J11</f>
        <v>282880</v>
      </c>
    </row>
    <row r="5" spans="9:12" ht="12.75">
      <c r="I5" s="13">
        <f>(I4/12-'Key assumptions'!H16/'Key assumptions'!C3)*12</f>
        <v>4676.90744680851</v>
      </c>
      <c r="J5" s="13">
        <f>(J4/12-'Key assumptions'!G7/'Key assumptions'!C3)*12</f>
        <v>1610.278723404255</v>
      </c>
      <c r="L5" s="10">
        <f>(L4/C8-'Key assumptions'!H25/'Key assumptions'!C3)*C8</f>
        <v>58.39934840425532</v>
      </c>
    </row>
    <row r="6" ht="12.75">
      <c r="A6" t="s">
        <v>19</v>
      </c>
    </row>
    <row r="7" ht="12.75">
      <c r="A7" t="s">
        <v>43</v>
      </c>
    </row>
    <row r="8" spans="1:4" ht="12.75">
      <c r="A8" t="s">
        <v>122</v>
      </c>
      <c r="B8" s="17"/>
      <c r="C8" s="7">
        <v>3</v>
      </c>
      <c r="D8" t="s">
        <v>123</v>
      </c>
    </row>
    <row r="10" spans="1:10" ht="12.75">
      <c r="A10" s="120" t="s">
        <v>224</v>
      </c>
      <c r="B10" s="121"/>
      <c r="C10" s="121"/>
      <c r="D10" s="122"/>
      <c r="F10" s="120" t="s">
        <v>225</v>
      </c>
      <c r="G10" s="121"/>
      <c r="H10" s="121"/>
      <c r="I10" s="121"/>
      <c r="J10" s="122"/>
    </row>
    <row r="11" spans="1:10" ht="12.75">
      <c r="A11" s="123" t="s">
        <v>214</v>
      </c>
      <c r="B11" s="3"/>
      <c r="C11" s="3"/>
      <c r="D11" s="124">
        <f>'ERR &amp; Sensitivity Analysis'!$G$10</f>
        <v>1</v>
      </c>
      <c r="F11" s="123" t="s">
        <v>216</v>
      </c>
      <c r="G11" s="3"/>
      <c r="H11" s="3"/>
      <c r="I11" s="3"/>
      <c r="J11" s="124">
        <f>'ERR &amp; Sensitivity Analysis'!$G$11</f>
        <v>1</v>
      </c>
    </row>
    <row r="15" spans="1:16" ht="12.75">
      <c r="A15" s="2"/>
      <c r="B15" s="2">
        <v>2006</v>
      </c>
      <c r="C15" s="2">
        <v>2007</v>
      </c>
      <c r="D15" s="2">
        <v>2008</v>
      </c>
      <c r="E15" s="2">
        <v>2009</v>
      </c>
      <c r="F15" s="2">
        <v>2010</v>
      </c>
      <c r="G15" s="2">
        <v>2011</v>
      </c>
      <c r="H15" s="2">
        <v>2012</v>
      </c>
      <c r="I15" s="2">
        <v>2013</v>
      </c>
      <c r="J15" s="2">
        <v>2014</v>
      </c>
      <c r="K15" s="2">
        <v>2015</v>
      </c>
      <c r="L15" s="2">
        <v>2016</v>
      </c>
      <c r="M15" s="2">
        <v>2017</v>
      </c>
      <c r="N15" s="2">
        <v>2018</v>
      </c>
      <c r="O15" s="2">
        <v>2019</v>
      </c>
      <c r="P15" s="2">
        <v>2020</v>
      </c>
    </row>
    <row r="17" spans="1:2" ht="12.75">
      <c r="A17" t="s">
        <v>6</v>
      </c>
      <c r="B17" s="5">
        <f>-D4</f>
        <v>-4680000</v>
      </c>
    </row>
    <row r="18" spans="1:16" s="5" customFormat="1" ht="12.75">
      <c r="A18" s="8" t="s">
        <v>7</v>
      </c>
      <c r="B18" s="8"/>
      <c r="C18" s="8">
        <f>$E$4</f>
        <v>870400</v>
      </c>
      <c r="D18" s="8">
        <f aca="true" t="shared" si="0" ref="D18:P18">$E$4</f>
        <v>870400</v>
      </c>
      <c r="E18" s="8">
        <f t="shared" si="0"/>
        <v>870400</v>
      </c>
      <c r="F18" s="8">
        <f t="shared" si="0"/>
        <v>870400</v>
      </c>
      <c r="G18" s="8">
        <f t="shared" si="0"/>
        <v>870400</v>
      </c>
      <c r="H18" s="8">
        <f t="shared" si="0"/>
        <v>870400</v>
      </c>
      <c r="I18" s="8">
        <f t="shared" si="0"/>
        <v>870400</v>
      </c>
      <c r="J18" s="8">
        <f t="shared" si="0"/>
        <v>870400</v>
      </c>
      <c r="K18" s="8">
        <f t="shared" si="0"/>
        <v>870400</v>
      </c>
      <c r="L18" s="8">
        <f t="shared" si="0"/>
        <v>870400</v>
      </c>
      <c r="M18" s="8">
        <f t="shared" si="0"/>
        <v>870400</v>
      </c>
      <c r="N18" s="8">
        <f t="shared" si="0"/>
        <v>870400</v>
      </c>
      <c r="O18" s="8">
        <f t="shared" si="0"/>
        <v>870400</v>
      </c>
      <c r="P18" s="8">
        <f t="shared" si="0"/>
        <v>870400</v>
      </c>
    </row>
    <row r="19" spans="1:16" s="5" customFormat="1" ht="12.75">
      <c r="A19" s="5" t="s">
        <v>94</v>
      </c>
      <c r="B19" s="5">
        <f>SUM(B17:B18)</f>
        <v>-4680000</v>
      </c>
      <c r="C19" s="5">
        <f aca="true" t="shared" si="1" ref="C19:P19">SUM(C17:C18)</f>
        <v>870400</v>
      </c>
      <c r="D19" s="5">
        <f t="shared" si="1"/>
        <v>870400</v>
      </c>
      <c r="E19" s="5">
        <f t="shared" si="1"/>
        <v>870400</v>
      </c>
      <c r="F19" s="5">
        <f t="shared" si="1"/>
        <v>870400</v>
      </c>
      <c r="G19" s="5">
        <f t="shared" si="1"/>
        <v>870400</v>
      </c>
      <c r="H19" s="5">
        <f t="shared" si="1"/>
        <v>870400</v>
      </c>
      <c r="I19" s="5">
        <f t="shared" si="1"/>
        <v>870400</v>
      </c>
      <c r="J19" s="5">
        <f t="shared" si="1"/>
        <v>870400</v>
      </c>
      <c r="K19" s="5">
        <f t="shared" si="1"/>
        <v>870400</v>
      </c>
      <c r="L19" s="5">
        <f t="shared" si="1"/>
        <v>870400</v>
      </c>
      <c r="M19" s="5">
        <f t="shared" si="1"/>
        <v>870400</v>
      </c>
      <c r="N19" s="5">
        <f t="shared" si="1"/>
        <v>870400</v>
      </c>
      <c r="O19" s="5">
        <f t="shared" si="1"/>
        <v>870400</v>
      </c>
      <c r="P19" s="5">
        <f t="shared" si="1"/>
        <v>870400</v>
      </c>
    </row>
    <row r="20" ht="13.5" thickBot="1"/>
    <row r="21" spans="1:2" ht="13.5" thickBot="1">
      <c r="A21" s="18" t="s">
        <v>95</v>
      </c>
      <c r="B21" s="127">
        <f>IRR(B19:P19)</f>
        <v>0.1637191457311617</v>
      </c>
    </row>
    <row r="23" spans="1:16" s="5" customFormat="1" ht="12.75">
      <c r="A23" s="5" t="s">
        <v>103</v>
      </c>
      <c r="C23" s="5">
        <f>$I$5*$G$4+$J$5*$H$4</f>
        <v>170493.07321652063</v>
      </c>
      <c r="D23" s="5">
        <f aca="true" t="shared" si="2" ref="D23:P23">$I$5*$G$4+$J$5*$H$4</f>
        <v>170493.07321652063</v>
      </c>
      <c r="E23" s="5">
        <f t="shared" si="2"/>
        <v>170493.07321652063</v>
      </c>
      <c r="F23" s="5">
        <f t="shared" si="2"/>
        <v>170493.07321652063</v>
      </c>
      <c r="G23" s="5">
        <f t="shared" si="2"/>
        <v>170493.07321652063</v>
      </c>
      <c r="H23" s="5">
        <f t="shared" si="2"/>
        <v>170493.07321652063</v>
      </c>
      <c r="I23" s="5">
        <f t="shared" si="2"/>
        <v>170493.07321652063</v>
      </c>
      <c r="J23" s="5">
        <f t="shared" si="2"/>
        <v>170493.07321652063</v>
      </c>
      <c r="K23" s="5">
        <f t="shared" si="2"/>
        <v>170493.07321652063</v>
      </c>
      <c r="L23" s="5">
        <f t="shared" si="2"/>
        <v>170493.07321652063</v>
      </c>
      <c r="M23" s="5">
        <f t="shared" si="2"/>
        <v>170493.07321652063</v>
      </c>
      <c r="N23" s="5">
        <f t="shared" si="2"/>
        <v>170493.07321652063</v>
      </c>
      <c r="O23" s="5">
        <f t="shared" si="2"/>
        <v>170493.07321652063</v>
      </c>
      <c r="P23" s="5">
        <f t="shared" si="2"/>
        <v>170493.07321652063</v>
      </c>
    </row>
    <row r="24" spans="1:16" s="5" customFormat="1" ht="12.75">
      <c r="A24" s="5" t="s">
        <v>96</v>
      </c>
      <c r="C24" s="5">
        <f>$L$5*$K$4</f>
        <v>87599.02260638298</v>
      </c>
      <c r="D24" s="5">
        <f aca="true" t="shared" si="3" ref="D24:P24">$L$5*$K$4</f>
        <v>87599.02260638298</v>
      </c>
      <c r="E24" s="5">
        <f t="shared" si="3"/>
        <v>87599.02260638298</v>
      </c>
      <c r="F24" s="5">
        <f t="shared" si="3"/>
        <v>87599.02260638298</v>
      </c>
      <c r="G24" s="5">
        <f t="shared" si="3"/>
        <v>87599.02260638298</v>
      </c>
      <c r="H24" s="5">
        <f t="shared" si="3"/>
        <v>87599.02260638298</v>
      </c>
      <c r="I24" s="5">
        <f t="shared" si="3"/>
        <v>87599.02260638298</v>
      </c>
      <c r="J24" s="5">
        <f t="shared" si="3"/>
        <v>87599.02260638298</v>
      </c>
      <c r="K24" s="5">
        <f t="shared" si="3"/>
        <v>87599.02260638298</v>
      </c>
      <c r="L24" s="5">
        <f t="shared" si="3"/>
        <v>87599.02260638298</v>
      </c>
      <c r="M24" s="5">
        <f t="shared" si="3"/>
        <v>87599.02260638298</v>
      </c>
      <c r="N24" s="5">
        <f t="shared" si="3"/>
        <v>87599.02260638298</v>
      </c>
      <c r="O24" s="5">
        <f t="shared" si="3"/>
        <v>87599.02260638298</v>
      </c>
      <c r="P24" s="5">
        <f t="shared" si="3"/>
        <v>87599.02260638298</v>
      </c>
    </row>
    <row r="25" spans="1:16" s="8" customFormat="1" ht="12.75">
      <c r="A25" s="8" t="s">
        <v>97</v>
      </c>
      <c r="C25" s="8">
        <f>$M$4</f>
        <v>282880</v>
      </c>
      <c r="D25" s="8">
        <f aca="true" t="shared" si="4" ref="D25:P25">$M$4</f>
        <v>282880</v>
      </c>
      <c r="E25" s="8">
        <f t="shared" si="4"/>
        <v>282880</v>
      </c>
      <c r="F25" s="8">
        <f t="shared" si="4"/>
        <v>282880</v>
      </c>
      <c r="G25" s="8">
        <f t="shared" si="4"/>
        <v>282880</v>
      </c>
      <c r="H25" s="8">
        <f t="shared" si="4"/>
        <v>282880</v>
      </c>
      <c r="I25" s="8">
        <f t="shared" si="4"/>
        <v>282880</v>
      </c>
      <c r="J25" s="8">
        <f t="shared" si="4"/>
        <v>282880</v>
      </c>
      <c r="K25" s="8">
        <f t="shared" si="4"/>
        <v>282880</v>
      </c>
      <c r="L25" s="8">
        <f t="shared" si="4"/>
        <v>282880</v>
      </c>
      <c r="M25" s="8">
        <f t="shared" si="4"/>
        <v>282880</v>
      </c>
      <c r="N25" s="8">
        <f t="shared" si="4"/>
        <v>282880</v>
      </c>
      <c r="O25" s="8">
        <f t="shared" si="4"/>
        <v>282880</v>
      </c>
      <c r="P25" s="8">
        <f t="shared" si="4"/>
        <v>282880</v>
      </c>
    </row>
    <row r="26" spans="1:16" s="5" customFormat="1" ht="12.75">
      <c r="A26" s="21" t="s">
        <v>98</v>
      </c>
      <c r="B26" s="5">
        <f>B19</f>
        <v>-4680000</v>
      </c>
      <c r="C26" s="5">
        <f>C19+SUM(C23:C25)</f>
        <v>1411372.0958229036</v>
      </c>
      <c r="D26" s="5">
        <f aca="true" t="shared" si="5" ref="D26:P26">D19+SUM(D23:D25)</f>
        <v>1411372.0958229036</v>
      </c>
      <c r="E26" s="5">
        <f t="shared" si="5"/>
        <v>1411372.0958229036</v>
      </c>
      <c r="F26" s="5">
        <f t="shared" si="5"/>
        <v>1411372.0958229036</v>
      </c>
      <c r="G26" s="5">
        <f t="shared" si="5"/>
        <v>1411372.0958229036</v>
      </c>
      <c r="H26" s="5">
        <f t="shared" si="5"/>
        <v>1411372.0958229036</v>
      </c>
      <c r="I26" s="5">
        <f t="shared" si="5"/>
        <v>1411372.0958229036</v>
      </c>
      <c r="J26" s="5">
        <f t="shared" si="5"/>
        <v>1411372.0958229036</v>
      </c>
      <c r="K26" s="5">
        <f t="shared" si="5"/>
        <v>1411372.0958229036</v>
      </c>
      <c r="L26" s="5">
        <f t="shared" si="5"/>
        <v>1411372.0958229036</v>
      </c>
      <c r="M26" s="5">
        <f t="shared" si="5"/>
        <v>1411372.0958229036</v>
      </c>
      <c r="N26" s="5">
        <f t="shared" si="5"/>
        <v>1411372.0958229036</v>
      </c>
      <c r="O26" s="5">
        <f t="shared" si="5"/>
        <v>1411372.0958229036</v>
      </c>
      <c r="P26" s="5">
        <f t="shared" si="5"/>
        <v>1411372.0958229036</v>
      </c>
    </row>
    <row r="27" ht="13.5" thickBot="1"/>
    <row r="28" spans="1:2" ht="13.5" thickBot="1">
      <c r="A28" s="18" t="s">
        <v>147</v>
      </c>
      <c r="B28" s="129">
        <f>IRR(B26:P26)</f>
        <v>0.29334537354852236</v>
      </c>
    </row>
    <row r="29" spans="1:2" ht="12.75">
      <c r="A29" s="22"/>
      <c r="B29" s="23"/>
    </row>
    <row r="30" spans="1:16" ht="12.75">
      <c r="A30" t="s">
        <v>105</v>
      </c>
      <c r="B30" s="5">
        <f>B34</f>
        <v>-4680000</v>
      </c>
      <c r="C30" s="5">
        <f aca="true" t="shared" si="6" ref="C30:P30">C26-C24</f>
        <v>1323773.0732165205</v>
      </c>
      <c r="D30" s="5">
        <f t="shared" si="6"/>
        <v>1323773.0732165205</v>
      </c>
      <c r="E30" s="5">
        <f t="shared" si="6"/>
        <v>1323773.0732165205</v>
      </c>
      <c r="F30" s="5">
        <f t="shared" si="6"/>
        <v>1323773.0732165205</v>
      </c>
      <c r="G30" s="5">
        <f t="shared" si="6"/>
        <v>1323773.0732165205</v>
      </c>
      <c r="H30" s="5">
        <f t="shared" si="6"/>
        <v>1323773.0732165205</v>
      </c>
      <c r="I30" s="5">
        <f t="shared" si="6"/>
        <v>1323773.0732165205</v>
      </c>
      <c r="J30" s="5">
        <f t="shared" si="6"/>
        <v>1323773.0732165205</v>
      </c>
      <c r="K30" s="5">
        <f t="shared" si="6"/>
        <v>1323773.0732165205</v>
      </c>
      <c r="L30" s="5">
        <f t="shared" si="6"/>
        <v>1323773.0732165205</v>
      </c>
      <c r="M30" s="5">
        <f t="shared" si="6"/>
        <v>1323773.0732165205</v>
      </c>
      <c r="N30" s="5">
        <f t="shared" si="6"/>
        <v>1323773.0732165205</v>
      </c>
      <c r="O30" s="5">
        <f t="shared" si="6"/>
        <v>1323773.0732165205</v>
      </c>
      <c r="P30" s="5">
        <f t="shared" si="6"/>
        <v>1323773.0732165205</v>
      </c>
    </row>
    <row r="31" ht="13.5" thickBot="1"/>
    <row r="32" spans="1:2" ht="13.5" thickBot="1">
      <c r="A32" s="18" t="s">
        <v>106</v>
      </c>
      <c r="B32" s="19">
        <f>IRR(B30:P30)</f>
        <v>0.2732458938020622</v>
      </c>
    </row>
    <row r="34" spans="1:16" ht="12.75">
      <c r="A34" t="s">
        <v>104</v>
      </c>
      <c r="B34" s="5">
        <f>B26</f>
        <v>-4680000</v>
      </c>
      <c r="C34" s="5">
        <f>C26-C24-C25</f>
        <v>1040893.0732165205</v>
      </c>
      <c r="D34" s="5">
        <f aca="true" t="shared" si="7" ref="D34:P34">D26-D24-D25</f>
        <v>1040893.0732165205</v>
      </c>
      <c r="E34" s="5">
        <f t="shared" si="7"/>
        <v>1040893.0732165205</v>
      </c>
      <c r="F34" s="5">
        <f t="shared" si="7"/>
        <v>1040893.0732165205</v>
      </c>
      <c r="G34" s="5">
        <f t="shared" si="7"/>
        <v>1040893.0732165205</v>
      </c>
      <c r="H34" s="5">
        <f t="shared" si="7"/>
        <v>1040893.0732165205</v>
      </c>
      <c r="I34" s="5">
        <f t="shared" si="7"/>
        <v>1040893.0732165205</v>
      </c>
      <c r="J34" s="5">
        <f t="shared" si="7"/>
        <v>1040893.0732165205</v>
      </c>
      <c r="K34" s="5">
        <f t="shared" si="7"/>
        <v>1040893.0732165205</v>
      </c>
      <c r="L34" s="5">
        <f t="shared" si="7"/>
        <v>1040893.0732165205</v>
      </c>
      <c r="M34" s="5">
        <f t="shared" si="7"/>
        <v>1040893.0732165205</v>
      </c>
      <c r="N34" s="5">
        <f t="shared" si="7"/>
        <v>1040893.0732165205</v>
      </c>
      <c r="O34" s="5">
        <f t="shared" si="7"/>
        <v>1040893.0732165205</v>
      </c>
      <c r="P34" s="5">
        <f t="shared" si="7"/>
        <v>1040893.0732165205</v>
      </c>
    </row>
    <row r="35" ht="13.5" thickBot="1"/>
    <row r="36" spans="1:2" ht="13.5" thickBot="1">
      <c r="A36" s="18" t="s">
        <v>107</v>
      </c>
      <c r="B36" s="19">
        <f>IRR(B34:P34)</f>
        <v>0.206317880354297</v>
      </c>
    </row>
    <row r="38" spans="1:8" ht="12.75" customHeight="1">
      <c r="A38" s="193">
        <f>IF('ERR &amp; Sensitivity Analysis'!$I$10="N","Note: Current calculations are based on user input and are not the original MCC estimates.",IF('ERR &amp; Sensitivity Analysis'!$I$11="N","Note: Current calculations are based on user input and are not the original MCC estimates.",0))</f>
        <v>0</v>
      </c>
      <c r="B38" s="193"/>
      <c r="C38" s="193"/>
      <c r="D38" s="193"/>
      <c r="E38" s="193"/>
      <c r="F38" s="193"/>
      <c r="G38" s="193"/>
      <c r="H38" s="193"/>
    </row>
  </sheetData>
  <mergeCells count="2">
    <mergeCell ref="G1:J1"/>
    <mergeCell ref="A38:H38"/>
  </mergeCells>
  <conditionalFormatting sqref="A38">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1" fitToWidth="1" horizontalDpi="600" verticalDpi="600" orientation="landscape" scale="60" r:id="rId3"/>
  <legacyDrawing r:id="rId2"/>
</worksheet>
</file>

<file path=xl/worksheets/sheet15.xml><?xml version="1.0" encoding="utf-8"?>
<worksheet xmlns="http://schemas.openxmlformats.org/spreadsheetml/2006/main" xmlns:r="http://schemas.openxmlformats.org/officeDocument/2006/relationships">
  <sheetPr codeName="Sheet14">
    <pageSetUpPr fitToPage="1"/>
  </sheetPr>
  <dimension ref="A1:P38"/>
  <sheetViews>
    <sheetView zoomScale="85" zoomScaleNormal="85" workbookViewId="0" topLeftCell="A1">
      <selection activeCell="A1" sqref="A1"/>
    </sheetView>
  </sheetViews>
  <sheetFormatPr defaultColWidth="9.140625" defaultRowHeight="12.75"/>
  <cols>
    <col min="1" max="1" width="15.140625" style="0" bestFit="1" customWidth="1"/>
    <col min="2" max="2" width="16.57421875" style="0" customWidth="1"/>
    <col min="3" max="3" width="12.421875" style="0" bestFit="1" customWidth="1"/>
    <col min="4" max="4" width="12.57421875" style="0" bestFit="1" customWidth="1"/>
    <col min="5" max="5" width="12.140625" style="0" bestFit="1" customWidth="1"/>
    <col min="6" max="6" width="11.57421875" style="0" bestFit="1" customWidth="1"/>
    <col min="7" max="7" width="10.28125" style="0" customWidth="1"/>
    <col min="8" max="8" width="10.281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6" width="10.28125" style="0" bestFit="1" customWidth="1"/>
  </cols>
  <sheetData>
    <row r="1" spans="7:10" ht="12.75">
      <c r="G1" s="198" t="s">
        <v>9</v>
      </c>
      <c r="H1" s="198"/>
      <c r="I1" s="198"/>
      <c r="J1" s="198"/>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44</v>
      </c>
      <c r="D4" s="5">
        <f>10551000*D12</f>
        <v>10551000</v>
      </c>
      <c r="E4" s="5">
        <f>6434000*J12</f>
        <v>6434000</v>
      </c>
      <c r="F4">
        <v>50</v>
      </c>
      <c r="G4" s="16">
        <f>H4*(15/85)</f>
        <v>10.588235294117649</v>
      </c>
      <c r="H4">
        <v>60</v>
      </c>
      <c r="I4">
        <f>J4*'Key assumptions'!F13</f>
        <v>7200</v>
      </c>
      <c r="J4">
        <f>200*12*J12</f>
        <v>2400</v>
      </c>
      <c r="K4">
        <v>1500</v>
      </c>
      <c r="L4" s="1">
        <f>180*'Key assumptions'!C23*C9*J12</f>
        <v>270</v>
      </c>
      <c r="M4" s="5">
        <f>1608400*J12</f>
        <v>1608400</v>
      </c>
    </row>
    <row r="5" spans="9:12" ht="12.75">
      <c r="I5" s="13">
        <f>(I4/12-'Key assumptions'!H16/'Key assumptions'!C3)*12</f>
        <v>4676.90744680851</v>
      </c>
      <c r="J5" s="13">
        <f>(J4/12-'Key assumptions'!G7/'Key assumptions'!C3)*12</f>
        <v>1610.278723404255</v>
      </c>
      <c r="L5" s="10">
        <f>(L4/C9-'Key assumptions'!H25/'Key assumptions'!C3)*C9</f>
        <v>239.66449468085105</v>
      </c>
    </row>
    <row r="6" ht="12.75">
      <c r="A6" t="s">
        <v>19</v>
      </c>
    </row>
    <row r="7" ht="12.75">
      <c r="A7" t="s">
        <v>45</v>
      </c>
    </row>
    <row r="8" ht="12.75">
      <c r="A8" t="s">
        <v>46</v>
      </c>
    </row>
    <row r="9" spans="1:4" ht="12.75">
      <c r="A9" t="s">
        <v>122</v>
      </c>
      <c r="B9" s="17"/>
      <c r="C9" s="7">
        <v>10</v>
      </c>
      <c r="D9" t="s">
        <v>123</v>
      </c>
    </row>
    <row r="11" spans="1:10" ht="12.75">
      <c r="A11" s="120" t="s">
        <v>224</v>
      </c>
      <c r="B11" s="121"/>
      <c r="C11" s="121"/>
      <c r="D11" s="122"/>
      <c r="F11" s="120" t="s">
        <v>225</v>
      </c>
      <c r="G11" s="121"/>
      <c r="H11" s="121"/>
      <c r="I11" s="121"/>
      <c r="J11" s="122"/>
    </row>
    <row r="12" spans="1:10" ht="12.75">
      <c r="A12" s="123" t="s">
        <v>214</v>
      </c>
      <c r="B12" s="3"/>
      <c r="C12" s="3"/>
      <c r="D12" s="124">
        <f>'ERR &amp; Sensitivity Analysis'!$G$10</f>
        <v>1</v>
      </c>
      <c r="F12" s="123" t="s">
        <v>216</v>
      </c>
      <c r="G12" s="3"/>
      <c r="H12" s="3"/>
      <c r="I12" s="3"/>
      <c r="J12" s="124">
        <f>'ERR &amp; Sensitivity Analysis'!$G$11</f>
        <v>1</v>
      </c>
    </row>
    <row r="15" spans="1:16" s="63" customFormat="1" ht="12.75">
      <c r="A15" s="128"/>
      <c r="B15" s="128">
        <v>2006</v>
      </c>
      <c r="C15" s="128">
        <v>2007</v>
      </c>
      <c r="D15" s="128">
        <v>2008</v>
      </c>
      <c r="E15" s="128">
        <v>2009</v>
      </c>
      <c r="F15" s="128">
        <v>2010</v>
      </c>
      <c r="G15" s="128">
        <v>2011</v>
      </c>
      <c r="H15" s="128">
        <v>2012</v>
      </c>
      <c r="I15" s="128">
        <v>2013</v>
      </c>
      <c r="J15" s="128">
        <v>2014</v>
      </c>
      <c r="K15" s="128">
        <v>2015</v>
      </c>
      <c r="L15" s="128">
        <v>2016</v>
      </c>
      <c r="M15" s="128">
        <v>2017</v>
      </c>
      <c r="N15" s="128">
        <v>2018</v>
      </c>
      <c r="O15" s="128">
        <v>2019</v>
      </c>
      <c r="P15" s="128">
        <v>2020</v>
      </c>
    </row>
    <row r="17" spans="1:2" ht="12.75">
      <c r="A17" t="s">
        <v>6</v>
      </c>
      <c r="B17" s="5">
        <f>-D4</f>
        <v>-10551000</v>
      </c>
    </row>
    <row r="18" spans="1:16" s="5" customFormat="1" ht="12.75">
      <c r="A18" s="8" t="s">
        <v>7</v>
      </c>
      <c r="B18" s="8"/>
      <c r="C18" s="8">
        <f aca="true" t="shared" si="0" ref="C18:P18">$E$4</f>
        <v>6434000</v>
      </c>
      <c r="D18" s="8">
        <f t="shared" si="0"/>
        <v>6434000</v>
      </c>
      <c r="E18" s="8">
        <f t="shared" si="0"/>
        <v>6434000</v>
      </c>
      <c r="F18" s="8">
        <f t="shared" si="0"/>
        <v>6434000</v>
      </c>
      <c r="G18" s="8">
        <f t="shared" si="0"/>
        <v>6434000</v>
      </c>
      <c r="H18" s="8">
        <f t="shared" si="0"/>
        <v>6434000</v>
      </c>
      <c r="I18" s="8">
        <f t="shared" si="0"/>
        <v>6434000</v>
      </c>
      <c r="J18" s="8">
        <f t="shared" si="0"/>
        <v>6434000</v>
      </c>
      <c r="K18" s="8">
        <f t="shared" si="0"/>
        <v>6434000</v>
      </c>
      <c r="L18" s="8">
        <f t="shared" si="0"/>
        <v>6434000</v>
      </c>
      <c r="M18" s="8">
        <f t="shared" si="0"/>
        <v>6434000</v>
      </c>
      <c r="N18" s="8">
        <f t="shared" si="0"/>
        <v>6434000</v>
      </c>
      <c r="O18" s="8">
        <f t="shared" si="0"/>
        <v>6434000</v>
      </c>
      <c r="P18" s="8">
        <f t="shared" si="0"/>
        <v>6434000</v>
      </c>
    </row>
    <row r="19" spans="1:16" s="5" customFormat="1" ht="12.75">
      <c r="A19" s="5" t="s">
        <v>94</v>
      </c>
      <c r="B19" s="5">
        <f>SUM(B17:B18)</f>
        <v>-10551000</v>
      </c>
      <c r="C19" s="5">
        <f aca="true" t="shared" si="1" ref="C19:P19">SUM(C17:C18)</f>
        <v>6434000</v>
      </c>
      <c r="D19" s="5">
        <f t="shared" si="1"/>
        <v>6434000</v>
      </c>
      <c r="E19" s="5">
        <f t="shared" si="1"/>
        <v>6434000</v>
      </c>
      <c r="F19" s="5">
        <f t="shared" si="1"/>
        <v>6434000</v>
      </c>
      <c r="G19" s="5">
        <f t="shared" si="1"/>
        <v>6434000</v>
      </c>
      <c r="H19" s="5">
        <f t="shared" si="1"/>
        <v>6434000</v>
      </c>
      <c r="I19" s="5">
        <f t="shared" si="1"/>
        <v>6434000</v>
      </c>
      <c r="J19" s="5">
        <f t="shared" si="1"/>
        <v>6434000</v>
      </c>
      <c r="K19" s="5">
        <f t="shared" si="1"/>
        <v>6434000</v>
      </c>
      <c r="L19" s="5">
        <f t="shared" si="1"/>
        <v>6434000</v>
      </c>
      <c r="M19" s="5">
        <f t="shared" si="1"/>
        <v>6434000</v>
      </c>
      <c r="N19" s="5">
        <f t="shared" si="1"/>
        <v>6434000</v>
      </c>
      <c r="O19" s="5">
        <f t="shared" si="1"/>
        <v>6434000</v>
      </c>
      <c r="P19" s="5">
        <f t="shared" si="1"/>
        <v>6434000</v>
      </c>
    </row>
    <row r="20" ht="13.5" thickBot="1"/>
    <row r="21" spans="1:2" ht="13.5" thickBot="1">
      <c r="A21" s="18" t="s">
        <v>95</v>
      </c>
      <c r="B21" s="127">
        <f>IRR(B19:P19)</f>
        <v>0.6090177869112162</v>
      </c>
    </row>
    <row r="23" spans="1:16" s="5" customFormat="1" ht="12.75">
      <c r="A23" s="5" t="s">
        <v>103</v>
      </c>
      <c r="C23" s="5">
        <f>$I$5*$G$4+$J$5*$H$4</f>
        <v>146136.91989987483</v>
      </c>
      <c r="D23" s="5">
        <f aca="true" t="shared" si="2" ref="D23:P23">$I$5*$G$4+$J$5*$H$4</f>
        <v>146136.91989987483</v>
      </c>
      <c r="E23" s="5">
        <f t="shared" si="2"/>
        <v>146136.91989987483</v>
      </c>
      <c r="F23" s="5">
        <f t="shared" si="2"/>
        <v>146136.91989987483</v>
      </c>
      <c r="G23" s="5">
        <f t="shared" si="2"/>
        <v>146136.91989987483</v>
      </c>
      <c r="H23" s="5">
        <f t="shared" si="2"/>
        <v>146136.91989987483</v>
      </c>
      <c r="I23" s="5">
        <f t="shared" si="2"/>
        <v>146136.91989987483</v>
      </c>
      <c r="J23" s="5">
        <f t="shared" si="2"/>
        <v>146136.91989987483</v>
      </c>
      <c r="K23" s="5">
        <f t="shared" si="2"/>
        <v>146136.91989987483</v>
      </c>
      <c r="L23" s="5">
        <f t="shared" si="2"/>
        <v>146136.91989987483</v>
      </c>
      <c r="M23" s="5">
        <f t="shared" si="2"/>
        <v>146136.91989987483</v>
      </c>
      <c r="N23" s="5">
        <f t="shared" si="2"/>
        <v>146136.91989987483</v>
      </c>
      <c r="O23" s="5">
        <f t="shared" si="2"/>
        <v>146136.91989987483</v>
      </c>
      <c r="P23" s="5">
        <f t="shared" si="2"/>
        <v>146136.91989987483</v>
      </c>
    </row>
    <row r="24" spans="1:16" s="5" customFormat="1" ht="12.75">
      <c r="A24" s="5" t="s">
        <v>96</v>
      </c>
      <c r="C24" s="5">
        <f>$L$5*$K$4</f>
        <v>359496.74202127656</v>
      </c>
      <c r="D24" s="5">
        <f aca="true" t="shared" si="3" ref="D24:P24">$L$5*$K$4</f>
        <v>359496.74202127656</v>
      </c>
      <c r="E24" s="5">
        <f t="shared" si="3"/>
        <v>359496.74202127656</v>
      </c>
      <c r="F24" s="5">
        <f t="shared" si="3"/>
        <v>359496.74202127656</v>
      </c>
      <c r="G24" s="5">
        <f t="shared" si="3"/>
        <v>359496.74202127656</v>
      </c>
      <c r="H24" s="5">
        <f t="shared" si="3"/>
        <v>359496.74202127656</v>
      </c>
      <c r="I24" s="5">
        <f t="shared" si="3"/>
        <v>359496.74202127656</v>
      </c>
      <c r="J24" s="5">
        <f t="shared" si="3"/>
        <v>359496.74202127656</v>
      </c>
      <c r="K24" s="5">
        <f t="shared" si="3"/>
        <v>359496.74202127656</v>
      </c>
      <c r="L24" s="5">
        <f t="shared" si="3"/>
        <v>359496.74202127656</v>
      </c>
      <c r="M24" s="5">
        <f t="shared" si="3"/>
        <v>359496.74202127656</v>
      </c>
      <c r="N24" s="5">
        <f t="shared" si="3"/>
        <v>359496.74202127656</v>
      </c>
      <c r="O24" s="5">
        <f t="shared" si="3"/>
        <v>359496.74202127656</v>
      </c>
      <c r="P24" s="5">
        <f t="shared" si="3"/>
        <v>359496.74202127656</v>
      </c>
    </row>
    <row r="25" spans="1:16" s="8" customFormat="1" ht="12.75">
      <c r="A25" s="8" t="s">
        <v>97</v>
      </c>
      <c r="C25" s="8">
        <f>$M$4</f>
        <v>1608400</v>
      </c>
      <c r="D25" s="8">
        <f aca="true" t="shared" si="4" ref="D25:P25">$M$4</f>
        <v>1608400</v>
      </c>
      <c r="E25" s="8">
        <f t="shared" si="4"/>
        <v>1608400</v>
      </c>
      <c r="F25" s="8">
        <f t="shared" si="4"/>
        <v>1608400</v>
      </c>
      <c r="G25" s="8">
        <f t="shared" si="4"/>
        <v>1608400</v>
      </c>
      <c r="H25" s="8">
        <f t="shared" si="4"/>
        <v>1608400</v>
      </c>
      <c r="I25" s="8">
        <f t="shared" si="4"/>
        <v>1608400</v>
      </c>
      <c r="J25" s="8">
        <f t="shared" si="4"/>
        <v>1608400</v>
      </c>
      <c r="K25" s="8">
        <f t="shared" si="4"/>
        <v>1608400</v>
      </c>
      <c r="L25" s="8">
        <f t="shared" si="4"/>
        <v>1608400</v>
      </c>
      <c r="M25" s="8">
        <f t="shared" si="4"/>
        <v>1608400</v>
      </c>
      <c r="N25" s="8">
        <f t="shared" si="4"/>
        <v>1608400</v>
      </c>
      <c r="O25" s="8">
        <f t="shared" si="4"/>
        <v>1608400</v>
      </c>
      <c r="P25" s="8">
        <f t="shared" si="4"/>
        <v>1608400</v>
      </c>
    </row>
    <row r="26" spans="1:16" s="5" customFormat="1" ht="12.75">
      <c r="A26" s="21" t="s">
        <v>98</v>
      </c>
      <c r="B26" s="5">
        <f>B19</f>
        <v>-10551000</v>
      </c>
      <c r="C26" s="5">
        <f>C19+SUM(C23:C25)</f>
        <v>8548033.661921151</v>
      </c>
      <c r="D26" s="5">
        <f aca="true" t="shared" si="5" ref="D26:P26">D19+SUM(D23:D25)</f>
        <v>8548033.661921151</v>
      </c>
      <c r="E26" s="5">
        <f t="shared" si="5"/>
        <v>8548033.661921151</v>
      </c>
      <c r="F26" s="5">
        <f t="shared" si="5"/>
        <v>8548033.661921151</v>
      </c>
      <c r="G26" s="5">
        <f t="shared" si="5"/>
        <v>8548033.661921151</v>
      </c>
      <c r="H26" s="5">
        <f t="shared" si="5"/>
        <v>8548033.661921151</v>
      </c>
      <c r="I26" s="5">
        <f t="shared" si="5"/>
        <v>8548033.661921151</v>
      </c>
      <c r="J26" s="5">
        <f t="shared" si="5"/>
        <v>8548033.661921151</v>
      </c>
      <c r="K26" s="5">
        <f t="shared" si="5"/>
        <v>8548033.661921151</v>
      </c>
      <c r="L26" s="5">
        <f t="shared" si="5"/>
        <v>8548033.661921151</v>
      </c>
      <c r="M26" s="5">
        <f t="shared" si="5"/>
        <v>8548033.661921151</v>
      </c>
      <c r="N26" s="5">
        <f t="shared" si="5"/>
        <v>8548033.661921151</v>
      </c>
      <c r="O26" s="5">
        <f t="shared" si="5"/>
        <v>8548033.661921151</v>
      </c>
      <c r="P26" s="5">
        <f t="shared" si="5"/>
        <v>8548033.661921151</v>
      </c>
    </row>
    <row r="27" ht="13.5" thickBot="1"/>
    <row r="28" spans="1:2" ht="13.5" thickBot="1">
      <c r="A28" s="18" t="s">
        <v>147</v>
      </c>
      <c r="B28" s="129">
        <f>IRR(B26:P26)</f>
        <v>0.8099632883872995</v>
      </c>
    </row>
    <row r="29" spans="1:2" ht="12.75">
      <c r="A29" s="22"/>
      <c r="B29" s="23"/>
    </row>
    <row r="30" spans="1:16" ht="12.75">
      <c r="A30" t="s">
        <v>105</v>
      </c>
      <c r="B30" s="5">
        <f>B34</f>
        <v>-10551000</v>
      </c>
      <c r="C30" s="5">
        <f aca="true" t="shared" si="6" ref="C30:P30">C26-C24</f>
        <v>8188536.919899874</v>
      </c>
      <c r="D30" s="5">
        <f t="shared" si="6"/>
        <v>8188536.919899874</v>
      </c>
      <c r="E30" s="5">
        <f t="shared" si="6"/>
        <v>8188536.919899874</v>
      </c>
      <c r="F30" s="5">
        <f t="shared" si="6"/>
        <v>8188536.919899874</v>
      </c>
      <c r="G30" s="5">
        <f t="shared" si="6"/>
        <v>8188536.919899874</v>
      </c>
      <c r="H30" s="5">
        <f t="shared" si="6"/>
        <v>8188536.919899874</v>
      </c>
      <c r="I30" s="5">
        <f t="shared" si="6"/>
        <v>8188536.919899874</v>
      </c>
      <c r="J30" s="5">
        <f t="shared" si="6"/>
        <v>8188536.919899874</v>
      </c>
      <c r="K30" s="5">
        <f t="shared" si="6"/>
        <v>8188536.919899874</v>
      </c>
      <c r="L30" s="5">
        <f t="shared" si="6"/>
        <v>8188536.919899874</v>
      </c>
      <c r="M30" s="5">
        <f t="shared" si="6"/>
        <v>8188536.919899874</v>
      </c>
      <c r="N30" s="5">
        <f t="shared" si="6"/>
        <v>8188536.919899874</v>
      </c>
      <c r="O30" s="5">
        <f t="shared" si="6"/>
        <v>8188536.919899874</v>
      </c>
      <c r="P30" s="5">
        <f t="shared" si="6"/>
        <v>8188536.919899874</v>
      </c>
    </row>
    <row r="31" ht="13.5" thickBot="1"/>
    <row r="32" spans="1:2" ht="13.5" thickBot="1">
      <c r="A32" s="18" t="s">
        <v>106</v>
      </c>
      <c r="B32" s="19">
        <f>IRR(B30:P30)</f>
        <v>0.7758408918810858</v>
      </c>
    </row>
    <row r="34" spans="1:16" ht="12.75">
      <c r="A34" t="s">
        <v>104</v>
      </c>
      <c r="B34" s="5">
        <f>B26</f>
        <v>-10551000</v>
      </c>
      <c r="C34" s="5">
        <f>C26-C24-C25</f>
        <v>6580136.919899874</v>
      </c>
      <c r="D34" s="5">
        <f aca="true" t="shared" si="7" ref="D34:P34">D26-D24-D25</f>
        <v>6580136.919899874</v>
      </c>
      <c r="E34" s="5">
        <f t="shared" si="7"/>
        <v>6580136.919899874</v>
      </c>
      <c r="F34" s="5">
        <f t="shared" si="7"/>
        <v>6580136.919899874</v>
      </c>
      <c r="G34" s="5">
        <f t="shared" si="7"/>
        <v>6580136.919899874</v>
      </c>
      <c r="H34" s="5">
        <f t="shared" si="7"/>
        <v>6580136.919899874</v>
      </c>
      <c r="I34" s="5">
        <f t="shared" si="7"/>
        <v>6580136.919899874</v>
      </c>
      <c r="J34" s="5">
        <f t="shared" si="7"/>
        <v>6580136.919899874</v>
      </c>
      <c r="K34" s="5">
        <f t="shared" si="7"/>
        <v>6580136.919899874</v>
      </c>
      <c r="L34" s="5">
        <f t="shared" si="7"/>
        <v>6580136.919899874</v>
      </c>
      <c r="M34" s="5">
        <f t="shared" si="7"/>
        <v>6580136.919899874</v>
      </c>
      <c r="N34" s="5">
        <f t="shared" si="7"/>
        <v>6580136.919899874</v>
      </c>
      <c r="O34" s="5">
        <f t="shared" si="7"/>
        <v>6580136.919899874</v>
      </c>
      <c r="P34" s="5">
        <f t="shared" si="7"/>
        <v>6580136.919899874</v>
      </c>
    </row>
    <row r="35" ht="13.5" thickBot="1"/>
    <row r="36" spans="1:2" ht="13.5" thickBot="1">
      <c r="A36" s="18" t="s">
        <v>107</v>
      </c>
      <c r="B36" s="19">
        <f>IRR(B34:P34)</f>
        <v>0.6229414568763267</v>
      </c>
    </row>
    <row r="38" spans="1:8" ht="12.75" customHeight="1">
      <c r="A38" s="193">
        <f>IF('ERR &amp; Sensitivity Analysis'!$I$10="N","Note: Current calculations are based on user input and are not the original MCC estimates.",IF('ERR &amp; Sensitivity Analysis'!$I$11="N","Note: Current calculations are based on user input and are not the original MCC estimates.",0))</f>
        <v>0</v>
      </c>
      <c r="B38" s="193"/>
      <c r="C38" s="193"/>
      <c r="D38" s="193"/>
      <c r="E38" s="193"/>
      <c r="F38" s="193"/>
      <c r="G38" s="193"/>
      <c r="H38" s="193"/>
    </row>
  </sheetData>
  <mergeCells count="2">
    <mergeCell ref="G1:J1"/>
    <mergeCell ref="A38:H38"/>
  </mergeCells>
  <conditionalFormatting sqref="A38">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1" fitToWidth="1" horizontalDpi="600" verticalDpi="600" orientation="landscape" scale="58" r:id="rId3"/>
  <legacyDrawing r:id="rId2"/>
</worksheet>
</file>

<file path=xl/worksheets/sheet16.xml><?xml version="1.0" encoding="utf-8"?>
<worksheet xmlns="http://schemas.openxmlformats.org/spreadsheetml/2006/main" xmlns:r="http://schemas.openxmlformats.org/officeDocument/2006/relationships">
  <sheetPr codeName="Sheet15">
    <pageSetUpPr fitToPage="1"/>
  </sheetPr>
  <dimension ref="A1:P38"/>
  <sheetViews>
    <sheetView zoomScale="85" zoomScaleNormal="85" workbookViewId="0" topLeftCell="A1">
      <selection activeCell="A1" sqref="A1"/>
    </sheetView>
  </sheetViews>
  <sheetFormatPr defaultColWidth="9.140625" defaultRowHeight="12.75"/>
  <cols>
    <col min="1" max="1" width="15.140625" style="0" bestFit="1" customWidth="1"/>
    <col min="2" max="2" width="10.8515625" style="0" bestFit="1" customWidth="1"/>
    <col min="3" max="3" width="12.421875" style="0" bestFit="1" customWidth="1"/>
    <col min="4" max="4" width="12.57421875" style="0" bestFit="1" customWidth="1"/>
    <col min="5" max="5" width="12.140625" style="0" bestFit="1" customWidth="1"/>
    <col min="6" max="6" width="11.57421875" style="0" bestFit="1" customWidth="1"/>
    <col min="7" max="8" width="10.28125" style="0"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6" width="10.28125" style="0" bestFit="1" customWidth="1"/>
  </cols>
  <sheetData>
    <row r="1" spans="7:10" ht="12.75">
      <c r="G1" s="198" t="s">
        <v>9</v>
      </c>
      <c r="H1" s="198"/>
      <c r="I1" s="198"/>
      <c r="J1" s="2"/>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47</v>
      </c>
      <c r="D4" s="5">
        <f>2480000*D11</f>
        <v>2480000</v>
      </c>
      <c r="E4" s="5">
        <f>5864000*J11</f>
        <v>5864000</v>
      </c>
      <c r="F4">
        <v>50</v>
      </c>
      <c r="G4" s="16">
        <f>H4*(15/85)</f>
        <v>21.176470588235297</v>
      </c>
      <c r="H4">
        <v>120</v>
      </c>
      <c r="I4">
        <f>J4*'Key assumptions'!F13</f>
        <v>5760</v>
      </c>
      <c r="J4">
        <f>160*12*J11</f>
        <v>1920</v>
      </c>
      <c r="K4" s="5">
        <v>3000</v>
      </c>
      <c r="L4" s="5">
        <f>150*'Key assumptions'!C23*C8*J11</f>
        <v>135</v>
      </c>
      <c r="M4" s="5">
        <f>1634800*J11</f>
        <v>1634800</v>
      </c>
    </row>
    <row r="5" spans="9:12" ht="12.75">
      <c r="I5" s="13">
        <f>(I4/12-'Key assumptions'!H16/'Key assumptions'!C3)*12</f>
        <v>3236.90744680851</v>
      </c>
      <c r="J5" s="13">
        <f>(J4/12-'Key assumptions'!G7/'Key assumptions'!C3)*12</f>
        <v>1130.2787234042553</v>
      </c>
      <c r="L5" s="10">
        <f>(L4/C8-'Key assumptions'!H25/'Key assumptions'!C3)*C8</f>
        <v>116.79869680851064</v>
      </c>
    </row>
    <row r="6" ht="12.75">
      <c r="A6" t="s">
        <v>19</v>
      </c>
    </row>
    <row r="7" ht="12.75">
      <c r="A7" t="s">
        <v>48</v>
      </c>
    </row>
    <row r="8" spans="1:4" ht="12.75">
      <c r="A8" t="s">
        <v>122</v>
      </c>
      <c r="B8" s="17"/>
      <c r="C8" s="7">
        <v>6</v>
      </c>
      <c r="D8" t="s">
        <v>123</v>
      </c>
    </row>
    <row r="10" spans="1:10" ht="12.75">
      <c r="A10" s="120" t="s">
        <v>224</v>
      </c>
      <c r="B10" s="121"/>
      <c r="C10" s="121"/>
      <c r="D10" s="122"/>
      <c r="F10" s="120" t="s">
        <v>225</v>
      </c>
      <c r="G10" s="121"/>
      <c r="H10" s="121"/>
      <c r="I10" s="121"/>
      <c r="J10" s="122"/>
    </row>
    <row r="11" spans="1:10" ht="12.75">
      <c r="A11" s="123" t="s">
        <v>214</v>
      </c>
      <c r="B11" s="3"/>
      <c r="C11" s="3"/>
      <c r="D11" s="124">
        <f>'ERR &amp; Sensitivity Analysis'!$G$10</f>
        <v>1</v>
      </c>
      <c r="F11" s="123" t="s">
        <v>216</v>
      </c>
      <c r="G11" s="3"/>
      <c r="H11" s="3"/>
      <c r="I11" s="3"/>
      <c r="J11" s="124">
        <f>'ERR &amp; Sensitivity Analysis'!$G$11</f>
        <v>1</v>
      </c>
    </row>
    <row r="15" spans="1:16" s="63" customFormat="1" ht="12.75">
      <c r="A15" s="128"/>
      <c r="B15" s="128">
        <v>2006</v>
      </c>
      <c r="C15" s="128">
        <v>2007</v>
      </c>
      <c r="D15" s="128">
        <v>2008</v>
      </c>
      <c r="E15" s="128">
        <v>2009</v>
      </c>
      <c r="F15" s="128">
        <v>2010</v>
      </c>
      <c r="G15" s="128">
        <v>2011</v>
      </c>
      <c r="H15" s="128">
        <v>2012</v>
      </c>
      <c r="I15" s="128">
        <v>2013</v>
      </c>
      <c r="J15" s="128">
        <v>2014</v>
      </c>
      <c r="K15" s="128">
        <v>2015</v>
      </c>
      <c r="L15" s="128">
        <v>2016</v>
      </c>
      <c r="M15" s="128">
        <v>2017</v>
      </c>
      <c r="N15" s="128">
        <v>2018</v>
      </c>
      <c r="O15" s="128">
        <v>2019</v>
      </c>
      <c r="P15" s="128">
        <v>2020</v>
      </c>
    </row>
    <row r="17" spans="1:2" ht="12.75">
      <c r="A17" t="s">
        <v>6</v>
      </c>
      <c r="B17" s="5">
        <f>-D4</f>
        <v>-2480000</v>
      </c>
    </row>
    <row r="18" spans="1:16" s="5" customFormat="1" ht="12.75">
      <c r="A18" s="8" t="s">
        <v>7</v>
      </c>
      <c r="B18" s="8"/>
      <c r="C18" s="8">
        <f>$E$4</f>
        <v>5864000</v>
      </c>
      <c r="D18" s="8">
        <f aca="true" t="shared" si="0" ref="D18:P18">$E$4</f>
        <v>5864000</v>
      </c>
      <c r="E18" s="8">
        <f t="shared" si="0"/>
        <v>5864000</v>
      </c>
      <c r="F18" s="8">
        <f t="shared" si="0"/>
        <v>5864000</v>
      </c>
      <c r="G18" s="8">
        <f t="shared" si="0"/>
        <v>5864000</v>
      </c>
      <c r="H18" s="8">
        <f t="shared" si="0"/>
        <v>5864000</v>
      </c>
      <c r="I18" s="8">
        <f t="shared" si="0"/>
        <v>5864000</v>
      </c>
      <c r="J18" s="8">
        <f t="shared" si="0"/>
        <v>5864000</v>
      </c>
      <c r="K18" s="8">
        <f t="shared" si="0"/>
        <v>5864000</v>
      </c>
      <c r="L18" s="8">
        <f t="shared" si="0"/>
        <v>5864000</v>
      </c>
      <c r="M18" s="8">
        <f t="shared" si="0"/>
        <v>5864000</v>
      </c>
      <c r="N18" s="8">
        <f t="shared" si="0"/>
        <v>5864000</v>
      </c>
      <c r="O18" s="8">
        <f t="shared" si="0"/>
        <v>5864000</v>
      </c>
      <c r="P18" s="8">
        <f t="shared" si="0"/>
        <v>5864000</v>
      </c>
    </row>
    <row r="19" spans="1:16" s="5" customFormat="1" ht="12.75">
      <c r="A19" s="5" t="s">
        <v>94</v>
      </c>
      <c r="B19" s="5">
        <f>SUM(B17:B18)</f>
        <v>-2480000</v>
      </c>
      <c r="C19" s="5">
        <f aca="true" t="shared" si="1" ref="C19:P19">SUM(C17:C18)</f>
        <v>5864000</v>
      </c>
      <c r="D19" s="5">
        <f t="shared" si="1"/>
        <v>5864000</v>
      </c>
      <c r="E19" s="5">
        <f t="shared" si="1"/>
        <v>5864000</v>
      </c>
      <c r="F19" s="5">
        <f t="shared" si="1"/>
        <v>5864000</v>
      </c>
      <c r="G19" s="5">
        <f t="shared" si="1"/>
        <v>5864000</v>
      </c>
      <c r="H19" s="5">
        <f t="shared" si="1"/>
        <v>5864000</v>
      </c>
      <c r="I19" s="5">
        <f t="shared" si="1"/>
        <v>5864000</v>
      </c>
      <c r="J19" s="5">
        <f t="shared" si="1"/>
        <v>5864000</v>
      </c>
      <c r="K19" s="5">
        <f t="shared" si="1"/>
        <v>5864000</v>
      </c>
      <c r="L19" s="5">
        <f t="shared" si="1"/>
        <v>5864000</v>
      </c>
      <c r="M19" s="5">
        <f t="shared" si="1"/>
        <v>5864000</v>
      </c>
      <c r="N19" s="5">
        <f t="shared" si="1"/>
        <v>5864000</v>
      </c>
      <c r="O19" s="5">
        <f t="shared" si="1"/>
        <v>5864000</v>
      </c>
      <c r="P19" s="5">
        <f t="shared" si="1"/>
        <v>5864000</v>
      </c>
    </row>
    <row r="20" ht="13.5" thickBot="1"/>
    <row r="21" spans="1:2" ht="13.5" thickBot="1">
      <c r="A21" s="18" t="s">
        <v>95</v>
      </c>
      <c r="B21" s="127">
        <f>IRR(B19:P19)</f>
        <v>2.3645160297604675</v>
      </c>
    </row>
    <row r="23" spans="1:16" s="5" customFormat="1" ht="12.75">
      <c r="A23" s="5" t="s">
        <v>103</v>
      </c>
      <c r="C23" s="5">
        <f>$I$5*$G$4+$J$5*$H$4</f>
        <v>204179.72215269087</v>
      </c>
      <c r="D23" s="5">
        <f aca="true" t="shared" si="2" ref="D23:P23">$I$5*$G$4+$J$5*$H$4</f>
        <v>204179.72215269087</v>
      </c>
      <c r="E23" s="5">
        <f t="shared" si="2"/>
        <v>204179.72215269087</v>
      </c>
      <c r="F23" s="5">
        <f t="shared" si="2"/>
        <v>204179.72215269087</v>
      </c>
      <c r="G23" s="5">
        <f t="shared" si="2"/>
        <v>204179.72215269087</v>
      </c>
      <c r="H23" s="5">
        <f t="shared" si="2"/>
        <v>204179.72215269087</v>
      </c>
      <c r="I23" s="5">
        <f t="shared" si="2"/>
        <v>204179.72215269087</v>
      </c>
      <c r="J23" s="5">
        <f t="shared" si="2"/>
        <v>204179.72215269087</v>
      </c>
      <c r="K23" s="5">
        <f t="shared" si="2"/>
        <v>204179.72215269087</v>
      </c>
      <c r="L23" s="5">
        <f t="shared" si="2"/>
        <v>204179.72215269087</v>
      </c>
      <c r="M23" s="5">
        <f t="shared" si="2"/>
        <v>204179.72215269087</v>
      </c>
      <c r="N23" s="5">
        <f t="shared" si="2"/>
        <v>204179.72215269087</v>
      </c>
      <c r="O23" s="5">
        <f t="shared" si="2"/>
        <v>204179.72215269087</v>
      </c>
      <c r="P23" s="5">
        <f t="shared" si="2"/>
        <v>204179.72215269087</v>
      </c>
    </row>
    <row r="24" spans="1:16" s="5" customFormat="1" ht="12.75">
      <c r="A24" s="5" t="s">
        <v>96</v>
      </c>
      <c r="C24" s="5">
        <f>$L$5*$K$4</f>
        <v>350396.0904255319</v>
      </c>
      <c r="D24" s="5">
        <f aca="true" t="shared" si="3" ref="D24:P24">$L$5*$K$4</f>
        <v>350396.0904255319</v>
      </c>
      <c r="E24" s="5">
        <f t="shared" si="3"/>
        <v>350396.0904255319</v>
      </c>
      <c r="F24" s="5">
        <f t="shared" si="3"/>
        <v>350396.0904255319</v>
      </c>
      <c r="G24" s="5">
        <f t="shared" si="3"/>
        <v>350396.0904255319</v>
      </c>
      <c r="H24" s="5">
        <f t="shared" si="3"/>
        <v>350396.0904255319</v>
      </c>
      <c r="I24" s="5">
        <f t="shared" si="3"/>
        <v>350396.0904255319</v>
      </c>
      <c r="J24" s="5">
        <f t="shared" si="3"/>
        <v>350396.0904255319</v>
      </c>
      <c r="K24" s="5">
        <f t="shared" si="3"/>
        <v>350396.0904255319</v>
      </c>
      <c r="L24" s="5">
        <f t="shared" si="3"/>
        <v>350396.0904255319</v>
      </c>
      <c r="M24" s="5">
        <f t="shared" si="3"/>
        <v>350396.0904255319</v>
      </c>
      <c r="N24" s="5">
        <f t="shared" si="3"/>
        <v>350396.0904255319</v>
      </c>
      <c r="O24" s="5">
        <f t="shared" si="3"/>
        <v>350396.0904255319</v>
      </c>
      <c r="P24" s="5">
        <f t="shared" si="3"/>
        <v>350396.0904255319</v>
      </c>
    </row>
    <row r="25" spans="1:16" s="8" customFormat="1" ht="12.75">
      <c r="A25" s="8" t="s">
        <v>97</v>
      </c>
      <c r="C25" s="8">
        <f>$M$4</f>
        <v>1634800</v>
      </c>
      <c r="D25" s="8">
        <f aca="true" t="shared" si="4" ref="D25:P25">$M$4</f>
        <v>1634800</v>
      </c>
      <c r="E25" s="8">
        <f t="shared" si="4"/>
        <v>1634800</v>
      </c>
      <c r="F25" s="8">
        <f t="shared" si="4"/>
        <v>1634800</v>
      </c>
      <c r="G25" s="8">
        <f t="shared" si="4"/>
        <v>1634800</v>
      </c>
      <c r="H25" s="8">
        <f t="shared" si="4"/>
        <v>1634800</v>
      </c>
      <c r="I25" s="8">
        <f t="shared" si="4"/>
        <v>1634800</v>
      </c>
      <c r="J25" s="8">
        <f t="shared" si="4"/>
        <v>1634800</v>
      </c>
      <c r="K25" s="8">
        <f t="shared" si="4"/>
        <v>1634800</v>
      </c>
      <c r="L25" s="8">
        <f t="shared" si="4"/>
        <v>1634800</v>
      </c>
      <c r="M25" s="8">
        <f t="shared" si="4"/>
        <v>1634800</v>
      </c>
      <c r="N25" s="8">
        <f t="shared" si="4"/>
        <v>1634800</v>
      </c>
      <c r="O25" s="8">
        <f t="shared" si="4"/>
        <v>1634800</v>
      </c>
      <c r="P25" s="8">
        <f t="shared" si="4"/>
        <v>1634800</v>
      </c>
    </row>
    <row r="26" spans="1:16" s="5" customFormat="1" ht="12.75">
      <c r="A26" s="21" t="s">
        <v>98</v>
      </c>
      <c r="B26" s="5">
        <f>B19</f>
        <v>-2480000</v>
      </c>
      <c r="C26" s="5">
        <f>C19+SUM(C23:C25)</f>
        <v>8053375.812578223</v>
      </c>
      <c r="D26" s="5">
        <f aca="true" t="shared" si="5" ref="D26:P26">D19+SUM(D23:D25)</f>
        <v>8053375.812578223</v>
      </c>
      <c r="E26" s="5">
        <f t="shared" si="5"/>
        <v>8053375.812578223</v>
      </c>
      <c r="F26" s="5">
        <f t="shared" si="5"/>
        <v>8053375.812578223</v>
      </c>
      <c r="G26" s="5">
        <f t="shared" si="5"/>
        <v>8053375.812578223</v>
      </c>
      <c r="H26" s="5">
        <f t="shared" si="5"/>
        <v>8053375.812578223</v>
      </c>
      <c r="I26" s="5">
        <f t="shared" si="5"/>
        <v>8053375.812578223</v>
      </c>
      <c r="J26" s="5">
        <f t="shared" si="5"/>
        <v>8053375.812578223</v>
      </c>
      <c r="K26" s="5">
        <f t="shared" si="5"/>
        <v>8053375.812578223</v>
      </c>
      <c r="L26" s="5">
        <f t="shared" si="5"/>
        <v>8053375.812578223</v>
      </c>
      <c r="M26" s="5">
        <f t="shared" si="5"/>
        <v>8053375.812578223</v>
      </c>
      <c r="N26" s="5">
        <f t="shared" si="5"/>
        <v>8053375.812578223</v>
      </c>
      <c r="O26" s="5">
        <f t="shared" si="5"/>
        <v>8053375.812578223</v>
      </c>
      <c r="P26" s="5">
        <f t="shared" si="5"/>
        <v>8053375.812578223</v>
      </c>
    </row>
    <row r="27" ht="13.5" thickBot="1"/>
    <row r="28" spans="1:2" ht="13.5" thickBot="1">
      <c r="A28" s="18" t="s">
        <v>147</v>
      </c>
      <c r="B28" s="129">
        <f>IRR(B26:P26)</f>
        <v>3.247328951461964</v>
      </c>
    </row>
    <row r="29" spans="1:2" ht="12.75">
      <c r="A29" s="22"/>
      <c r="B29" s="23"/>
    </row>
    <row r="30" spans="1:16" ht="12.75">
      <c r="A30" t="s">
        <v>105</v>
      </c>
      <c r="B30" s="5">
        <f>B34</f>
        <v>-2480000</v>
      </c>
      <c r="C30" s="5">
        <f aca="true" t="shared" si="6" ref="C30:P30">C26-C24</f>
        <v>7702979.72215269</v>
      </c>
      <c r="D30" s="5">
        <f t="shared" si="6"/>
        <v>7702979.72215269</v>
      </c>
      <c r="E30" s="5">
        <f t="shared" si="6"/>
        <v>7702979.72215269</v>
      </c>
      <c r="F30" s="5">
        <f t="shared" si="6"/>
        <v>7702979.72215269</v>
      </c>
      <c r="G30" s="5">
        <f t="shared" si="6"/>
        <v>7702979.72215269</v>
      </c>
      <c r="H30" s="5">
        <f t="shared" si="6"/>
        <v>7702979.72215269</v>
      </c>
      <c r="I30" s="5">
        <f t="shared" si="6"/>
        <v>7702979.72215269</v>
      </c>
      <c r="J30" s="5">
        <f t="shared" si="6"/>
        <v>7702979.72215269</v>
      </c>
      <c r="K30" s="5">
        <f t="shared" si="6"/>
        <v>7702979.72215269</v>
      </c>
      <c r="L30" s="5">
        <f t="shared" si="6"/>
        <v>7702979.72215269</v>
      </c>
      <c r="M30" s="5">
        <f t="shared" si="6"/>
        <v>7702979.72215269</v>
      </c>
      <c r="N30" s="5">
        <f t="shared" si="6"/>
        <v>7702979.72215269</v>
      </c>
      <c r="O30" s="5">
        <f t="shared" si="6"/>
        <v>7702979.72215269</v>
      </c>
      <c r="P30" s="5">
        <f t="shared" si="6"/>
        <v>7702979.72215269</v>
      </c>
    </row>
    <row r="31" ht="13.5" thickBot="1"/>
    <row r="32" spans="1:2" ht="13.5" thickBot="1">
      <c r="A32" s="18" t="s">
        <v>106</v>
      </c>
      <c r="B32" s="19">
        <f>IRR(B30:P30)</f>
        <v>3.106040202523446</v>
      </c>
    </row>
    <row r="34" spans="1:16" ht="12.75">
      <c r="A34" t="s">
        <v>104</v>
      </c>
      <c r="B34" s="5">
        <f>B26</f>
        <v>-2480000</v>
      </c>
      <c r="C34" s="5">
        <f>C26-C24-C25</f>
        <v>6068179.72215269</v>
      </c>
      <c r="D34" s="5">
        <f aca="true" t="shared" si="7" ref="D34:P34">D26-D24-D25</f>
        <v>6068179.72215269</v>
      </c>
      <c r="E34" s="5">
        <f t="shared" si="7"/>
        <v>6068179.72215269</v>
      </c>
      <c r="F34" s="5">
        <f t="shared" si="7"/>
        <v>6068179.72215269</v>
      </c>
      <c r="G34" s="5">
        <f t="shared" si="7"/>
        <v>6068179.72215269</v>
      </c>
      <c r="H34" s="5">
        <f t="shared" si="7"/>
        <v>6068179.72215269</v>
      </c>
      <c r="I34" s="5">
        <f t="shared" si="7"/>
        <v>6068179.72215269</v>
      </c>
      <c r="J34" s="5">
        <f t="shared" si="7"/>
        <v>6068179.72215269</v>
      </c>
      <c r="K34" s="5">
        <f t="shared" si="7"/>
        <v>6068179.72215269</v>
      </c>
      <c r="L34" s="5">
        <f t="shared" si="7"/>
        <v>6068179.72215269</v>
      </c>
      <c r="M34" s="5">
        <f t="shared" si="7"/>
        <v>6068179.72215269</v>
      </c>
      <c r="N34" s="5">
        <f t="shared" si="7"/>
        <v>6068179.72215269</v>
      </c>
      <c r="O34" s="5">
        <f t="shared" si="7"/>
        <v>6068179.72215269</v>
      </c>
      <c r="P34" s="5">
        <f t="shared" si="7"/>
        <v>6068179.72215269</v>
      </c>
    </row>
    <row r="35" ht="13.5" thickBot="1"/>
    <row r="36" spans="1:2" ht="13.5" thickBot="1">
      <c r="A36" s="18" t="s">
        <v>107</v>
      </c>
      <c r="B36" s="19">
        <f>IRR(B34:P34)</f>
        <v>2.4468465889265962</v>
      </c>
    </row>
    <row r="38" spans="1:8" ht="12.75" customHeight="1">
      <c r="A38" s="193">
        <f>IF('ERR &amp; Sensitivity Analysis'!$I$10="N","Note: Current calculations are based on user input and are not the original MCC estimates.",IF('ERR &amp; Sensitivity Analysis'!$I$11="N","Note: Current calculations are based on user input and are not the original MCC estimates.",0))</f>
        <v>0</v>
      </c>
      <c r="B38" s="193"/>
      <c r="C38" s="193"/>
      <c r="D38" s="193"/>
      <c r="E38" s="193"/>
      <c r="F38" s="193"/>
      <c r="G38" s="193"/>
      <c r="H38" s="193"/>
    </row>
  </sheetData>
  <mergeCells count="2">
    <mergeCell ref="G1:I1"/>
    <mergeCell ref="A38:H38"/>
  </mergeCells>
  <conditionalFormatting sqref="A38">
    <cfRule type="cellIs" priority="1" dxfId="0" operator="equal" stopIfTrue="1">
      <formula>0</formula>
    </cfRule>
    <cfRule type="cellIs" priority="2" dxfId="1" operator="notEqual" stopIfTrue="1">
      <formula>0</formula>
    </cfRule>
  </conditionalFormatting>
  <printOptions/>
  <pageMargins left="0.75" right="0.75" top="1" bottom="1" header="0.5" footer="0.5"/>
  <pageSetup fitToHeight="1" fitToWidth="1" horizontalDpi="600" verticalDpi="600" orientation="landscape" scale="60" r:id="rId3"/>
  <legacyDrawing r:id="rId2"/>
</worksheet>
</file>

<file path=xl/worksheets/sheet17.xml><?xml version="1.0" encoding="utf-8"?>
<worksheet xmlns="http://schemas.openxmlformats.org/spreadsheetml/2006/main" xmlns:r="http://schemas.openxmlformats.org/officeDocument/2006/relationships">
  <sheetPr codeName="Sheet16"/>
  <dimension ref="A1:P61"/>
  <sheetViews>
    <sheetView zoomScale="85" zoomScaleNormal="85" workbookViewId="0" topLeftCell="A1">
      <selection activeCell="A1" sqref="A1"/>
    </sheetView>
  </sheetViews>
  <sheetFormatPr defaultColWidth="9.140625" defaultRowHeight="12.75"/>
  <cols>
    <col min="1" max="1" width="15.140625" style="0" bestFit="1" customWidth="1"/>
    <col min="2" max="2" width="10.8515625" style="0" bestFit="1" customWidth="1"/>
    <col min="3" max="3" width="18.421875" style="0" customWidth="1"/>
    <col min="4" max="4" width="9.8515625" style="0" bestFit="1" customWidth="1"/>
    <col min="5" max="5" width="12.140625" style="0" bestFit="1" customWidth="1"/>
    <col min="6" max="6" width="11.57421875" style="0" bestFit="1" customWidth="1"/>
    <col min="7" max="8" width="9.281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2" t="s">
        <v>9</v>
      </c>
      <c r="H1" s="2"/>
      <c r="I1" s="2"/>
      <c r="J1" s="2"/>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3:13" ht="12.75">
      <c r="C4" s="9" t="s">
        <v>127</v>
      </c>
      <c r="D4" s="5">
        <f>B55</f>
        <v>3545000</v>
      </c>
      <c r="E4" s="5">
        <f>387000*J10</f>
        <v>387000</v>
      </c>
      <c r="G4">
        <v>15</v>
      </c>
      <c r="H4">
        <v>85</v>
      </c>
      <c r="I4">
        <f>J4*'Key assumptions'!F13</f>
        <v>5760</v>
      </c>
      <c r="J4" s="5">
        <f>160*12*J10</f>
        <v>1920</v>
      </c>
      <c r="K4" s="5">
        <v>600</v>
      </c>
      <c r="L4" s="5">
        <f>(2313*B61/'Key assumptions'!C3)*J10</f>
        <v>1230.3191489361702</v>
      </c>
      <c r="M4" s="5">
        <f>(77400+99840+57600+35450)*J10</f>
        <v>270290</v>
      </c>
    </row>
    <row r="5" spans="9:14" ht="12.75">
      <c r="I5" s="13">
        <f>(I4/12-'Key assumptions'!H16/'Key assumptions'!C3)*12</f>
        <v>3236.90744680851</v>
      </c>
      <c r="J5" s="13">
        <f>(J4/12-'Key assumptions'!G7/'Key assumptions'!C3)*12</f>
        <v>1130.2787234042553</v>
      </c>
      <c r="L5" s="10">
        <f>(L4/C42-'Key assumptions'!H25/'Key assumptions'!C3)*C42</f>
        <v>1221.2184973404255</v>
      </c>
      <c r="M5" s="5">
        <f>B51*J10</f>
        <v>150000</v>
      </c>
      <c r="N5" t="s">
        <v>61</v>
      </c>
    </row>
    <row r="7" ht="12.75">
      <c r="A7" t="s">
        <v>126</v>
      </c>
    </row>
    <row r="9" spans="1:10" ht="12.75">
      <c r="A9" s="120" t="s">
        <v>224</v>
      </c>
      <c r="B9" s="121"/>
      <c r="C9" s="121"/>
      <c r="D9" s="122"/>
      <c r="F9" s="120" t="s">
        <v>225</v>
      </c>
      <c r="G9" s="121"/>
      <c r="H9" s="121"/>
      <c r="I9" s="121"/>
      <c r="J9" s="122"/>
    </row>
    <row r="10" spans="1:10" ht="12.75">
      <c r="A10" s="123" t="s">
        <v>214</v>
      </c>
      <c r="B10" s="3"/>
      <c r="C10" s="3"/>
      <c r="D10" s="124">
        <f>'ERR &amp; Sensitivity Analysis'!$G$10</f>
        <v>1</v>
      </c>
      <c r="F10" s="123" t="s">
        <v>216</v>
      </c>
      <c r="G10" s="3"/>
      <c r="H10" s="3"/>
      <c r="I10" s="3"/>
      <c r="J10" s="124">
        <f>'ERR &amp; Sensitivity Analysis'!$G$11</f>
        <v>1</v>
      </c>
    </row>
    <row r="15" spans="1:16" s="63" customFormat="1" ht="12.75">
      <c r="A15" s="128"/>
      <c r="B15" s="128">
        <v>2006</v>
      </c>
      <c r="C15" s="128">
        <v>2007</v>
      </c>
      <c r="D15" s="128">
        <v>2008</v>
      </c>
      <c r="E15" s="128">
        <v>2009</v>
      </c>
      <c r="F15" s="128">
        <v>2010</v>
      </c>
      <c r="G15" s="128">
        <v>2011</v>
      </c>
      <c r="H15" s="128">
        <v>2012</v>
      </c>
      <c r="I15" s="128">
        <v>2013</v>
      </c>
      <c r="J15" s="128">
        <v>2014</v>
      </c>
      <c r="K15" s="128">
        <v>2015</v>
      </c>
      <c r="L15" s="128">
        <v>2016</v>
      </c>
      <c r="M15" s="128">
        <v>2017</v>
      </c>
      <c r="N15" s="128">
        <v>2018</v>
      </c>
      <c r="O15" s="128">
        <v>2019</v>
      </c>
      <c r="P15" s="128">
        <v>2020</v>
      </c>
    </row>
    <row r="17" spans="1:2" ht="12.75">
      <c r="A17" t="s">
        <v>6</v>
      </c>
      <c r="B17" s="5">
        <f>-D4</f>
        <v>-3545000</v>
      </c>
    </row>
    <row r="18" spans="1:16" s="5" customFormat="1" ht="12.75">
      <c r="A18" s="8" t="s">
        <v>7</v>
      </c>
      <c r="B18" s="8"/>
      <c r="C18" s="8">
        <f aca="true" t="shared" si="0" ref="C18:P18">$E$4</f>
        <v>387000</v>
      </c>
      <c r="D18" s="8">
        <f t="shared" si="0"/>
        <v>387000</v>
      </c>
      <c r="E18" s="8">
        <f t="shared" si="0"/>
        <v>387000</v>
      </c>
      <c r="F18" s="8">
        <f t="shared" si="0"/>
        <v>387000</v>
      </c>
      <c r="G18" s="8">
        <f t="shared" si="0"/>
        <v>387000</v>
      </c>
      <c r="H18" s="8">
        <f t="shared" si="0"/>
        <v>387000</v>
      </c>
      <c r="I18" s="8">
        <f t="shared" si="0"/>
        <v>387000</v>
      </c>
      <c r="J18" s="8">
        <f t="shared" si="0"/>
        <v>387000</v>
      </c>
      <c r="K18" s="8">
        <f t="shared" si="0"/>
        <v>387000</v>
      </c>
      <c r="L18" s="8">
        <f t="shared" si="0"/>
        <v>387000</v>
      </c>
      <c r="M18" s="8">
        <f t="shared" si="0"/>
        <v>387000</v>
      </c>
      <c r="N18" s="8">
        <f t="shared" si="0"/>
        <v>387000</v>
      </c>
      <c r="O18" s="8">
        <f t="shared" si="0"/>
        <v>387000</v>
      </c>
      <c r="P18" s="8">
        <f t="shared" si="0"/>
        <v>387000</v>
      </c>
    </row>
    <row r="19" spans="1:16" s="5" customFormat="1" ht="12.75">
      <c r="A19" s="5" t="s">
        <v>94</v>
      </c>
      <c r="B19" s="5">
        <f>SUM(B17:B18)</f>
        <v>-3545000</v>
      </c>
      <c r="C19" s="5">
        <f aca="true" t="shared" si="1" ref="C19:P19">SUM(C17:C18)</f>
        <v>387000</v>
      </c>
      <c r="D19" s="5">
        <f t="shared" si="1"/>
        <v>387000</v>
      </c>
      <c r="E19" s="5">
        <f t="shared" si="1"/>
        <v>387000</v>
      </c>
      <c r="F19" s="5">
        <f t="shared" si="1"/>
        <v>387000</v>
      </c>
      <c r="G19" s="5">
        <f t="shared" si="1"/>
        <v>387000</v>
      </c>
      <c r="H19" s="5">
        <f t="shared" si="1"/>
        <v>387000</v>
      </c>
      <c r="I19" s="5">
        <f t="shared" si="1"/>
        <v>387000</v>
      </c>
      <c r="J19" s="5">
        <f t="shared" si="1"/>
        <v>387000</v>
      </c>
      <c r="K19" s="5">
        <f t="shared" si="1"/>
        <v>387000</v>
      </c>
      <c r="L19" s="5">
        <f t="shared" si="1"/>
        <v>387000</v>
      </c>
      <c r="M19" s="5">
        <f t="shared" si="1"/>
        <v>387000</v>
      </c>
      <c r="N19" s="5">
        <f t="shared" si="1"/>
        <v>387000</v>
      </c>
      <c r="O19" s="5">
        <f t="shared" si="1"/>
        <v>387000</v>
      </c>
      <c r="P19" s="5">
        <f t="shared" si="1"/>
        <v>387000</v>
      </c>
    </row>
    <row r="20" ht="13.5" thickBot="1"/>
    <row r="21" spans="1:2" ht="13.5" thickBot="1">
      <c r="A21" s="18" t="s">
        <v>95</v>
      </c>
      <c r="B21" s="127">
        <f>IRR(B19:AZ19)</f>
        <v>0.06236782877100892</v>
      </c>
    </row>
    <row r="23" spans="1:16" s="5" customFormat="1" ht="12.75">
      <c r="A23" s="5" t="s">
        <v>103</v>
      </c>
      <c r="C23" s="5">
        <f>$I$5*$G$4+$J$5*$H$4</f>
        <v>144627.30319148934</v>
      </c>
      <c r="D23" s="5">
        <f aca="true" t="shared" si="2" ref="D23:P23">$I$5*$G$4+$J$5*$H$4</f>
        <v>144627.30319148934</v>
      </c>
      <c r="E23" s="5">
        <f t="shared" si="2"/>
        <v>144627.30319148934</v>
      </c>
      <c r="F23" s="5">
        <f t="shared" si="2"/>
        <v>144627.30319148934</v>
      </c>
      <c r="G23" s="5">
        <f t="shared" si="2"/>
        <v>144627.30319148934</v>
      </c>
      <c r="H23" s="5">
        <f t="shared" si="2"/>
        <v>144627.30319148934</v>
      </c>
      <c r="I23" s="5">
        <f t="shared" si="2"/>
        <v>144627.30319148934</v>
      </c>
      <c r="J23" s="5">
        <f t="shared" si="2"/>
        <v>144627.30319148934</v>
      </c>
      <c r="K23" s="5">
        <f t="shared" si="2"/>
        <v>144627.30319148934</v>
      </c>
      <c r="L23" s="5">
        <f t="shared" si="2"/>
        <v>144627.30319148934</v>
      </c>
      <c r="M23" s="5">
        <f t="shared" si="2"/>
        <v>144627.30319148934</v>
      </c>
      <c r="N23" s="5">
        <f t="shared" si="2"/>
        <v>144627.30319148934</v>
      </c>
      <c r="O23" s="5">
        <f t="shared" si="2"/>
        <v>144627.30319148934</v>
      </c>
      <c r="P23" s="5">
        <f t="shared" si="2"/>
        <v>144627.30319148934</v>
      </c>
    </row>
    <row r="24" spans="1:16" s="5" customFormat="1" ht="12.75">
      <c r="A24" s="5" t="s">
        <v>96</v>
      </c>
      <c r="C24" s="5">
        <f>$L$5*$K$4</f>
        <v>732731.0984042553</v>
      </c>
      <c r="D24" s="5">
        <f aca="true" t="shared" si="3" ref="D24:P24">$L$5*$K$4</f>
        <v>732731.0984042553</v>
      </c>
      <c r="E24" s="5">
        <f t="shared" si="3"/>
        <v>732731.0984042553</v>
      </c>
      <c r="F24" s="5">
        <f t="shared" si="3"/>
        <v>732731.0984042553</v>
      </c>
      <c r="G24" s="5">
        <f t="shared" si="3"/>
        <v>732731.0984042553</v>
      </c>
      <c r="H24" s="5">
        <f t="shared" si="3"/>
        <v>732731.0984042553</v>
      </c>
      <c r="I24" s="5">
        <f t="shared" si="3"/>
        <v>732731.0984042553</v>
      </c>
      <c r="J24" s="5">
        <f t="shared" si="3"/>
        <v>732731.0984042553</v>
      </c>
      <c r="K24" s="5">
        <f t="shared" si="3"/>
        <v>732731.0984042553</v>
      </c>
      <c r="L24" s="5">
        <f t="shared" si="3"/>
        <v>732731.0984042553</v>
      </c>
      <c r="M24" s="5">
        <f t="shared" si="3"/>
        <v>732731.0984042553</v>
      </c>
      <c r="N24" s="5">
        <f t="shared" si="3"/>
        <v>732731.0984042553</v>
      </c>
      <c r="O24" s="5">
        <f t="shared" si="3"/>
        <v>732731.0984042553</v>
      </c>
      <c r="P24" s="5">
        <f t="shared" si="3"/>
        <v>732731.0984042553</v>
      </c>
    </row>
    <row r="25" spans="1:16" s="8" customFormat="1" ht="12.75">
      <c r="A25" s="8" t="s">
        <v>97</v>
      </c>
      <c r="C25" s="8">
        <f>$M$4+M5</f>
        <v>420290</v>
      </c>
      <c r="D25" s="8">
        <f aca="true" t="shared" si="4" ref="D25:P25">$M$4</f>
        <v>270290</v>
      </c>
      <c r="E25" s="8">
        <f t="shared" si="4"/>
        <v>270290</v>
      </c>
      <c r="F25" s="8">
        <f t="shared" si="4"/>
        <v>270290</v>
      </c>
      <c r="G25" s="8">
        <f t="shared" si="4"/>
        <v>270290</v>
      </c>
      <c r="H25" s="8">
        <f t="shared" si="4"/>
        <v>270290</v>
      </c>
      <c r="I25" s="8">
        <f t="shared" si="4"/>
        <v>270290</v>
      </c>
      <c r="J25" s="8">
        <f t="shared" si="4"/>
        <v>270290</v>
      </c>
      <c r="K25" s="8">
        <f t="shared" si="4"/>
        <v>270290</v>
      </c>
      <c r="L25" s="8">
        <f t="shared" si="4"/>
        <v>270290</v>
      </c>
      <c r="M25" s="8">
        <f t="shared" si="4"/>
        <v>270290</v>
      </c>
      <c r="N25" s="8">
        <f t="shared" si="4"/>
        <v>270290</v>
      </c>
      <c r="O25" s="8">
        <f t="shared" si="4"/>
        <v>270290</v>
      </c>
      <c r="P25" s="8">
        <f t="shared" si="4"/>
        <v>270290</v>
      </c>
    </row>
    <row r="26" spans="1:16" s="5" customFormat="1" ht="12.75">
      <c r="A26" s="21" t="s">
        <v>98</v>
      </c>
      <c r="B26" s="5">
        <f>B19</f>
        <v>-3545000</v>
      </c>
      <c r="C26" s="5">
        <f>C19+SUM(C23:C25)</f>
        <v>1684648.4015957448</v>
      </c>
      <c r="D26" s="5">
        <f aca="true" t="shared" si="5" ref="D26:P26">D19+SUM(D23:D25)</f>
        <v>1534648.4015957448</v>
      </c>
      <c r="E26" s="5">
        <f t="shared" si="5"/>
        <v>1534648.4015957448</v>
      </c>
      <c r="F26" s="5">
        <f t="shared" si="5"/>
        <v>1534648.4015957448</v>
      </c>
      <c r="G26" s="5">
        <f t="shared" si="5"/>
        <v>1534648.4015957448</v>
      </c>
      <c r="H26" s="5">
        <f t="shared" si="5"/>
        <v>1534648.4015957448</v>
      </c>
      <c r="I26" s="5">
        <f t="shared" si="5"/>
        <v>1534648.4015957448</v>
      </c>
      <c r="J26" s="5">
        <f t="shared" si="5"/>
        <v>1534648.4015957448</v>
      </c>
      <c r="K26" s="5">
        <f t="shared" si="5"/>
        <v>1534648.4015957448</v>
      </c>
      <c r="L26" s="5">
        <f t="shared" si="5"/>
        <v>1534648.4015957448</v>
      </c>
      <c r="M26" s="5">
        <f>M19+SUM(M23:M25)</f>
        <v>1534648.4015957448</v>
      </c>
      <c r="N26" s="5">
        <f t="shared" si="5"/>
        <v>1534648.4015957448</v>
      </c>
      <c r="O26" s="5">
        <f t="shared" si="5"/>
        <v>1534648.4015957448</v>
      </c>
      <c r="P26" s="5">
        <f t="shared" si="5"/>
        <v>1534648.4015957448</v>
      </c>
    </row>
    <row r="27" ht="13.5" thickBot="1"/>
    <row r="28" spans="1:2" ht="13.5" thickBot="1">
      <c r="A28" s="18" t="s">
        <v>147</v>
      </c>
      <c r="B28" s="129">
        <f>IRR(B26:P26)</f>
        <v>0.44336065572484723</v>
      </c>
    </row>
    <row r="29" spans="1:2" ht="12.75">
      <c r="A29" s="22"/>
      <c r="B29" s="23"/>
    </row>
    <row r="30" spans="1:16" ht="12.75">
      <c r="A30" t="s">
        <v>105</v>
      </c>
      <c r="B30" s="5">
        <f>B34</f>
        <v>-3545000</v>
      </c>
      <c r="C30" s="5">
        <f aca="true" t="shared" si="6" ref="C30:P30">C26-C24</f>
        <v>951917.3031914894</v>
      </c>
      <c r="D30" s="5">
        <f t="shared" si="6"/>
        <v>801917.3031914894</v>
      </c>
      <c r="E30" s="5">
        <f t="shared" si="6"/>
        <v>801917.3031914894</v>
      </c>
      <c r="F30" s="5">
        <f t="shared" si="6"/>
        <v>801917.3031914894</v>
      </c>
      <c r="G30" s="5">
        <f t="shared" si="6"/>
        <v>801917.3031914894</v>
      </c>
      <c r="H30" s="5">
        <f t="shared" si="6"/>
        <v>801917.3031914894</v>
      </c>
      <c r="I30" s="5">
        <f t="shared" si="6"/>
        <v>801917.3031914894</v>
      </c>
      <c r="J30" s="5">
        <f t="shared" si="6"/>
        <v>801917.3031914894</v>
      </c>
      <c r="K30" s="5">
        <f t="shared" si="6"/>
        <v>801917.3031914894</v>
      </c>
      <c r="L30" s="5">
        <f t="shared" si="6"/>
        <v>801917.3031914894</v>
      </c>
      <c r="M30" s="5">
        <f t="shared" si="6"/>
        <v>801917.3031914894</v>
      </c>
      <c r="N30" s="5">
        <f t="shared" si="6"/>
        <v>801917.3031914894</v>
      </c>
      <c r="O30" s="5">
        <f t="shared" si="6"/>
        <v>801917.3031914894</v>
      </c>
      <c r="P30" s="5">
        <f t="shared" si="6"/>
        <v>801917.3031914894</v>
      </c>
    </row>
    <row r="31" ht="13.5" thickBot="1"/>
    <row r="32" spans="1:2" ht="13.5" thickBot="1">
      <c r="A32" s="18" t="s">
        <v>106</v>
      </c>
      <c r="B32" s="19">
        <f>IRR(B30:P30)</f>
        <v>0.21982990018516096</v>
      </c>
    </row>
    <row r="34" spans="1:16" ht="12.75">
      <c r="A34" t="s">
        <v>104</v>
      </c>
      <c r="B34" s="5">
        <f>B26</f>
        <v>-3545000</v>
      </c>
      <c r="C34" s="5">
        <f>C26-C24-C25</f>
        <v>531627.3031914894</v>
      </c>
      <c r="D34" s="5">
        <f aca="true" t="shared" si="7" ref="D34:P34">D26-D24-D25</f>
        <v>531627.3031914894</v>
      </c>
      <c r="E34" s="5">
        <f t="shared" si="7"/>
        <v>531627.3031914894</v>
      </c>
      <c r="F34" s="5">
        <f t="shared" si="7"/>
        <v>531627.3031914894</v>
      </c>
      <c r="G34" s="5">
        <f t="shared" si="7"/>
        <v>531627.3031914894</v>
      </c>
      <c r="H34" s="5">
        <f t="shared" si="7"/>
        <v>531627.3031914894</v>
      </c>
      <c r="I34" s="5">
        <f t="shared" si="7"/>
        <v>531627.3031914894</v>
      </c>
      <c r="J34" s="5">
        <f t="shared" si="7"/>
        <v>531627.3031914894</v>
      </c>
      <c r="K34" s="5">
        <f t="shared" si="7"/>
        <v>531627.3031914894</v>
      </c>
      <c r="L34" s="5">
        <f t="shared" si="7"/>
        <v>531627.3031914894</v>
      </c>
      <c r="M34" s="5">
        <f t="shared" si="7"/>
        <v>531627.3031914894</v>
      </c>
      <c r="N34" s="5">
        <f t="shared" si="7"/>
        <v>531627.3031914894</v>
      </c>
      <c r="O34" s="5">
        <f t="shared" si="7"/>
        <v>531627.3031914894</v>
      </c>
      <c r="P34" s="5">
        <f t="shared" si="7"/>
        <v>531627.3031914894</v>
      </c>
    </row>
    <row r="35" ht="13.5" thickBot="1"/>
    <row r="36" spans="1:2" ht="13.5" thickBot="1">
      <c r="A36" s="18" t="s">
        <v>107</v>
      </c>
      <c r="B36" s="19">
        <f>IRR(B34:P34)</f>
        <v>0.1188253831441361</v>
      </c>
    </row>
    <row r="37" spans="4:11" ht="12.75" customHeight="1">
      <c r="D37" s="193">
        <f>IF('ERR &amp; Sensitivity Analysis'!$I$10="N","Note: Current calculations are based on user input and are not the original MCC estimates.",IF('ERR &amp; Sensitivity Analysis'!$I$11="N","Note: Current calculations are based on user input and are not the original MCC estimates.",0))</f>
        <v>0</v>
      </c>
      <c r="E37" s="193"/>
      <c r="F37" s="193"/>
      <c r="G37" s="193"/>
      <c r="H37" s="193"/>
      <c r="I37" s="193"/>
      <c r="J37" s="193"/>
      <c r="K37" s="193"/>
    </row>
    <row r="38" ht="12.75">
      <c r="A38" t="s">
        <v>19</v>
      </c>
    </row>
    <row r="39" ht="12.75">
      <c r="A39" t="s">
        <v>62</v>
      </c>
    </row>
    <row r="40" ht="12.75">
      <c r="A40" t="s">
        <v>63</v>
      </c>
    </row>
    <row r="41" ht="12.75">
      <c r="A41" t="s">
        <v>64</v>
      </c>
    </row>
    <row r="42" spans="1:4" ht="12.75">
      <c r="A42" t="s">
        <v>122</v>
      </c>
      <c r="C42" s="7">
        <v>3</v>
      </c>
      <c r="D42" t="s">
        <v>123</v>
      </c>
    </row>
    <row r="44" ht="12.75">
      <c r="A44" s="3" t="s">
        <v>60</v>
      </c>
    </row>
    <row r="45" spans="1:2" ht="12.75">
      <c r="A45" t="s">
        <v>50</v>
      </c>
      <c r="B45" s="5">
        <f>1880000*$D$10</f>
        <v>1880000</v>
      </c>
    </row>
    <row r="46" spans="1:2" ht="12.75">
      <c r="A46" t="s">
        <v>51</v>
      </c>
      <c r="B46" s="5">
        <f>350000*D10</f>
        <v>350000</v>
      </c>
    </row>
    <row r="47" spans="1:2" ht="12.75">
      <c r="A47" t="s">
        <v>52</v>
      </c>
      <c r="B47" s="5">
        <f>250000*D10</f>
        <v>250000</v>
      </c>
    </row>
    <row r="48" spans="1:2" ht="12.75">
      <c r="A48" t="s">
        <v>53</v>
      </c>
      <c r="B48" s="5">
        <f>150000*D10</f>
        <v>150000</v>
      </c>
    </row>
    <row r="49" spans="1:2" ht="12.75">
      <c r="A49" t="s">
        <v>54</v>
      </c>
      <c r="B49" s="5">
        <f>100000*D10</f>
        <v>100000</v>
      </c>
    </row>
    <row r="50" spans="1:2" ht="12.75">
      <c r="A50" t="s">
        <v>55</v>
      </c>
      <c r="B50" s="5">
        <f>450000*D10</f>
        <v>450000</v>
      </c>
    </row>
    <row r="51" spans="1:2" ht="12.75">
      <c r="A51" t="s">
        <v>56</v>
      </c>
      <c r="B51" s="5">
        <f>150000*D10</f>
        <v>150000</v>
      </c>
    </row>
    <row r="52" spans="1:2" ht="12.75">
      <c r="A52" t="s">
        <v>57</v>
      </c>
      <c r="B52" s="5">
        <f>75000*D10</f>
        <v>75000</v>
      </c>
    </row>
    <row r="53" spans="1:2" ht="12.75">
      <c r="A53" t="s">
        <v>58</v>
      </c>
      <c r="B53" s="5">
        <f>20000*D10</f>
        <v>20000</v>
      </c>
    </row>
    <row r="54" spans="1:2" ht="12.75">
      <c r="A54" t="s">
        <v>59</v>
      </c>
      <c r="B54" s="8">
        <f>120000*D10</f>
        <v>120000</v>
      </c>
    </row>
    <row r="55" ht="12.75">
      <c r="B55" s="5">
        <f>SUM(B45:B54)</f>
        <v>3545000</v>
      </c>
    </row>
    <row r="58" spans="1:3" ht="12.75">
      <c r="A58" t="s">
        <v>68</v>
      </c>
      <c r="B58">
        <v>2.91</v>
      </c>
      <c r="C58" t="s">
        <v>66</v>
      </c>
    </row>
    <row r="59" spans="1:3" ht="12.75">
      <c r="A59" s="11" t="s">
        <v>49</v>
      </c>
      <c r="B59" s="10">
        <f>B58/'Key assumptions'!C3</f>
        <v>1.5478723404255321</v>
      </c>
      <c r="C59" t="s">
        <v>67</v>
      </c>
    </row>
    <row r="60" spans="1:3" ht="12.75">
      <c r="A60" t="s">
        <v>69</v>
      </c>
      <c r="B60">
        <v>0.0365</v>
      </c>
      <c r="C60" t="s">
        <v>70</v>
      </c>
    </row>
    <row r="61" spans="1:3" ht="12.75">
      <c r="A61" t="s">
        <v>156</v>
      </c>
      <c r="B61">
        <v>1</v>
      </c>
      <c r="C61" t="s">
        <v>157</v>
      </c>
    </row>
  </sheetData>
  <mergeCells count="1">
    <mergeCell ref="D37:K37"/>
  </mergeCells>
  <conditionalFormatting sqref="D37">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3"/>
  <legacyDrawing r:id="rId2"/>
</worksheet>
</file>

<file path=xl/worksheets/sheet18.xml><?xml version="1.0" encoding="utf-8"?>
<worksheet xmlns="http://schemas.openxmlformats.org/spreadsheetml/2006/main" xmlns:r="http://schemas.openxmlformats.org/officeDocument/2006/relationships">
  <sheetPr codeName="Sheet17"/>
  <dimension ref="A1:N7"/>
  <sheetViews>
    <sheetView zoomScale="85" zoomScaleNormal="85" workbookViewId="0" topLeftCell="A1">
      <selection activeCell="A1" sqref="A1"/>
    </sheetView>
  </sheetViews>
  <sheetFormatPr defaultColWidth="9.140625" defaultRowHeight="12.75"/>
  <cols>
    <col min="1" max="1" width="15.421875" style="0" bestFit="1" customWidth="1"/>
    <col min="2" max="2" width="10.8515625" style="0" customWidth="1"/>
    <col min="3" max="3" width="12.421875" style="0" bestFit="1" customWidth="1"/>
    <col min="4" max="4" width="12.7109375" style="0" bestFit="1" customWidth="1"/>
    <col min="5" max="5" width="12.140625" style="0" bestFit="1" customWidth="1"/>
    <col min="6" max="6" width="11.57421875" style="0" bestFit="1" customWidth="1"/>
    <col min="7" max="7" width="8.57421875" style="0" customWidth="1"/>
    <col min="8" max="8" width="8.140625" style="0" customWidth="1"/>
    <col min="9" max="9" width="15.28125" style="0" bestFit="1" customWidth="1"/>
    <col min="10" max="10" width="15.00390625" style="0" bestFit="1" customWidth="1"/>
    <col min="11" max="11" width="19.8515625" style="0" bestFit="1" customWidth="1"/>
    <col min="12" max="12" width="16.7109375" style="0" bestFit="1" customWidth="1"/>
    <col min="13" max="13" width="13.8515625" style="0" bestFit="1" customWidth="1"/>
    <col min="14" max="14" width="9.7109375" style="0" bestFit="1" customWidth="1"/>
  </cols>
  <sheetData>
    <row r="1" spans="7:10" ht="12.75">
      <c r="G1" s="2" t="s">
        <v>9</v>
      </c>
      <c r="H1" s="2"/>
      <c r="I1" s="2"/>
      <c r="J1" s="2"/>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8" ht="12.75">
      <c r="B4" t="s">
        <v>39</v>
      </c>
      <c r="C4" s="4">
        <v>0.17</v>
      </c>
      <c r="G4">
        <v>16</v>
      </c>
      <c r="H4">
        <v>87</v>
      </c>
    </row>
    <row r="5" ht="12.75">
      <c r="C5" t="s">
        <v>75</v>
      </c>
    </row>
    <row r="7" spans="1:9" ht="12.75" customHeight="1">
      <c r="A7" s="193">
        <f>IF('ERR &amp; Sensitivity Analysis'!$I$10="N","Note: Current calculations are based on user input and are not the original MCC estimates.",IF('ERR &amp; Sensitivity Analysis'!$I$11="N","Note: Current calculations are based on user input and are not the original MCC estimates.",0))</f>
        <v>0</v>
      </c>
      <c r="B7" s="193"/>
      <c r="C7" s="193"/>
      <c r="D7" s="193"/>
      <c r="E7" s="193"/>
      <c r="F7" s="193"/>
      <c r="G7" s="193"/>
      <c r="H7" s="193"/>
      <c r="I7" s="193"/>
    </row>
  </sheetData>
  <mergeCells count="1">
    <mergeCell ref="A7:I7"/>
  </mergeCells>
  <conditionalFormatting sqref="A7">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sheetPr codeName="Sheet18"/>
  <dimension ref="A1:K34"/>
  <sheetViews>
    <sheetView workbookViewId="0" topLeftCell="A1">
      <selection activeCell="A2" sqref="A2"/>
    </sheetView>
  </sheetViews>
  <sheetFormatPr defaultColWidth="9.140625" defaultRowHeight="12.75"/>
  <cols>
    <col min="3" max="3" width="10.00390625" style="0" bestFit="1" customWidth="1"/>
    <col min="7" max="7" width="10.28125" style="0" customWidth="1"/>
  </cols>
  <sheetData>
    <row r="1" ht="18">
      <c r="A1" s="188" t="s">
        <v>265</v>
      </c>
    </row>
    <row r="3" spans="1:5" ht="12.75">
      <c r="A3" t="s">
        <v>71</v>
      </c>
      <c r="C3" s="153">
        <v>1.88</v>
      </c>
      <c r="D3" t="s">
        <v>65</v>
      </c>
      <c r="E3" s="119"/>
    </row>
    <row r="4" ht="12.75">
      <c r="A4" s="63" t="s">
        <v>264</v>
      </c>
    </row>
    <row r="5" spans="1:10" ht="12.75">
      <c r="A5" t="s">
        <v>83</v>
      </c>
      <c r="H5" s="133">
        <f>'ERR &amp; Sensitivity Analysis'!G17</f>
        <v>139.8</v>
      </c>
      <c r="I5" t="s">
        <v>150</v>
      </c>
      <c r="J5" s="119" t="s">
        <v>226</v>
      </c>
    </row>
    <row r="6" spans="1:5" ht="12.75">
      <c r="A6" t="s">
        <v>74</v>
      </c>
      <c r="D6" s="132">
        <f>'ERR &amp; Sensitivity Analysis'!G13</f>
        <v>0.115</v>
      </c>
      <c r="E6" t="s">
        <v>227</v>
      </c>
    </row>
    <row r="7" spans="1:8" ht="12.75">
      <c r="A7" t="s">
        <v>76</v>
      </c>
      <c r="G7" s="14">
        <f>H5*(1-D6)</f>
        <v>123.72300000000001</v>
      </c>
      <c r="H7" t="s">
        <v>150</v>
      </c>
    </row>
    <row r="8" ht="12.75">
      <c r="A8" t="s">
        <v>73</v>
      </c>
    </row>
    <row r="9" spans="1:4" ht="12.75">
      <c r="A9" t="s">
        <v>80</v>
      </c>
      <c r="D9" s="7"/>
    </row>
    <row r="10" ht="12.75">
      <c r="D10" s="7"/>
    </row>
    <row r="11" spans="1:9" ht="12.75">
      <c r="A11" t="s">
        <v>86</v>
      </c>
      <c r="F11" s="7">
        <f>(150+200+200+160+160)/5</f>
        <v>174</v>
      </c>
      <c r="G11" t="s">
        <v>72</v>
      </c>
      <c r="H11" s="7">
        <v>175</v>
      </c>
      <c r="I11" t="s">
        <v>151</v>
      </c>
    </row>
    <row r="13" spans="1:7" ht="12.75">
      <c r="A13" t="s">
        <v>77</v>
      </c>
      <c r="F13" s="131">
        <f>'ERR &amp; Sensitivity Analysis'!G18</f>
        <v>3</v>
      </c>
      <c r="G13" t="s">
        <v>78</v>
      </c>
    </row>
    <row r="14" spans="1:11" ht="12.75">
      <c r="A14" t="s">
        <v>84</v>
      </c>
      <c r="J14" s="7">
        <f>F13*H5</f>
        <v>419.40000000000003</v>
      </c>
      <c r="K14" t="s">
        <v>150</v>
      </c>
    </row>
    <row r="15" spans="1:11" ht="12.75">
      <c r="A15" t="s">
        <v>79</v>
      </c>
      <c r="F15" s="134">
        <f>'ERR &amp; Sensitivity Analysis'!G19</f>
        <v>0.5</v>
      </c>
      <c r="G15" t="s">
        <v>81</v>
      </c>
      <c r="K15" s="15">
        <f>F15*D6</f>
        <v>0.0575</v>
      </c>
    </row>
    <row r="16" spans="1:9" ht="12.75">
      <c r="A16" t="s">
        <v>82</v>
      </c>
      <c r="H16" s="14">
        <f>J14*(1-K15)</f>
        <v>395.28450000000004</v>
      </c>
      <c r="I16" t="s">
        <v>150</v>
      </c>
    </row>
    <row r="17" spans="1:8" ht="12.75">
      <c r="A17" t="s">
        <v>85</v>
      </c>
      <c r="H17" s="13"/>
    </row>
    <row r="19" spans="1:6" ht="12.75">
      <c r="A19" t="s">
        <v>87</v>
      </c>
      <c r="D19" s="131">
        <f>'ERR &amp; Sensitivity Analysis'!G15</f>
        <v>47.6</v>
      </c>
      <c r="E19" t="s">
        <v>150</v>
      </c>
      <c r="F19" s="135" t="s">
        <v>232</v>
      </c>
    </row>
    <row r="20" spans="1:11" ht="12.75">
      <c r="A20" t="s">
        <v>88</v>
      </c>
      <c r="F20" s="134">
        <f>'ERR &amp; Sensitivity Analysis'!G16</f>
        <v>1.75</v>
      </c>
      <c r="G20" t="s">
        <v>81</v>
      </c>
      <c r="K20" s="12">
        <f>F20*D6</f>
        <v>0.20125</v>
      </c>
    </row>
    <row r="21" spans="1:8" ht="12.75">
      <c r="A21" t="s">
        <v>89</v>
      </c>
      <c r="G21" s="14">
        <f>D19*(1-K20)</f>
        <v>38.0205</v>
      </c>
      <c r="H21" t="s">
        <v>150</v>
      </c>
    </row>
    <row r="22" spans="1:8" ht="12.75">
      <c r="A22" t="s">
        <v>128</v>
      </c>
      <c r="G22" s="14">
        <f>('Clean Citrus Prod''s'!L4+'Sunflower seed oil'!L4+'High qual greens'!L4+'Geo Stevia'!L4)/C23/4/12</f>
        <v>75</v>
      </c>
      <c r="H22" t="s">
        <v>150</v>
      </c>
    </row>
    <row r="23" spans="1:11" ht="12.75">
      <c r="A23" t="s">
        <v>129</v>
      </c>
      <c r="C23" s="134">
        <f>'ERR &amp; Sensitivity Analysis'!G14</f>
        <v>0.15</v>
      </c>
      <c r="D23" t="s">
        <v>130</v>
      </c>
      <c r="G23" s="14"/>
      <c r="K23" t="s">
        <v>235</v>
      </c>
    </row>
    <row r="24" spans="1:7" ht="12.75">
      <c r="A24" t="s">
        <v>131</v>
      </c>
      <c r="D24" s="7"/>
      <c r="E24" s="7">
        <f>D19*C23</f>
        <v>7.14</v>
      </c>
      <c r="F24" t="s">
        <v>150</v>
      </c>
      <c r="G24" s="14"/>
    </row>
    <row r="25" spans="1:9" ht="12.75">
      <c r="A25" t="s">
        <v>132</v>
      </c>
      <c r="G25" s="14"/>
      <c r="H25" s="14">
        <f>E24*(1-K20)</f>
        <v>5.703074999999999</v>
      </c>
      <c r="I25" t="s">
        <v>150</v>
      </c>
    </row>
    <row r="26" spans="1:9" ht="12.75">
      <c r="A26" t="s">
        <v>133</v>
      </c>
      <c r="G26" s="14"/>
      <c r="H26" s="14">
        <f>G22*C23</f>
        <v>11.25</v>
      </c>
      <c r="I26" t="s">
        <v>150</v>
      </c>
    </row>
    <row r="28" spans="1:8" ht="12.75">
      <c r="A28" t="s">
        <v>152</v>
      </c>
      <c r="H28" s="17">
        <f>((Dairy!G4+Dairy!H4)/(Dairy!D4/1000000)+('Kobuleti Tourist Centre'!G4+'Kobuleti Tourist Centre'!H4)/('Kobuleti Tourist Centre'!D4/1000000)+('Clean Citrus Prod''s'!H4*1.1)/('Clean Citrus Prod''s'!D4/1000000)+('Sunflower seed oil'!H4*1.1)/('Sunflower seed oil'!D4/1000000)+('High qual greens'!H4*1.1)/('High qual greens'!E4/1000000)+('Geo Stevia'!H4*1.1)/('Geo Stevia'!D4/1000000)+('Tomato prod''s'!G4+'Tomato prod''s'!H4)/('Tomato prod''s'!D4/1000000))/7</f>
        <v>33.163649566763624</v>
      </c>
    </row>
    <row r="29" spans="1:8" ht="12.75">
      <c r="A29" t="s">
        <v>91</v>
      </c>
      <c r="B29" s="155">
        <v>0.85</v>
      </c>
      <c r="C29" t="s">
        <v>92</v>
      </c>
      <c r="H29" s="16"/>
    </row>
    <row r="30" ht="12.75">
      <c r="A30" t="s">
        <v>90</v>
      </c>
    </row>
    <row r="32" spans="1:6" ht="12.75">
      <c r="A32" t="s">
        <v>93</v>
      </c>
      <c r="F32" s="12">
        <f>('Clean Citrus Prod''s'!M4/'Clean Citrus Prod''s'!E4+'Sunflower seed oil'!M4/'Sunflower seed oil'!E4+'High qual greens'!M4/'High qual greens'!E4+'Geo Stevia'!M4/'Geo Stevia'!E4+'Tomato prod''s'!M4/'Tomato prod''s'!E4)/5</f>
        <v>0.3902715364197841</v>
      </c>
    </row>
    <row r="34" spans="1:10" ht="12.75" customHeight="1">
      <c r="A34" s="193">
        <f>IF('ERR &amp; Sensitivity Analysis'!$I$10="N","Note: Current calculations are based on user input and are not the original MCC estimates.",IF('ERR &amp; Sensitivity Analysis'!$I$11="N","Note: Current calculations are based on user input and are not the original MCC estimates.",0))</f>
        <v>0</v>
      </c>
      <c r="B34" s="193"/>
      <c r="C34" s="193"/>
      <c r="D34" s="193"/>
      <c r="E34" s="193"/>
      <c r="F34" s="193"/>
      <c r="G34" s="193"/>
      <c r="H34" s="193"/>
      <c r="I34" s="193"/>
      <c r="J34" s="193"/>
    </row>
  </sheetData>
  <mergeCells count="1">
    <mergeCell ref="A34:J34"/>
  </mergeCells>
  <conditionalFormatting sqref="A34">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codeName="Sheet2"/>
  <dimension ref="B1:B24"/>
  <sheetViews>
    <sheetView showGridLines="0" tabSelected="1" workbookViewId="0" topLeftCell="A1">
      <selection activeCell="D8" sqref="D8"/>
    </sheetView>
  </sheetViews>
  <sheetFormatPr defaultColWidth="9.140625" defaultRowHeight="12.75"/>
  <cols>
    <col min="1" max="1" width="5.7109375" style="67" customWidth="1"/>
    <col min="2" max="2" width="106.7109375" style="67" customWidth="1"/>
    <col min="3" max="16384" width="9.140625" style="67" customWidth="1"/>
  </cols>
  <sheetData>
    <row r="1" ht="12.75">
      <c r="B1" s="83" t="s">
        <v>186</v>
      </c>
    </row>
    <row r="2" ht="30.75" customHeight="1">
      <c r="B2" s="79" t="s">
        <v>178</v>
      </c>
    </row>
    <row r="4" ht="18">
      <c r="B4" s="80" t="s">
        <v>195</v>
      </c>
    </row>
    <row r="6" ht="12.75">
      <c r="B6" s="81" t="s">
        <v>199</v>
      </c>
    </row>
    <row r="7" ht="6.75" customHeight="1"/>
    <row r="8" ht="51">
      <c r="B8" s="82" t="s">
        <v>261</v>
      </c>
    </row>
    <row r="10" ht="12.75">
      <c r="B10" s="81" t="s">
        <v>200</v>
      </c>
    </row>
    <row r="11" ht="6.75" customHeight="1"/>
    <row r="12" ht="12.75">
      <c r="B12" s="67" t="s">
        <v>203</v>
      </c>
    </row>
    <row r="13" ht="138" customHeight="1">
      <c r="B13" s="67" t="s">
        <v>262</v>
      </c>
    </row>
    <row r="14" ht="66.75" customHeight="1">
      <c r="B14" s="67" t="s">
        <v>0</v>
      </c>
    </row>
    <row r="15" ht="69.75" customHeight="1">
      <c r="B15" s="67" t="s">
        <v>1</v>
      </c>
    </row>
    <row r="17" ht="12.75">
      <c r="B17" s="81" t="s">
        <v>201</v>
      </c>
    </row>
    <row r="18" ht="6.75" customHeight="1"/>
    <row r="19" ht="63.75">
      <c r="B19" s="67" t="s">
        <v>2</v>
      </c>
    </row>
    <row r="20" ht="51">
      <c r="B20" s="67" t="s">
        <v>3</v>
      </c>
    </row>
    <row r="21" ht="77.25" customHeight="1">
      <c r="B21" s="67" t="s">
        <v>263</v>
      </c>
    </row>
    <row r="24" ht="12.75">
      <c r="B24" s="83" t="s">
        <v>186</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B2:I25"/>
  <sheetViews>
    <sheetView showGridLines="0" zoomScale="90" zoomScaleNormal="90" workbookViewId="0" topLeftCell="A1">
      <selection activeCell="A1" sqref="A1"/>
    </sheetView>
  </sheetViews>
  <sheetFormatPr defaultColWidth="9.140625" defaultRowHeight="12.75"/>
  <cols>
    <col min="1" max="1" width="5.7109375" style="0" customWidth="1"/>
    <col min="2" max="2" width="18.00390625" style="0" bestFit="1" customWidth="1"/>
    <col min="3" max="3" width="47.421875" style="0" customWidth="1"/>
    <col min="4" max="5" width="13.421875" style="0" customWidth="1"/>
    <col min="6" max="6" width="14.421875" style="0" customWidth="1"/>
    <col min="7" max="7" width="14.140625" style="0" customWidth="1"/>
    <col min="8" max="8" width="5.7109375" style="0" customWidth="1"/>
    <col min="9" max="9" width="19.28125" style="0" customWidth="1"/>
  </cols>
  <sheetData>
    <row r="2" spans="2:6" ht="23.25">
      <c r="B2" s="84" t="s">
        <v>178</v>
      </c>
      <c r="D2" s="85"/>
      <c r="E2" s="86"/>
      <c r="F2" s="86"/>
    </row>
    <row r="3" spans="2:6" ht="12.75">
      <c r="B3" s="86"/>
      <c r="D3" s="86"/>
      <c r="E3" s="86"/>
      <c r="F3" s="86"/>
    </row>
    <row r="4" spans="2:7" ht="18">
      <c r="B4" s="87" t="s">
        <v>205</v>
      </c>
      <c r="D4" s="86"/>
      <c r="E4" s="86"/>
      <c r="F4" s="86"/>
      <c r="G4" s="83" t="s">
        <v>186</v>
      </c>
    </row>
    <row r="5" spans="3:6" ht="12.75">
      <c r="C5" s="86"/>
      <c r="D5" s="86"/>
      <c r="E5" s="86"/>
      <c r="F5" s="86"/>
    </row>
    <row r="6" spans="2:7" ht="39" customHeight="1">
      <c r="B6" s="194" t="s">
        <v>220</v>
      </c>
      <c r="C6" s="194"/>
      <c r="D6" s="194"/>
      <c r="E6" s="194"/>
      <c r="F6" s="194"/>
      <c r="G6" s="194"/>
    </row>
    <row r="7" spans="3:6" ht="12.75">
      <c r="C7" s="86"/>
      <c r="D7" s="86"/>
      <c r="E7" s="86"/>
      <c r="F7" s="86"/>
    </row>
    <row r="8" spans="2:7" ht="15.75">
      <c r="B8" s="195" t="s">
        <v>210</v>
      </c>
      <c r="C8" s="195" t="s">
        <v>206</v>
      </c>
      <c r="D8" s="197" t="s">
        <v>207</v>
      </c>
      <c r="E8" s="197"/>
      <c r="F8" s="197"/>
      <c r="G8" s="197"/>
    </row>
    <row r="9" spans="2:9" ht="39" thickBot="1">
      <c r="B9" s="196"/>
      <c r="C9" s="196"/>
      <c r="D9" s="90" t="s">
        <v>211</v>
      </c>
      <c r="E9" s="91" t="s">
        <v>212</v>
      </c>
      <c r="F9" s="91" t="s">
        <v>213</v>
      </c>
      <c r="G9" s="91" t="s">
        <v>208</v>
      </c>
      <c r="I9" s="92" t="s">
        <v>218</v>
      </c>
    </row>
    <row r="10" spans="2:9" ht="33" customHeight="1">
      <c r="B10" s="93" t="s">
        <v>199</v>
      </c>
      <c r="C10" s="94" t="s">
        <v>214</v>
      </c>
      <c r="D10" s="95">
        <v>1</v>
      </c>
      <c r="E10" s="96">
        <v>1</v>
      </c>
      <c r="F10" s="97" t="s">
        <v>215</v>
      </c>
      <c r="G10" s="98">
        <f>D10</f>
        <v>1</v>
      </c>
      <c r="I10" s="99" t="str">
        <f>IF(D10=E10,IF(D11=E11,"Y","N"),"N")</f>
        <v>Y</v>
      </c>
    </row>
    <row r="11" spans="2:9" ht="33" customHeight="1">
      <c r="B11" s="100" t="s">
        <v>199</v>
      </c>
      <c r="C11" s="94" t="s">
        <v>216</v>
      </c>
      <c r="D11" s="95">
        <v>1</v>
      </c>
      <c r="E11" s="96">
        <v>1</v>
      </c>
      <c r="F11" s="97" t="s">
        <v>215</v>
      </c>
      <c r="G11" s="98">
        <f>D11</f>
        <v>1</v>
      </c>
      <c r="I11" s="101" t="str">
        <f>IF(D13=E13,IF(D14=E14,IF(D15=E15,IF(D16=E16,IF(D17=E17,IF(D18=E18,IF(D19=E19,"Y","N"),"N"),"N"),"N"),"N"),"N"),"N")</f>
        <v>Y</v>
      </c>
    </row>
    <row r="12" spans="2:9" ht="15.75">
      <c r="B12" s="102"/>
      <c r="C12" s="102"/>
      <c r="D12" s="103"/>
      <c r="E12" s="104"/>
      <c r="F12" s="104"/>
      <c r="G12" s="104"/>
      <c r="I12" s="86"/>
    </row>
    <row r="13" spans="2:9" ht="33" customHeight="1">
      <c r="B13" s="141" t="s">
        <v>217</v>
      </c>
      <c r="C13" s="142" t="s">
        <v>228</v>
      </c>
      <c r="D13" s="156">
        <v>0.115</v>
      </c>
      <c r="E13" s="157">
        <v>0.115</v>
      </c>
      <c r="F13" s="158" t="s">
        <v>243</v>
      </c>
      <c r="G13" s="159">
        <f aca="true" t="shared" si="0" ref="G13:G19">IF($I$10="Y",D13,E13)</f>
        <v>0.115</v>
      </c>
      <c r="I13" s="108" t="s">
        <v>219</v>
      </c>
    </row>
    <row r="14" spans="2:9" ht="33" customHeight="1">
      <c r="B14" s="105" t="s">
        <v>217</v>
      </c>
      <c r="C14" s="130" t="s">
        <v>234</v>
      </c>
      <c r="D14" s="152">
        <v>0.15</v>
      </c>
      <c r="E14" s="140">
        <v>0.15</v>
      </c>
      <c r="F14" s="107" t="s">
        <v>242</v>
      </c>
      <c r="G14" s="98">
        <f t="shared" si="0"/>
        <v>0.15</v>
      </c>
      <c r="I14" s="110" t="s">
        <v>221</v>
      </c>
    </row>
    <row r="15" spans="2:9" ht="33" customHeight="1">
      <c r="B15" s="105" t="s">
        <v>217</v>
      </c>
      <c r="C15" s="106" t="s">
        <v>230</v>
      </c>
      <c r="D15" s="150">
        <v>47.6</v>
      </c>
      <c r="E15" s="148">
        <v>47.6</v>
      </c>
      <c r="F15" s="107" t="s">
        <v>241</v>
      </c>
      <c r="G15" s="144">
        <f t="shared" si="0"/>
        <v>47.6</v>
      </c>
      <c r="I15" s="111" t="s">
        <v>222</v>
      </c>
    </row>
    <row r="16" spans="2:9" ht="33" customHeight="1">
      <c r="B16" s="105" t="s">
        <v>217</v>
      </c>
      <c r="C16" s="130" t="s">
        <v>233</v>
      </c>
      <c r="D16" s="151">
        <v>1.75</v>
      </c>
      <c r="E16" s="139">
        <v>1.75</v>
      </c>
      <c r="F16" s="107" t="s">
        <v>240</v>
      </c>
      <c r="G16" s="145">
        <f t="shared" si="0"/>
        <v>1.75</v>
      </c>
      <c r="I16" s="65"/>
    </row>
    <row r="17" spans="2:9" ht="33" customHeight="1">
      <c r="B17" s="105" t="s">
        <v>217</v>
      </c>
      <c r="C17" s="130" t="s">
        <v>236</v>
      </c>
      <c r="D17" s="149">
        <v>139.8</v>
      </c>
      <c r="E17" s="147">
        <v>139.8</v>
      </c>
      <c r="F17" s="107" t="s">
        <v>239</v>
      </c>
      <c r="G17" s="143">
        <f t="shared" si="0"/>
        <v>139.8</v>
      </c>
      <c r="I17" s="65"/>
    </row>
    <row r="18" spans="2:7" ht="33" customHeight="1">
      <c r="B18" s="105" t="s">
        <v>217</v>
      </c>
      <c r="C18" s="106" t="s">
        <v>229</v>
      </c>
      <c r="D18" s="150">
        <v>3</v>
      </c>
      <c r="E18" s="148">
        <v>3</v>
      </c>
      <c r="F18" s="154" t="s">
        <v>237</v>
      </c>
      <c r="G18" s="144">
        <f t="shared" si="0"/>
        <v>3</v>
      </c>
    </row>
    <row r="19" spans="2:7" ht="33" customHeight="1">
      <c r="B19" s="112" t="s">
        <v>217</v>
      </c>
      <c r="C19" s="136" t="s">
        <v>231</v>
      </c>
      <c r="D19" s="160">
        <v>0.5</v>
      </c>
      <c r="E19" s="161">
        <v>0.5</v>
      </c>
      <c r="F19" s="146" t="s">
        <v>238</v>
      </c>
      <c r="G19" s="162">
        <f t="shared" si="0"/>
        <v>0.5</v>
      </c>
    </row>
    <row r="20" spans="2:7" ht="12.75">
      <c r="B20" s="137"/>
      <c r="C20" s="138"/>
      <c r="D20" s="163"/>
      <c r="E20" s="148"/>
      <c r="F20" s="109"/>
      <c r="G20" s="164"/>
    </row>
    <row r="21" spans="2:8" ht="30" customHeight="1">
      <c r="B21" s="193">
        <f>IF(I10="N",IF(I11="N","Reminder: Please reset all summary parameters to original values before changing specific parameters.  Specific parameters will only be used in ERR computation when all summary parameters are set to initial values.",0),0)</f>
        <v>0</v>
      </c>
      <c r="C21" s="193"/>
      <c r="D21" s="193"/>
      <c r="E21" s="193"/>
      <c r="F21" s="193"/>
      <c r="G21" s="193"/>
      <c r="H21" s="193"/>
    </row>
    <row r="22" spans="3:6" ht="12.75">
      <c r="C22" s="86"/>
      <c r="D22" s="63"/>
      <c r="E22" s="86"/>
      <c r="F22" s="86"/>
    </row>
    <row r="23" spans="3:6" ht="12.75">
      <c r="C23" s="113" t="s">
        <v>209</v>
      </c>
      <c r="D23" s="114">
        <f>ERR!J19</f>
        <v>0.2626611940361889</v>
      </c>
      <c r="E23" s="115"/>
      <c r="F23" s="86"/>
    </row>
    <row r="24" spans="3:6" ht="12.75">
      <c r="C24" s="113"/>
      <c r="D24" s="116"/>
      <c r="E24" s="115"/>
      <c r="F24" s="86"/>
    </row>
    <row r="25" spans="3:6" ht="12.75">
      <c r="C25" s="117" t="s">
        <v>223</v>
      </c>
      <c r="D25" s="118">
        <v>0.263</v>
      </c>
      <c r="E25" s="115"/>
      <c r="F25" s="86"/>
    </row>
  </sheetData>
  <mergeCells count="5">
    <mergeCell ref="B21:H21"/>
    <mergeCell ref="B6:G6"/>
    <mergeCell ref="B8:B9"/>
    <mergeCell ref="C8:C9"/>
    <mergeCell ref="D8:G8"/>
  </mergeCells>
  <conditionalFormatting sqref="B21">
    <cfRule type="cellIs" priority="1" dxfId="0" operator="equal" stopIfTrue="1">
      <formula>0</formula>
    </cfRule>
    <cfRule type="cellIs" priority="2" dxfId="1" operator="notEqual" stopIfTrue="1">
      <formula>0</formula>
    </cfRule>
  </conditionalFormatting>
  <hyperlinks>
    <hyperlink ref="I15" location="'User''s Guide'!A1" display="User's Guide"/>
    <hyperlink ref="I14" location="'Activity Description'!A1" display="   Activity Description"/>
  </hyperlink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AP48"/>
  <sheetViews>
    <sheetView workbookViewId="0" topLeftCell="A1">
      <selection activeCell="A2" sqref="A2"/>
    </sheetView>
  </sheetViews>
  <sheetFormatPr defaultColWidth="9.140625" defaultRowHeight="12.75"/>
  <cols>
    <col min="1" max="1" width="3.8515625" style="0" customWidth="1"/>
    <col min="2" max="2" width="22.140625" style="0" bestFit="1" customWidth="1"/>
    <col min="3" max="3" width="16.28125" style="0" customWidth="1"/>
    <col min="4" max="7" width="15.140625" style="0" customWidth="1"/>
    <col min="8" max="11" width="10.140625" style="0" bestFit="1" customWidth="1"/>
    <col min="12" max="12" width="11.140625" style="0" customWidth="1"/>
    <col min="13" max="13" width="22.140625" style="0" bestFit="1" customWidth="1"/>
    <col min="14" max="14" width="16.28125" style="0" customWidth="1"/>
    <col min="15" max="15" width="18.7109375" style="0" bestFit="1" customWidth="1"/>
    <col min="16" max="16" width="20.28125" style="0" bestFit="1" customWidth="1"/>
    <col min="17" max="17" width="23.7109375" style="0" bestFit="1" customWidth="1"/>
  </cols>
  <sheetData>
    <row r="1" spans="1:17" ht="12.75" customHeight="1">
      <c r="A1" s="193">
        <f>IF('ERR &amp; Sensitivity Analysis'!$I$10="N","Note: Current calculations are based on user input and are not the original MCC estimates.",IF('ERR &amp; Sensitivity Analysis'!$I$11="N","Note: Current calculations are based on user input and are not the original MCC estimates.",0))</f>
        <v>0</v>
      </c>
      <c r="B1" s="193"/>
      <c r="C1" s="193"/>
      <c r="D1" s="193"/>
      <c r="E1" s="193"/>
      <c r="F1" s="193"/>
      <c r="L1" s="40"/>
      <c r="M1" s="42"/>
      <c r="N1" s="54" t="s">
        <v>145</v>
      </c>
      <c r="O1" s="57" t="s">
        <v>171</v>
      </c>
      <c r="P1" s="57" t="s">
        <v>171</v>
      </c>
      <c r="Q1" s="58" t="s">
        <v>171</v>
      </c>
    </row>
    <row r="2" spans="3:17" ht="13.5" thickBot="1">
      <c r="C2" s="6" t="s">
        <v>145</v>
      </c>
      <c r="D2" s="28" t="s">
        <v>138</v>
      </c>
      <c r="E2" s="28" t="s">
        <v>139</v>
      </c>
      <c r="F2" s="28" t="s">
        <v>140</v>
      </c>
      <c r="G2" s="28" t="s">
        <v>141</v>
      </c>
      <c r="H2" s="28" t="s">
        <v>142</v>
      </c>
      <c r="I2" s="28" t="s">
        <v>143</v>
      </c>
      <c r="J2" s="28" t="s">
        <v>144</v>
      </c>
      <c r="L2" s="44" t="s">
        <v>110</v>
      </c>
      <c r="M2" s="48" t="s">
        <v>108</v>
      </c>
      <c r="N2" s="55" t="s">
        <v>146</v>
      </c>
      <c r="O2" s="39" t="s">
        <v>172</v>
      </c>
      <c r="P2" s="39" t="s">
        <v>173</v>
      </c>
      <c r="Q2" s="56" t="s">
        <v>174</v>
      </c>
    </row>
    <row r="3" spans="1:42" s="24" customFormat="1" ht="13.5" thickBot="1">
      <c r="A3" s="24" t="s">
        <v>110</v>
      </c>
      <c r="B3" s="24" t="s">
        <v>108</v>
      </c>
      <c r="C3" s="25" t="s">
        <v>146</v>
      </c>
      <c r="D3" s="25" t="s">
        <v>109</v>
      </c>
      <c r="E3" s="25" t="s">
        <v>168</v>
      </c>
      <c r="F3" s="25" t="s">
        <v>169</v>
      </c>
      <c r="G3" s="25" t="s">
        <v>170</v>
      </c>
      <c r="K3" s="38"/>
      <c r="L3" s="40"/>
      <c r="M3" s="47"/>
      <c r="N3" s="40"/>
      <c r="O3" s="41"/>
      <c r="P3" s="41"/>
      <c r="Q3" s="42"/>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42" ht="12.75">
      <c r="A4">
        <v>1</v>
      </c>
      <c r="B4" t="s">
        <v>17</v>
      </c>
      <c r="C4" s="34">
        <f>Dairy!D4</f>
        <v>2000000</v>
      </c>
      <c r="D4" s="30">
        <f>Dairy!B21</f>
        <v>0.46019125845162606</v>
      </c>
      <c r="E4" s="27">
        <f>Dairy!B36</f>
        <v>0.4898323821950354</v>
      </c>
      <c r="F4" s="27">
        <f>Dairy!B32</f>
        <v>0.5252568343121774</v>
      </c>
      <c r="G4" s="27">
        <f>Dairy!B28</f>
        <v>0.5596513785843144</v>
      </c>
      <c r="H4" s="30">
        <f>E4-$D4</f>
        <v>0.029641123743409326</v>
      </c>
      <c r="I4" s="36">
        <f aca="true" t="shared" si="0" ref="I4:J15">F4-$D4</f>
        <v>0.06506557586055134</v>
      </c>
      <c r="J4" s="36">
        <f>G4-$D4</f>
        <v>0.09946012013268829</v>
      </c>
      <c r="K4" s="29"/>
      <c r="L4" s="29">
        <v>1</v>
      </c>
      <c r="M4" s="29" t="s">
        <v>17</v>
      </c>
      <c r="N4" s="49">
        <v>2000000</v>
      </c>
      <c r="O4" s="36">
        <v>0.029641123743409326</v>
      </c>
      <c r="P4" s="36">
        <v>0.06506557586055134</v>
      </c>
      <c r="Q4" s="43">
        <v>0.09946012013268829</v>
      </c>
      <c r="R4" s="38"/>
      <c r="S4" s="38"/>
      <c r="T4" s="38"/>
      <c r="U4" s="38"/>
      <c r="V4" s="38"/>
      <c r="W4" s="38"/>
      <c r="X4" s="38"/>
      <c r="Y4" s="38"/>
      <c r="Z4" s="38"/>
      <c r="AA4" s="38"/>
      <c r="AB4" s="38"/>
      <c r="AC4" s="38"/>
      <c r="AD4" s="38"/>
      <c r="AE4" s="38"/>
      <c r="AF4" s="38"/>
      <c r="AG4" s="38"/>
      <c r="AH4" s="38"/>
      <c r="AI4" s="38"/>
      <c r="AJ4" s="38"/>
      <c r="AK4" s="38"/>
      <c r="AL4" s="38"/>
      <c r="AM4" s="38"/>
      <c r="AN4" s="38"/>
      <c r="AO4" s="38"/>
      <c r="AP4" s="38"/>
    </row>
    <row r="5" spans="1:42" ht="12.75">
      <c r="A5">
        <v>2</v>
      </c>
      <c r="B5" t="s">
        <v>111</v>
      </c>
      <c r="C5" s="35">
        <f>'Wood proc'!D4</f>
        <v>500000</v>
      </c>
      <c r="D5" s="31">
        <f>'Wood proc'!B21</f>
        <v>0.5002849725000116</v>
      </c>
      <c r="E5" s="27">
        <f>'Wood proc'!B36</f>
        <v>0.5991933717662922</v>
      </c>
      <c r="F5" s="27">
        <f>'Wood proc'!B32</f>
        <v>0.8999192720912966</v>
      </c>
      <c r="G5" s="27">
        <f>'Wood proc'!B28</f>
        <v>0.9228421895189844</v>
      </c>
      <c r="H5" s="31">
        <f aca="true" t="shared" si="1" ref="H5:H15">E5-$D5</f>
        <v>0.09890839926628059</v>
      </c>
      <c r="I5" s="36">
        <f t="shared" si="0"/>
        <v>0.39963429959128505</v>
      </c>
      <c r="J5" s="36">
        <f t="shared" si="0"/>
        <v>0.42255721701897286</v>
      </c>
      <c r="K5" s="29"/>
      <c r="L5" s="29">
        <v>2</v>
      </c>
      <c r="M5" s="29" t="s">
        <v>111</v>
      </c>
      <c r="N5" s="49">
        <v>500000</v>
      </c>
      <c r="O5" s="36">
        <v>0.09890839926628059</v>
      </c>
      <c r="P5" s="36">
        <v>0.39963429959128505</v>
      </c>
      <c r="Q5" s="43">
        <v>0.42255721701897286</v>
      </c>
      <c r="R5" s="38"/>
      <c r="S5" s="38"/>
      <c r="T5" s="38"/>
      <c r="U5" s="38"/>
      <c r="V5" s="38"/>
      <c r="W5" s="38"/>
      <c r="X5" s="38"/>
      <c r="Y5" s="38"/>
      <c r="Z5" s="38"/>
      <c r="AA5" s="38"/>
      <c r="AB5" s="38"/>
      <c r="AC5" s="38"/>
      <c r="AD5" s="38"/>
      <c r="AE5" s="38"/>
      <c r="AF5" s="38"/>
      <c r="AG5" s="38"/>
      <c r="AH5" s="38"/>
      <c r="AI5" s="38"/>
      <c r="AJ5" s="38"/>
      <c r="AK5" s="38"/>
      <c r="AL5" s="38"/>
      <c r="AM5" s="38"/>
      <c r="AN5" s="38"/>
      <c r="AO5" s="38"/>
      <c r="AP5" s="38"/>
    </row>
    <row r="6" spans="1:42" ht="12.75">
      <c r="A6">
        <v>3</v>
      </c>
      <c r="B6" t="s">
        <v>112</v>
      </c>
      <c r="C6" s="35">
        <f>'Fruit conc'!D4</f>
        <v>3000000</v>
      </c>
      <c r="D6" s="31">
        <f>'Fruit conc'!B21</f>
        <v>0.3996924441475577</v>
      </c>
      <c r="E6" s="27">
        <f>'Fruit conc'!B36</f>
        <v>0.4437522007255622</v>
      </c>
      <c r="F6" s="27">
        <f>'Fruit conc'!B32</f>
        <v>0.4776692930684622</v>
      </c>
      <c r="G6" s="27">
        <f>'Fruit conc'!B28</f>
        <v>0.4851522660070135</v>
      </c>
      <c r="H6" s="31">
        <f t="shared" si="1"/>
        <v>0.04405975657800448</v>
      </c>
      <c r="I6" s="36">
        <f t="shared" si="0"/>
        <v>0.07797684892090445</v>
      </c>
      <c r="J6" s="36">
        <f t="shared" si="0"/>
        <v>0.08545982185945578</v>
      </c>
      <c r="K6" s="29"/>
      <c r="L6" s="29">
        <v>3</v>
      </c>
      <c r="M6" s="29" t="s">
        <v>112</v>
      </c>
      <c r="N6" s="49">
        <v>3000000</v>
      </c>
      <c r="O6" s="36">
        <v>0.04405975657800448</v>
      </c>
      <c r="P6" s="36">
        <v>0.07797684892090445</v>
      </c>
      <c r="Q6" s="43">
        <v>0.08545982185945578</v>
      </c>
      <c r="R6" s="38"/>
      <c r="S6" s="38"/>
      <c r="T6" s="38"/>
      <c r="U6" s="38"/>
      <c r="V6" s="38"/>
      <c r="W6" s="38"/>
      <c r="X6" s="38"/>
      <c r="Y6" s="38"/>
      <c r="Z6" s="38"/>
      <c r="AA6" s="38"/>
      <c r="AB6" s="38"/>
      <c r="AC6" s="38"/>
      <c r="AD6" s="38"/>
      <c r="AE6" s="38"/>
      <c r="AF6" s="38"/>
      <c r="AG6" s="38"/>
      <c r="AH6" s="38"/>
      <c r="AI6" s="38"/>
      <c r="AJ6" s="38"/>
      <c r="AK6" s="38"/>
      <c r="AL6" s="38"/>
      <c r="AM6" s="38"/>
      <c r="AN6" s="38"/>
      <c r="AO6" s="38"/>
      <c r="AP6" s="38"/>
    </row>
    <row r="7" spans="1:42" ht="12.75">
      <c r="A7">
        <v>4</v>
      </c>
      <c r="B7" t="s">
        <v>113</v>
      </c>
      <c r="C7" s="35">
        <f>Honey!D4</f>
        <v>2000000</v>
      </c>
      <c r="D7" s="31">
        <f>Honey!B21</f>
        <v>0.32978564113963577</v>
      </c>
      <c r="E7" s="27">
        <f>Honey!B36</f>
        <v>0.3578361979585834</v>
      </c>
      <c r="F7" s="27">
        <f>Honey!B32</f>
        <v>0.43505940747797717</v>
      </c>
      <c r="G7" s="27">
        <f>Honey!B28</f>
        <v>0.5091157652908682</v>
      </c>
      <c r="H7" s="31">
        <f t="shared" si="1"/>
        <v>0.028050556818947636</v>
      </c>
      <c r="I7" s="36">
        <f t="shared" si="0"/>
        <v>0.1052737663383414</v>
      </c>
      <c r="J7" s="36">
        <f t="shared" si="0"/>
        <v>0.17933012415123245</v>
      </c>
      <c r="K7" s="29"/>
      <c r="L7" s="29">
        <v>4</v>
      </c>
      <c r="M7" s="29" t="s">
        <v>113</v>
      </c>
      <c r="N7" s="49">
        <v>2000000</v>
      </c>
      <c r="O7" s="36">
        <v>0.028050556818947636</v>
      </c>
      <c r="P7" s="36">
        <v>0.1052737663383414</v>
      </c>
      <c r="Q7" s="43">
        <v>0.17933012415123245</v>
      </c>
      <c r="R7" s="38"/>
      <c r="S7" s="38"/>
      <c r="T7" s="38"/>
      <c r="U7" s="38"/>
      <c r="V7" s="38"/>
      <c r="W7" s="38"/>
      <c r="X7" s="38"/>
      <c r="Y7" s="38"/>
      <c r="Z7" s="38"/>
      <c r="AA7" s="38"/>
      <c r="AB7" s="38"/>
      <c r="AC7" s="38"/>
      <c r="AD7" s="38"/>
      <c r="AE7" s="38"/>
      <c r="AF7" s="38"/>
      <c r="AG7" s="38"/>
      <c r="AH7" s="38"/>
      <c r="AI7" s="38"/>
      <c r="AJ7" s="38"/>
      <c r="AK7" s="38"/>
      <c r="AL7" s="38"/>
      <c r="AM7" s="38"/>
      <c r="AN7" s="38"/>
      <c r="AO7" s="38"/>
      <c r="AP7" s="38"/>
    </row>
    <row r="8" spans="1:42" ht="12.75">
      <c r="A8">
        <v>5</v>
      </c>
      <c r="B8" t="s">
        <v>114</v>
      </c>
      <c r="C8" s="35">
        <f>'Geo Specialty Tea'!D4</f>
        <v>575000</v>
      </c>
      <c r="D8" s="31">
        <f>'Geo Specialty Tea'!B23</f>
        <v>0.5007253073919415</v>
      </c>
      <c r="E8" s="27">
        <f>'Geo Specialty Tea'!B38</f>
        <v>0.5624283968186313</v>
      </c>
      <c r="F8" s="27">
        <f>'Geo Specialty Tea'!B34</f>
        <v>0.9112401684687612</v>
      </c>
      <c r="G8" s="27">
        <f>'Geo Specialty Tea'!B30</f>
        <v>1.6543839137177965</v>
      </c>
      <c r="H8" s="31">
        <f t="shared" si="1"/>
        <v>0.06170308942668978</v>
      </c>
      <c r="I8" s="36">
        <f t="shared" si="0"/>
        <v>0.41051486107681967</v>
      </c>
      <c r="J8" s="36">
        <f t="shared" si="0"/>
        <v>1.153658606325855</v>
      </c>
      <c r="K8" s="29"/>
      <c r="L8" s="29">
        <v>5</v>
      </c>
      <c r="M8" s="29" t="s">
        <v>114</v>
      </c>
      <c r="N8" s="49">
        <v>575000</v>
      </c>
      <c r="O8" s="36">
        <v>0.06170308942668978</v>
      </c>
      <c r="P8" s="36">
        <v>0.41051486107681967</v>
      </c>
      <c r="Q8" s="43">
        <v>1.153658606325855</v>
      </c>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ht="12.75">
      <c r="A9">
        <v>6</v>
      </c>
      <c r="B9" t="s">
        <v>115</v>
      </c>
      <c r="C9" s="35">
        <f>'Apple juice conc. - Kaspi'!D4</f>
        <v>480000</v>
      </c>
      <c r="D9" s="31">
        <f>'Apple juice conc. - Kaspi'!B21</f>
        <v>0.6242976372975948</v>
      </c>
      <c r="E9" s="27">
        <f>'Apple juice conc. - Kaspi'!B36</f>
        <v>0.6675099706750779</v>
      </c>
      <c r="F9" s="27">
        <f>'Apple juice conc. - Kaspi'!B32</f>
        <v>0.9118448580249607</v>
      </c>
      <c r="G9" s="27">
        <f>'Apple juice conc. - Kaspi'!B28</f>
        <v>1.1127564992153482</v>
      </c>
      <c r="H9" s="31">
        <f t="shared" si="1"/>
        <v>0.04321233337748309</v>
      </c>
      <c r="I9" s="36">
        <f t="shared" si="0"/>
        <v>0.28754722072736594</v>
      </c>
      <c r="J9" s="36">
        <f t="shared" si="0"/>
        <v>0.48845886191775345</v>
      </c>
      <c r="K9" s="29"/>
      <c r="L9" s="29">
        <v>6</v>
      </c>
      <c r="M9" s="29" t="s">
        <v>115</v>
      </c>
      <c r="N9" s="49">
        <v>480000</v>
      </c>
      <c r="O9" s="36">
        <v>0.04321233337748309</v>
      </c>
      <c r="P9" s="36">
        <v>0.30938620933051675</v>
      </c>
      <c r="Q9" s="43">
        <v>0.510288293619179</v>
      </c>
      <c r="R9" s="38"/>
      <c r="S9" s="38"/>
      <c r="T9" s="38"/>
      <c r="U9" s="38"/>
      <c r="V9" s="38"/>
      <c r="W9" s="38"/>
      <c r="X9" s="38"/>
      <c r="Y9" s="38"/>
      <c r="Z9" s="38"/>
      <c r="AA9" s="38"/>
      <c r="AB9" s="38"/>
      <c r="AC9" s="38"/>
      <c r="AD9" s="38"/>
      <c r="AE9" s="38"/>
      <c r="AF9" s="38"/>
      <c r="AG9" s="38"/>
      <c r="AH9" s="38"/>
      <c r="AI9" s="38"/>
      <c r="AJ9" s="38"/>
      <c r="AK9" s="38"/>
      <c r="AL9" s="38"/>
      <c r="AM9" s="38"/>
      <c r="AN9" s="38"/>
      <c r="AO9" s="38"/>
      <c r="AP9" s="38"/>
    </row>
    <row r="10" spans="1:42" ht="12.75">
      <c r="A10">
        <v>7</v>
      </c>
      <c r="B10" t="s">
        <v>36</v>
      </c>
      <c r="C10" s="35">
        <f>'Kobuleti Tourist Centre'!D4</f>
        <v>5000000</v>
      </c>
      <c r="D10" s="31">
        <f>'Kobuleti Tourist Centre'!B21</f>
        <v>0.4004865518476075</v>
      </c>
      <c r="E10" s="27">
        <f>'Kobuleti Tourist Centre'!B36</f>
        <v>0.41256875323903774</v>
      </c>
      <c r="F10" s="27">
        <f>'Kobuleti Tourist Centre'!B32</f>
        <v>0.42699391167839695</v>
      </c>
      <c r="G10" s="27">
        <f>'Kobuleti Tourist Centre'!B28</f>
        <v>0.42699391167839695</v>
      </c>
      <c r="H10" s="31">
        <f t="shared" si="1"/>
        <v>0.012082201391430236</v>
      </c>
      <c r="I10" s="36">
        <f t="shared" si="0"/>
        <v>0.026507359830789445</v>
      </c>
      <c r="J10" s="36">
        <f t="shared" si="0"/>
        <v>0.026507359830789445</v>
      </c>
      <c r="K10" s="29"/>
      <c r="L10" s="29">
        <v>7</v>
      </c>
      <c r="M10" s="29" t="s">
        <v>36</v>
      </c>
      <c r="N10" s="49">
        <v>5000000</v>
      </c>
      <c r="O10" s="36">
        <v>0.012082201391430236</v>
      </c>
      <c r="P10" s="36">
        <v>0.026507359830789445</v>
      </c>
      <c r="Q10" s="43">
        <v>0.026507359830789445</v>
      </c>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row>
    <row r="11" spans="1:42" ht="12.75">
      <c r="A11">
        <v>8</v>
      </c>
      <c r="B11" t="s">
        <v>116</v>
      </c>
      <c r="C11" s="35">
        <f>'Clean Citrus Prod''s'!D4</f>
        <v>2500000</v>
      </c>
      <c r="D11" s="31">
        <f>'Clean Citrus Prod''s'!B21</f>
        <v>0.2342791556176007</v>
      </c>
      <c r="E11" s="27">
        <f>'Clean Citrus Prod''s'!B36</f>
        <v>0.33224206764717545</v>
      </c>
      <c r="F11" s="27">
        <f>'Clean Citrus Prod''s'!B32</f>
        <v>0.4342336934961358</v>
      </c>
      <c r="G11" s="27">
        <f>'Clean Citrus Prod''s'!B28</f>
        <v>0.8253752143720982</v>
      </c>
      <c r="H11" s="31">
        <f t="shared" si="1"/>
        <v>0.09796291202957474</v>
      </c>
      <c r="I11" s="36">
        <f t="shared" si="0"/>
        <v>0.19995453787853507</v>
      </c>
      <c r="J11" s="36">
        <f t="shared" si="0"/>
        <v>0.5910960587544974</v>
      </c>
      <c r="K11" s="29"/>
      <c r="L11" s="29">
        <v>8</v>
      </c>
      <c r="M11" s="29" t="s">
        <v>116</v>
      </c>
      <c r="N11" s="49">
        <v>2500000</v>
      </c>
      <c r="O11" s="36">
        <v>0.09796291202957474</v>
      </c>
      <c r="P11" s="36">
        <v>0.19995453787853507</v>
      </c>
      <c r="Q11" s="43">
        <v>0.5910960587544974</v>
      </c>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ht="12.75">
      <c r="A12">
        <v>9</v>
      </c>
      <c r="B12" t="s">
        <v>42</v>
      </c>
      <c r="C12" s="35">
        <f>'Sunflower seed oil'!D4</f>
        <v>4680000</v>
      </c>
      <c r="D12" s="31">
        <f>'Sunflower seed oil'!B21</f>
        <v>0.1637191457311617</v>
      </c>
      <c r="E12" s="27">
        <f>'Sunflower seed oil'!B36</f>
        <v>0.206317880354297</v>
      </c>
      <c r="F12" s="27">
        <f>'Sunflower seed oil'!B32</f>
        <v>0.2732458938020622</v>
      </c>
      <c r="G12" s="27">
        <f>'Sunflower seed oil'!B28</f>
        <v>0.29334537354852236</v>
      </c>
      <c r="H12" s="31">
        <f t="shared" si="1"/>
        <v>0.04259873462313529</v>
      </c>
      <c r="I12" s="36">
        <f t="shared" si="0"/>
        <v>0.10952674807090051</v>
      </c>
      <c r="J12" s="36">
        <f t="shared" si="0"/>
        <v>0.12962622781736066</v>
      </c>
      <c r="K12" s="29"/>
      <c r="L12" s="29">
        <v>9</v>
      </c>
      <c r="M12" s="29" t="s">
        <v>42</v>
      </c>
      <c r="N12" s="49">
        <v>4680000</v>
      </c>
      <c r="O12" s="36">
        <v>0.04259873462313529</v>
      </c>
      <c r="P12" s="36">
        <v>0.10952674807090051</v>
      </c>
      <c r="Q12" s="43">
        <v>0.12962622781736066</v>
      </c>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ht="12.75">
      <c r="A13">
        <v>10</v>
      </c>
      <c r="B13" t="s">
        <v>117</v>
      </c>
      <c r="C13" s="35">
        <f>'High qual greens'!D4</f>
        <v>10551000</v>
      </c>
      <c r="D13" s="31">
        <f>'High qual greens'!B21</f>
        <v>0.6090177869112162</v>
      </c>
      <c r="E13" s="27">
        <f>'High qual greens'!B36</f>
        <v>0.6229414568763267</v>
      </c>
      <c r="F13" s="27">
        <f>'High qual greens'!B32</f>
        <v>0.7758408918810858</v>
      </c>
      <c r="G13" s="27">
        <f>'High qual greens'!B28</f>
        <v>0.8099632883872995</v>
      </c>
      <c r="H13" s="31">
        <f t="shared" si="1"/>
        <v>0.013923669965110519</v>
      </c>
      <c r="I13" s="36">
        <f t="shared" si="0"/>
        <v>0.16682310496986963</v>
      </c>
      <c r="J13" s="36">
        <f t="shared" si="0"/>
        <v>0.20094550147608325</v>
      </c>
      <c r="K13" s="29"/>
      <c r="L13" s="29">
        <v>10</v>
      </c>
      <c r="M13" s="29" t="s">
        <v>117</v>
      </c>
      <c r="N13" s="49">
        <v>10551000</v>
      </c>
      <c r="O13" s="36">
        <v>0.013923669965110519</v>
      </c>
      <c r="P13" s="36">
        <v>0.16682310496986963</v>
      </c>
      <c r="Q13" s="43">
        <v>0.20094550147608325</v>
      </c>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row>
    <row r="14" spans="1:42" ht="12.75">
      <c r="A14">
        <v>11</v>
      </c>
      <c r="B14" t="s">
        <v>47</v>
      </c>
      <c r="C14" s="35">
        <f>'Geo Stevia'!D4</f>
        <v>2480000</v>
      </c>
      <c r="D14" s="31">
        <f>'Geo Stevia'!B21</f>
        <v>2.3645160297604675</v>
      </c>
      <c r="E14" s="27">
        <f>'Geo Stevia'!B36</f>
        <v>2.4468465889265962</v>
      </c>
      <c r="F14" s="27">
        <f>'Geo Stevia'!B32</f>
        <v>3.106040202523446</v>
      </c>
      <c r="G14" s="27">
        <f>'Geo Stevia'!B28</f>
        <v>3.247328951461964</v>
      </c>
      <c r="H14" s="31">
        <f t="shared" si="1"/>
        <v>0.08233055916612875</v>
      </c>
      <c r="I14" s="36">
        <f t="shared" si="0"/>
        <v>0.7415241727629787</v>
      </c>
      <c r="J14" s="36">
        <f t="shared" si="0"/>
        <v>0.8828129217014964</v>
      </c>
      <c r="K14" s="29"/>
      <c r="L14" s="29">
        <v>11</v>
      </c>
      <c r="M14" s="29" t="s">
        <v>47</v>
      </c>
      <c r="N14" s="49">
        <v>2480000</v>
      </c>
      <c r="O14" s="36">
        <v>0.08233055916612875</v>
      </c>
      <c r="P14" s="36">
        <v>0.7415241727629787</v>
      </c>
      <c r="Q14" s="43">
        <v>0.8828129217014964</v>
      </c>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row>
    <row r="15" spans="1:42" ht="12.75">
      <c r="A15">
        <v>12</v>
      </c>
      <c r="B15" t="s">
        <v>118</v>
      </c>
      <c r="C15" s="35">
        <f>'Tomato prod''s'!D4</f>
        <v>3545000</v>
      </c>
      <c r="D15" s="31">
        <f>'Tomato prod''s'!B21</f>
        <v>0.06236782877100892</v>
      </c>
      <c r="E15" s="27">
        <f>'Tomato prod''s'!B36</f>
        <v>0.1188253831441361</v>
      </c>
      <c r="F15" s="27">
        <f>'Tomato prod''s'!B32</f>
        <v>0.21982990018516096</v>
      </c>
      <c r="G15" s="27">
        <f>'Tomato prod''s'!B28</f>
        <v>0.44336065572484723</v>
      </c>
      <c r="H15" s="31">
        <f t="shared" si="1"/>
        <v>0.05645755437312718</v>
      </c>
      <c r="I15" s="36">
        <f t="shared" si="0"/>
        <v>0.15746207141415205</v>
      </c>
      <c r="J15" s="36">
        <f t="shared" si="0"/>
        <v>0.3809928269538383</v>
      </c>
      <c r="K15" s="29"/>
      <c r="L15" s="29">
        <v>12</v>
      </c>
      <c r="M15" s="29" t="s">
        <v>118</v>
      </c>
      <c r="N15" s="49">
        <v>3545000</v>
      </c>
      <c r="O15" s="36">
        <v>0.061565305520316076</v>
      </c>
      <c r="P15" s="36">
        <v>0.1662120380351581</v>
      </c>
      <c r="Q15" s="43">
        <v>0.3925657499855287</v>
      </c>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row>
    <row r="16" spans="1:42" s="24" customFormat="1" ht="13.5" thickBot="1">
      <c r="A16" s="24">
        <v>13</v>
      </c>
      <c r="B16" s="24" t="s">
        <v>119</v>
      </c>
      <c r="C16" s="33"/>
      <c r="D16" s="32" t="s">
        <v>120</v>
      </c>
      <c r="E16" s="26" t="s">
        <v>120</v>
      </c>
      <c r="F16" s="26" t="s">
        <v>120</v>
      </c>
      <c r="G16" s="26" t="s">
        <v>120</v>
      </c>
      <c r="H16" s="32" t="s">
        <v>120</v>
      </c>
      <c r="I16" s="26" t="s">
        <v>120</v>
      </c>
      <c r="J16" s="26" t="s">
        <v>120</v>
      </c>
      <c r="K16" s="29"/>
      <c r="L16" s="44">
        <v>13</v>
      </c>
      <c r="M16" s="44" t="s">
        <v>119</v>
      </c>
      <c r="N16" s="44"/>
      <c r="O16" s="45" t="s">
        <v>120</v>
      </c>
      <c r="P16" s="45" t="s">
        <v>120</v>
      </c>
      <c r="Q16" s="46" t="s">
        <v>120</v>
      </c>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row>
    <row r="17" spans="1:17" ht="12.75">
      <c r="A17" t="s">
        <v>121</v>
      </c>
      <c r="L17" s="29" t="s">
        <v>121</v>
      </c>
      <c r="M17" s="38"/>
      <c r="N17" s="40"/>
      <c r="O17" s="36"/>
      <c r="P17" s="36"/>
      <c r="Q17" s="43"/>
    </row>
    <row r="18" spans="2:17" ht="13.5" thickBot="1">
      <c r="B18" t="s">
        <v>154</v>
      </c>
      <c r="C18" s="5">
        <f>AVERAGE(C4:C15)</f>
        <v>3109250</v>
      </c>
      <c r="D18" s="27">
        <f aca="true" t="shared" si="2" ref="D18:I18">AVERAGE(D4:D15)</f>
        <v>0.5541136466306192</v>
      </c>
      <c r="E18" s="27">
        <f t="shared" si="2"/>
        <v>0.605024554193896</v>
      </c>
      <c r="F18" s="27">
        <f t="shared" si="2"/>
        <v>0.7830978605841602</v>
      </c>
      <c r="G18" s="27">
        <f t="shared" si="2"/>
        <v>0.9408557839589545</v>
      </c>
      <c r="H18" s="27">
        <f t="shared" si="2"/>
        <v>0.0509109075632768</v>
      </c>
      <c r="I18" s="27">
        <f t="shared" si="2"/>
        <v>0.2289842139535411</v>
      </c>
      <c r="J18" s="27">
        <f>AVERAGE(J4:J15)</f>
        <v>0.3867421373283353</v>
      </c>
      <c r="L18" s="29"/>
      <c r="M18" s="38" t="s">
        <v>154</v>
      </c>
      <c r="N18" s="29"/>
      <c r="O18" s="36">
        <v>0.051336553492209204</v>
      </c>
      <c r="P18" s="36">
        <v>0.23153329355555416</v>
      </c>
      <c r="Q18" s="43">
        <v>0.3895256668894283</v>
      </c>
    </row>
    <row r="19" spans="2:17" ht="13.5" thickBot="1">
      <c r="B19" t="s">
        <v>153</v>
      </c>
      <c r="C19" s="28" t="s">
        <v>120</v>
      </c>
      <c r="D19" s="27">
        <f aca="true" t="shared" si="3" ref="D19:I19">SUMPRODUCT($C$4:$C$15,D4:D15)/SUM($C$4:$C$15)</f>
        <v>0.5221497725156581</v>
      </c>
      <c r="E19" s="27">
        <f t="shared" si="3"/>
        <v>0.5599174241676477</v>
      </c>
      <c r="F19" s="27">
        <f t="shared" si="3"/>
        <v>0.6950434764903304</v>
      </c>
      <c r="G19" s="27">
        <f t="shared" si="3"/>
        <v>0.784810966551847</v>
      </c>
      <c r="H19" s="59">
        <f t="shared" si="3"/>
        <v>0.037767651651989594</v>
      </c>
      <c r="I19" s="59">
        <f t="shared" si="3"/>
        <v>0.1728937039746723</v>
      </c>
      <c r="J19" s="125">
        <f>SUMPRODUCT($C$4:$C$15,J4:J15)/SUM($C$4:$C$15)</f>
        <v>0.2626611940361889</v>
      </c>
      <c r="K19" s="126" t="s">
        <v>175</v>
      </c>
      <c r="L19" s="50"/>
      <c r="M19" s="51" t="s">
        <v>153</v>
      </c>
      <c r="N19" s="50"/>
      <c r="O19" s="52">
        <v>0.038252950298951205</v>
      </c>
      <c r="P19" s="52">
        <v>0.1740060125753793</v>
      </c>
      <c r="Q19" s="53">
        <v>0.2640415949732859</v>
      </c>
    </row>
    <row r="20" spans="2:17" ht="13.5" thickBot="1">
      <c r="B20" t="s">
        <v>155</v>
      </c>
      <c r="C20" s="5">
        <f>MEDIAN(C4:C15)</f>
        <v>2490000</v>
      </c>
      <c r="D20" s="27">
        <f aca="true" t="shared" si="4" ref="D20:I20">MEDIAN(D4:D15)</f>
        <v>0.4303389051496168</v>
      </c>
      <c r="E20" s="27">
        <f t="shared" si="4"/>
        <v>0.46679229146029877</v>
      </c>
      <c r="F20" s="27">
        <f t="shared" si="4"/>
        <v>0.5014630636903198</v>
      </c>
      <c r="G20" s="27">
        <f t="shared" si="4"/>
        <v>0.6848073334858069</v>
      </c>
      <c r="H20" s="27">
        <f t="shared" si="4"/>
        <v>0.04363604497774379</v>
      </c>
      <c r="I20" s="27">
        <f t="shared" si="4"/>
        <v>0.16214258819201083</v>
      </c>
      <c r="J20" s="27">
        <f>MEDIAN(J4:J15)</f>
        <v>0.2909691642149608</v>
      </c>
      <c r="L20" s="44"/>
      <c r="M20" s="24" t="s">
        <v>155</v>
      </c>
      <c r="N20" s="44"/>
      <c r="O20" s="45">
        <v>0.04363604497774379</v>
      </c>
      <c r="P20" s="45">
        <v>0.16651757150251387</v>
      </c>
      <c r="Q20" s="46">
        <v>0.29675562573080594</v>
      </c>
    </row>
    <row r="21" spans="1:12" ht="12.75">
      <c r="A21" t="s">
        <v>158</v>
      </c>
      <c r="L21" t="s">
        <v>158</v>
      </c>
    </row>
    <row r="22" spans="2:15" ht="12.75">
      <c r="B22" s="37" t="s">
        <v>164</v>
      </c>
      <c r="C22" t="s">
        <v>159</v>
      </c>
      <c r="M22" t="s">
        <v>164</v>
      </c>
      <c r="O22" t="s">
        <v>159</v>
      </c>
    </row>
    <row r="23" spans="2:15" ht="12.75">
      <c r="B23" s="7" t="s">
        <v>161</v>
      </c>
      <c r="C23" t="s">
        <v>160</v>
      </c>
      <c r="F23" s="60"/>
      <c r="G23" s="60"/>
      <c r="H23" s="60"/>
      <c r="I23" s="60"/>
      <c r="J23" s="60"/>
      <c r="M23" t="s">
        <v>161</v>
      </c>
      <c r="O23" t="s">
        <v>160</v>
      </c>
    </row>
    <row r="24" spans="2:15" ht="12.75">
      <c r="B24" s="7" t="s">
        <v>162</v>
      </c>
      <c r="C24" t="s">
        <v>97</v>
      </c>
      <c r="F24" s="60"/>
      <c r="G24" s="60"/>
      <c r="H24" s="60"/>
      <c r="I24" s="60"/>
      <c r="J24" s="60"/>
      <c r="M24" t="s">
        <v>162</v>
      </c>
      <c r="O24" t="s">
        <v>97</v>
      </c>
    </row>
    <row r="25" spans="2:15" ht="12.75">
      <c r="B25" s="7" t="s">
        <v>163</v>
      </c>
      <c r="C25" t="s">
        <v>96</v>
      </c>
      <c r="F25" s="60"/>
      <c r="G25" s="60"/>
      <c r="H25" s="60"/>
      <c r="I25" s="60"/>
      <c r="J25" s="61"/>
      <c r="M25" t="s">
        <v>163</v>
      </c>
      <c r="O25" t="s">
        <v>96</v>
      </c>
    </row>
    <row r="26" spans="2:15" ht="12.75">
      <c r="B26" s="7" t="s">
        <v>109</v>
      </c>
      <c r="C26" t="s">
        <v>166</v>
      </c>
      <c r="F26" s="60"/>
      <c r="G26" s="60"/>
      <c r="H26" s="60"/>
      <c r="I26" s="60"/>
      <c r="J26" s="60"/>
      <c r="M26" t="s">
        <v>109</v>
      </c>
      <c r="O26" t="s">
        <v>166</v>
      </c>
    </row>
    <row r="27" spans="2:15" ht="12.75">
      <c r="B27" s="7" t="s">
        <v>165</v>
      </c>
      <c r="C27" t="s">
        <v>167</v>
      </c>
      <c r="F27" s="60"/>
      <c r="G27" s="62"/>
      <c r="H27" s="60"/>
      <c r="I27" s="60"/>
      <c r="J27" s="60"/>
      <c r="M27" t="s">
        <v>165</v>
      </c>
      <c r="O27" t="s">
        <v>167</v>
      </c>
    </row>
    <row r="28" spans="6:10" ht="12.75">
      <c r="F28" s="60"/>
      <c r="G28" s="62"/>
      <c r="H28" s="60"/>
      <c r="I28" s="60"/>
      <c r="J28" s="60"/>
    </row>
    <row r="29" spans="14:17" ht="12.75">
      <c r="N29" s="27">
        <v>-0.029</v>
      </c>
      <c r="O29" s="27">
        <f>N29+O$19</f>
        <v>0.009252950298951203</v>
      </c>
      <c r="P29" s="27">
        <f>N29+P$19</f>
        <v>0.1450060125753793</v>
      </c>
      <c r="Q29" s="27">
        <f>N29+Q$19</f>
        <v>0.2350415949732859</v>
      </c>
    </row>
    <row r="30" spans="14:17" ht="12.75">
      <c r="N30" s="27">
        <v>0.026</v>
      </c>
      <c r="O30" s="27">
        <f>N30+O$19</f>
        <v>0.0642529502989512</v>
      </c>
      <c r="P30" s="27">
        <f>N30+P$19</f>
        <v>0.20000601257537928</v>
      </c>
      <c r="Q30" s="27">
        <f>N30+Q$19</f>
        <v>0.2900415949732859</v>
      </c>
    </row>
    <row r="31" spans="14:17" ht="12.75">
      <c r="N31" s="27">
        <v>-0.002</v>
      </c>
      <c r="O31" s="27">
        <f>N31+O$19</f>
        <v>0.0362529502989512</v>
      </c>
      <c r="P31" s="27">
        <f>N31+P$19</f>
        <v>0.17200601257537929</v>
      </c>
      <c r="Q31" s="27">
        <f>N31+Q$19</f>
        <v>0.2620415949732859</v>
      </c>
    </row>
    <row r="32" ht="12.75">
      <c r="B32" s="63" t="s">
        <v>244</v>
      </c>
    </row>
    <row r="33" ht="13.5" thickBot="1"/>
    <row r="34" spans="2:17" ht="12.75">
      <c r="B34" s="171"/>
      <c r="C34" s="165">
        <v>2006</v>
      </c>
      <c r="D34" s="165">
        <v>2007</v>
      </c>
      <c r="E34" s="165">
        <v>2008</v>
      </c>
      <c r="F34" s="165">
        <v>2009</v>
      </c>
      <c r="G34" s="165">
        <v>2010</v>
      </c>
      <c r="H34" s="172">
        <v>2011</v>
      </c>
      <c r="I34" s="165">
        <v>2012</v>
      </c>
      <c r="J34" s="165">
        <v>2013</v>
      </c>
      <c r="K34" s="165">
        <v>2014</v>
      </c>
      <c r="L34" s="174">
        <v>2015</v>
      </c>
      <c r="M34" s="165">
        <v>2016</v>
      </c>
      <c r="N34" s="165">
        <v>2017</v>
      </c>
      <c r="O34" s="165">
        <v>2018</v>
      </c>
      <c r="P34" s="165">
        <v>2019</v>
      </c>
      <c r="Q34" s="166">
        <v>2020</v>
      </c>
    </row>
    <row r="35" spans="2:17" ht="12.75">
      <c r="B35" s="167" t="s">
        <v>17</v>
      </c>
      <c r="C35" s="88">
        <f>Dairy!B26</f>
        <v>-2000000</v>
      </c>
      <c r="D35" s="88">
        <f>Dairy!C26</f>
        <v>1121528.2425531915</v>
      </c>
      <c r="E35" s="88">
        <f>Dairy!D26</f>
        <v>1121528.2425531915</v>
      </c>
      <c r="F35" s="88">
        <f>Dairy!E26</f>
        <v>1121528.2425531915</v>
      </c>
      <c r="G35" s="88">
        <f>Dairy!F26</f>
        <v>1121528.2425531915</v>
      </c>
      <c r="H35" s="173">
        <f>Dairy!G26</f>
        <v>1121528.2425531915</v>
      </c>
      <c r="I35" s="88">
        <f>Dairy!H26</f>
        <v>1121528.2425531915</v>
      </c>
      <c r="J35" s="88">
        <f>Dairy!I26</f>
        <v>1121528.2425531915</v>
      </c>
      <c r="K35" s="88">
        <f>Dairy!J26</f>
        <v>1121528.2425531915</v>
      </c>
      <c r="L35" s="175">
        <f>Dairy!K26</f>
        <v>1121528.2425531915</v>
      </c>
      <c r="M35" s="88">
        <f>Dairy!L26</f>
        <v>1121528.2425531915</v>
      </c>
      <c r="N35" s="88">
        <f>Dairy!M26</f>
        <v>1121528.2425531915</v>
      </c>
      <c r="O35" s="88">
        <f>Dairy!N26</f>
        <v>1121528.2425531915</v>
      </c>
      <c r="P35" s="88">
        <f>Dairy!O26</f>
        <v>1121528.2425531915</v>
      </c>
      <c r="Q35" s="168">
        <f>Dairy!P26</f>
        <v>1121528.2425531915</v>
      </c>
    </row>
    <row r="36" spans="2:17" ht="12.75">
      <c r="B36" s="167" t="s">
        <v>111</v>
      </c>
      <c r="C36" s="88">
        <f>'Wood proc'!B26</f>
        <v>-500000</v>
      </c>
      <c r="D36" s="88">
        <f>'Wood proc'!C26</f>
        <v>461469.952393617</v>
      </c>
      <c r="E36" s="88">
        <f>'Wood proc'!D26</f>
        <v>461469.952393617</v>
      </c>
      <c r="F36" s="88">
        <f>'Wood proc'!E26</f>
        <v>461469.952393617</v>
      </c>
      <c r="G36" s="88">
        <f>'Wood proc'!F26</f>
        <v>461469.952393617</v>
      </c>
      <c r="H36" s="173">
        <f>'Wood proc'!G26</f>
        <v>461469.952393617</v>
      </c>
      <c r="I36" s="88">
        <f>'Wood proc'!H26</f>
        <v>461469.952393617</v>
      </c>
      <c r="J36" s="88">
        <f>'Wood proc'!I26</f>
        <v>461469.952393617</v>
      </c>
      <c r="K36" s="88">
        <f>'Wood proc'!J26</f>
        <v>461469.952393617</v>
      </c>
      <c r="L36" s="175">
        <f>'Wood proc'!K26</f>
        <v>461469.952393617</v>
      </c>
      <c r="M36" s="88">
        <f>'Wood proc'!L26</f>
        <v>461469.952393617</v>
      </c>
      <c r="N36" s="88">
        <f>'Wood proc'!M26</f>
        <v>461469.952393617</v>
      </c>
      <c r="O36" s="88">
        <f>'Wood proc'!N26</f>
        <v>461469.952393617</v>
      </c>
      <c r="P36" s="88">
        <f>'Wood proc'!O26</f>
        <v>461469.952393617</v>
      </c>
      <c r="Q36" s="168">
        <f>'Wood proc'!P26</f>
        <v>461469.952393617</v>
      </c>
    </row>
    <row r="37" spans="2:17" ht="12.75">
      <c r="B37" s="167" t="s">
        <v>112</v>
      </c>
      <c r="C37" s="88">
        <f>'Fruit conc'!B26</f>
        <v>-3000000</v>
      </c>
      <c r="D37" s="88">
        <f>'Fruit conc'!C26</f>
        <v>1461210.1232047873</v>
      </c>
      <c r="E37" s="88">
        <f>'Fruit conc'!D26</f>
        <v>1461210.1232047873</v>
      </c>
      <c r="F37" s="88">
        <f>'Fruit conc'!E26</f>
        <v>1461210.1232047873</v>
      </c>
      <c r="G37" s="88">
        <f>'Fruit conc'!F26</f>
        <v>1461210.1232047873</v>
      </c>
      <c r="H37" s="173">
        <f>'Fruit conc'!G26</f>
        <v>1461210.1232047873</v>
      </c>
      <c r="I37" s="88">
        <f>'Fruit conc'!H26</f>
        <v>1461210.1232047873</v>
      </c>
      <c r="J37" s="88">
        <f>'Fruit conc'!I26</f>
        <v>1461210.1232047873</v>
      </c>
      <c r="K37" s="88">
        <f>'Fruit conc'!J26</f>
        <v>1461210.1232047873</v>
      </c>
      <c r="L37" s="175">
        <f>'Fruit conc'!K26</f>
        <v>1461210.1232047873</v>
      </c>
      <c r="M37" s="88">
        <f>'Fruit conc'!L26</f>
        <v>1461210.1232047873</v>
      </c>
      <c r="N37" s="88">
        <f>'Fruit conc'!M26</f>
        <v>1461210.1232047873</v>
      </c>
      <c r="O37" s="88">
        <f>'Fruit conc'!N26</f>
        <v>1461210.1232047873</v>
      </c>
      <c r="P37" s="88">
        <f>'Fruit conc'!O26</f>
        <v>1461210.1232047873</v>
      </c>
      <c r="Q37" s="168">
        <f>'Fruit conc'!P26</f>
        <v>1461210.1232047873</v>
      </c>
    </row>
    <row r="38" spans="2:17" ht="12.75">
      <c r="B38" s="167" t="s">
        <v>113</v>
      </c>
      <c r="C38" s="88">
        <f>Honey!B26</f>
        <v>-2000000</v>
      </c>
      <c r="D38" s="88">
        <f>Honey!C26</f>
        <v>1021445.9281914893</v>
      </c>
      <c r="E38" s="88">
        <f>Honey!D26</f>
        <v>1021445.9281914893</v>
      </c>
      <c r="F38" s="88">
        <f>Honey!E26</f>
        <v>1021445.9281914893</v>
      </c>
      <c r="G38" s="88">
        <f>Honey!F26</f>
        <v>1021445.9281914893</v>
      </c>
      <c r="H38" s="173">
        <f>Honey!G26</f>
        <v>1021445.9281914893</v>
      </c>
      <c r="I38" s="88">
        <f>Honey!H26</f>
        <v>1021445.9281914893</v>
      </c>
      <c r="J38" s="88">
        <f>Honey!I26</f>
        <v>1021445.9281914893</v>
      </c>
      <c r="K38" s="88">
        <f>Honey!J26</f>
        <v>1021445.9281914893</v>
      </c>
      <c r="L38" s="175">
        <f>Honey!K26</f>
        <v>1021445.9281914893</v>
      </c>
      <c r="M38" s="88">
        <f>Honey!L26</f>
        <v>1021445.9281914893</v>
      </c>
      <c r="N38" s="88">
        <f>Honey!M26</f>
        <v>1021445.9281914893</v>
      </c>
      <c r="O38" s="88">
        <f>Honey!N26</f>
        <v>1021445.9281914893</v>
      </c>
      <c r="P38" s="88">
        <f>Honey!O26</f>
        <v>1021445.9281914893</v>
      </c>
      <c r="Q38" s="168">
        <f>Honey!P26</f>
        <v>1021445.9281914893</v>
      </c>
    </row>
    <row r="39" spans="2:17" ht="12.75">
      <c r="B39" s="167" t="s">
        <v>114</v>
      </c>
      <c r="C39" s="88">
        <f>'Geo Specialty Tea'!B28</f>
        <v>-575000</v>
      </c>
      <c r="D39" s="88">
        <f>'Geo Specialty Tea'!C28</f>
        <v>951271.8539893618</v>
      </c>
      <c r="E39" s="88">
        <f>'Geo Specialty Tea'!D28</f>
        <v>951271.8539893618</v>
      </c>
      <c r="F39" s="88">
        <f>'Geo Specialty Tea'!E28</f>
        <v>951271.8539893618</v>
      </c>
      <c r="G39" s="88">
        <f>'Geo Specialty Tea'!F28</f>
        <v>951271.8539893618</v>
      </c>
      <c r="H39" s="173">
        <f>'Geo Specialty Tea'!G28</f>
        <v>951271.8539893618</v>
      </c>
      <c r="I39" s="88">
        <f>'Geo Specialty Tea'!H28</f>
        <v>951271.8539893618</v>
      </c>
      <c r="J39" s="88">
        <f>'Geo Specialty Tea'!I28</f>
        <v>951271.8539893618</v>
      </c>
      <c r="K39" s="88">
        <f>'Geo Specialty Tea'!J28</f>
        <v>951271.8539893618</v>
      </c>
      <c r="L39" s="175">
        <f>'Geo Specialty Tea'!K28</f>
        <v>951271.8539893618</v>
      </c>
      <c r="M39" s="88">
        <f>'Geo Specialty Tea'!L28</f>
        <v>951271.8539893618</v>
      </c>
      <c r="N39" s="88">
        <f>'Geo Specialty Tea'!M28</f>
        <v>951271.8539893618</v>
      </c>
      <c r="O39" s="88">
        <f>'Geo Specialty Tea'!N28</f>
        <v>951271.8539893618</v>
      </c>
      <c r="P39" s="88">
        <f>'Geo Specialty Tea'!O28</f>
        <v>951271.8539893618</v>
      </c>
      <c r="Q39" s="168">
        <f>'Geo Specialty Tea'!P28</f>
        <v>951271.8539893618</v>
      </c>
    </row>
    <row r="40" spans="2:17" ht="12.75">
      <c r="B40" s="167" t="s">
        <v>115</v>
      </c>
      <c r="C40" s="88">
        <f>'Apple juice conc. - Kaspi'!B26</f>
        <v>-480000</v>
      </c>
      <c r="D40" s="88">
        <f>'Apple juice conc. - Kaspi'!C26</f>
        <v>534138.2469236493</v>
      </c>
      <c r="E40" s="88">
        <f>'Apple juice conc. - Kaspi'!D26</f>
        <v>534138.2469236493</v>
      </c>
      <c r="F40" s="88">
        <f>'Apple juice conc. - Kaspi'!E26</f>
        <v>534138.2469236493</v>
      </c>
      <c r="G40" s="88">
        <f>'Apple juice conc. - Kaspi'!F26</f>
        <v>534138.2469236493</v>
      </c>
      <c r="H40" s="173">
        <f>'Apple juice conc. - Kaspi'!G26</f>
        <v>534138.2469236493</v>
      </c>
      <c r="I40" s="88">
        <f>'Apple juice conc. - Kaspi'!H26</f>
        <v>534138.2469236493</v>
      </c>
      <c r="J40" s="88">
        <f>'Apple juice conc. - Kaspi'!I26</f>
        <v>534138.2469236493</v>
      </c>
      <c r="K40" s="88">
        <f>'Apple juice conc. - Kaspi'!J26</f>
        <v>534138.2469236493</v>
      </c>
      <c r="L40" s="175">
        <f>'Apple juice conc. - Kaspi'!K26</f>
        <v>534138.2469236493</v>
      </c>
      <c r="M40" s="88">
        <f>'Apple juice conc. - Kaspi'!L26</f>
        <v>534138.2469236493</v>
      </c>
      <c r="N40" s="88">
        <f>'Apple juice conc. - Kaspi'!M26</f>
        <v>534138.2469236493</v>
      </c>
      <c r="O40" s="88">
        <f>'Apple juice conc. - Kaspi'!N26</f>
        <v>534138.2469236493</v>
      </c>
      <c r="P40" s="88">
        <f>'Apple juice conc. - Kaspi'!O26</f>
        <v>534138.2469236493</v>
      </c>
      <c r="Q40" s="168">
        <f>'Apple juice conc. - Kaspi'!P26</f>
        <v>534138.2469236493</v>
      </c>
    </row>
    <row r="41" spans="2:17" ht="12.75">
      <c r="B41" s="167" t="s">
        <v>36</v>
      </c>
      <c r="C41" s="88">
        <f>'Kobuleti Tourist Centre'!B26</f>
        <v>-5000000</v>
      </c>
      <c r="D41" s="88">
        <f>'Kobuleti Tourist Centre'!C26</f>
        <v>165473.42553191487</v>
      </c>
      <c r="E41" s="88">
        <f>'Kobuleti Tourist Centre'!D26</f>
        <v>3005473.425531915</v>
      </c>
      <c r="F41" s="88">
        <f>'Kobuleti Tourist Centre'!E26</f>
        <v>3005473.425531915</v>
      </c>
      <c r="G41" s="88">
        <f>'Kobuleti Tourist Centre'!F26</f>
        <v>3005473.425531915</v>
      </c>
      <c r="H41" s="173">
        <f>'Kobuleti Tourist Centre'!G26</f>
        <v>3005473.425531915</v>
      </c>
      <c r="I41" s="88">
        <f>'Kobuleti Tourist Centre'!H26</f>
        <v>3005473.425531915</v>
      </c>
      <c r="J41" s="88">
        <f>'Kobuleti Tourist Centre'!I26</f>
        <v>3005473.425531915</v>
      </c>
      <c r="K41" s="88">
        <f>'Kobuleti Tourist Centre'!J26</f>
        <v>3005473.425531915</v>
      </c>
      <c r="L41" s="175">
        <f>'Kobuleti Tourist Centre'!K26</f>
        <v>3005473.425531915</v>
      </c>
      <c r="M41" s="88">
        <f>'Kobuleti Tourist Centre'!L26</f>
        <v>3005473.425531915</v>
      </c>
      <c r="N41" s="88">
        <f>'Kobuleti Tourist Centre'!M26</f>
        <v>3005473.425531915</v>
      </c>
      <c r="O41" s="88">
        <f>'Kobuleti Tourist Centre'!N26</f>
        <v>3005473.425531915</v>
      </c>
      <c r="P41" s="88">
        <f>'Kobuleti Tourist Centre'!O26</f>
        <v>3005473.425531915</v>
      </c>
      <c r="Q41" s="168">
        <f>'Kobuleti Tourist Centre'!P26</f>
        <v>3005473.425531915</v>
      </c>
    </row>
    <row r="42" spans="2:17" ht="12.75">
      <c r="B42" s="167" t="s">
        <v>116</v>
      </c>
      <c r="C42" s="88">
        <f>'Clean Citrus Prod''s'!B26</f>
        <v>-2500000</v>
      </c>
      <c r="D42" s="88">
        <f>'Clean Citrus Prod''s'!C26</f>
        <v>2063890.679755945</v>
      </c>
      <c r="E42" s="88">
        <f>'Clean Citrus Prod''s'!D26</f>
        <v>2063890.679755945</v>
      </c>
      <c r="F42" s="88">
        <f>'Clean Citrus Prod''s'!E26</f>
        <v>2063890.679755945</v>
      </c>
      <c r="G42" s="88">
        <f>'Clean Citrus Prod''s'!F26</f>
        <v>2063890.679755945</v>
      </c>
      <c r="H42" s="173">
        <f>'Clean Citrus Prod''s'!G26</f>
        <v>2063890.679755945</v>
      </c>
      <c r="I42" s="88">
        <f>'Clean Citrus Prod''s'!H26</f>
        <v>2063890.679755945</v>
      </c>
      <c r="J42" s="88">
        <f>'Clean Citrus Prod''s'!I26</f>
        <v>2063890.679755945</v>
      </c>
      <c r="K42" s="88">
        <f>'Clean Citrus Prod''s'!J26</f>
        <v>2063890.679755945</v>
      </c>
      <c r="L42" s="175">
        <f>'Clean Citrus Prod''s'!K26</f>
        <v>2063890.679755945</v>
      </c>
      <c r="M42" s="88">
        <f>'Clean Citrus Prod''s'!L26</f>
        <v>2063890.679755945</v>
      </c>
      <c r="N42" s="88">
        <f>'Clean Citrus Prod''s'!M26</f>
        <v>2063890.679755945</v>
      </c>
      <c r="O42" s="88">
        <f>'Clean Citrus Prod''s'!N26</f>
        <v>2063890.679755945</v>
      </c>
      <c r="P42" s="88">
        <f>'Clean Citrus Prod''s'!O26</f>
        <v>2063890.679755945</v>
      </c>
      <c r="Q42" s="168">
        <f>'Clean Citrus Prod''s'!P26</f>
        <v>2063890.679755945</v>
      </c>
    </row>
    <row r="43" spans="2:17" ht="12.75">
      <c r="B43" s="167" t="s">
        <v>42</v>
      </c>
      <c r="C43" s="88">
        <f>'Sunflower seed oil'!B26</f>
        <v>-4680000</v>
      </c>
      <c r="D43" s="88">
        <f>'Sunflower seed oil'!C26</f>
        <v>1411372.0958229036</v>
      </c>
      <c r="E43" s="88">
        <f>'Sunflower seed oil'!D26</f>
        <v>1411372.0958229036</v>
      </c>
      <c r="F43" s="88">
        <f>'Sunflower seed oil'!E26</f>
        <v>1411372.0958229036</v>
      </c>
      <c r="G43" s="88">
        <f>'Sunflower seed oil'!F26</f>
        <v>1411372.0958229036</v>
      </c>
      <c r="H43" s="173">
        <f>'Sunflower seed oil'!G26</f>
        <v>1411372.0958229036</v>
      </c>
      <c r="I43" s="88">
        <f>'Sunflower seed oil'!H26</f>
        <v>1411372.0958229036</v>
      </c>
      <c r="J43" s="88">
        <f>'Sunflower seed oil'!I26</f>
        <v>1411372.0958229036</v>
      </c>
      <c r="K43" s="88">
        <f>'Sunflower seed oil'!J26</f>
        <v>1411372.0958229036</v>
      </c>
      <c r="L43" s="175">
        <f>'Sunflower seed oil'!K26</f>
        <v>1411372.0958229036</v>
      </c>
      <c r="M43" s="88">
        <f>'Sunflower seed oil'!L26</f>
        <v>1411372.0958229036</v>
      </c>
      <c r="N43" s="88">
        <f>'Sunflower seed oil'!M26</f>
        <v>1411372.0958229036</v>
      </c>
      <c r="O43" s="88">
        <f>'Sunflower seed oil'!N26</f>
        <v>1411372.0958229036</v>
      </c>
      <c r="P43" s="88">
        <f>'Sunflower seed oil'!O26</f>
        <v>1411372.0958229036</v>
      </c>
      <c r="Q43" s="168">
        <f>'Sunflower seed oil'!P26</f>
        <v>1411372.0958229036</v>
      </c>
    </row>
    <row r="44" spans="2:17" ht="12.75">
      <c r="B44" s="167" t="s">
        <v>117</v>
      </c>
      <c r="C44" s="88">
        <f>'High qual greens'!B26</f>
        <v>-10551000</v>
      </c>
      <c r="D44" s="88">
        <f>'High qual greens'!C26</f>
        <v>8548033.661921151</v>
      </c>
      <c r="E44" s="88">
        <f>'High qual greens'!D26</f>
        <v>8548033.661921151</v>
      </c>
      <c r="F44" s="88">
        <f>'High qual greens'!E26</f>
        <v>8548033.661921151</v>
      </c>
      <c r="G44" s="88">
        <f>'High qual greens'!F26</f>
        <v>8548033.661921151</v>
      </c>
      <c r="H44" s="173">
        <f>'High qual greens'!G26</f>
        <v>8548033.661921151</v>
      </c>
      <c r="I44" s="88">
        <f>'High qual greens'!H26</f>
        <v>8548033.661921151</v>
      </c>
      <c r="J44" s="88">
        <f>'High qual greens'!I26</f>
        <v>8548033.661921151</v>
      </c>
      <c r="K44" s="88">
        <f>'High qual greens'!J26</f>
        <v>8548033.661921151</v>
      </c>
      <c r="L44" s="175">
        <f>'High qual greens'!K26</f>
        <v>8548033.661921151</v>
      </c>
      <c r="M44" s="88">
        <f>'High qual greens'!L26</f>
        <v>8548033.661921151</v>
      </c>
      <c r="N44" s="88">
        <f>'High qual greens'!M26</f>
        <v>8548033.661921151</v>
      </c>
      <c r="O44" s="88">
        <f>'High qual greens'!N26</f>
        <v>8548033.661921151</v>
      </c>
      <c r="P44" s="88">
        <f>'High qual greens'!O26</f>
        <v>8548033.661921151</v>
      </c>
      <c r="Q44" s="168">
        <f>'High qual greens'!P26</f>
        <v>8548033.661921151</v>
      </c>
    </row>
    <row r="45" spans="2:17" ht="12.75">
      <c r="B45" s="167" t="s">
        <v>47</v>
      </c>
      <c r="C45" s="88">
        <f>'Geo Stevia'!B26</f>
        <v>-2480000</v>
      </c>
      <c r="D45" s="88">
        <f>'Geo Stevia'!C26</f>
        <v>8053375.812578223</v>
      </c>
      <c r="E45" s="88">
        <f>'Geo Stevia'!D26</f>
        <v>8053375.812578223</v>
      </c>
      <c r="F45" s="88">
        <f>'Geo Stevia'!E26</f>
        <v>8053375.812578223</v>
      </c>
      <c r="G45" s="88">
        <f>'Geo Stevia'!F26</f>
        <v>8053375.812578223</v>
      </c>
      <c r="H45" s="173">
        <f>'Geo Stevia'!G26</f>
        <v>8053375.812578223</v>
      </c>
      <c r="I45" s="88">
        <f>'Geo Stevia'!H26</f>
        <v>8053375.812578223</v>
      </c>
      <c r="J45" s="88">
        <f>'Geo Stevia'!I26</f>
        <v>8053375.812578223</v>
      </c>
      <c r="K45" s="88">
        <f>'Geo Stevia'!J26</f>
        <v>8053375.812578223</v>
      </c>
      <c r="L45" s="175">
        <f>'Geo Stevia'!K26</f>
        <v>8053375.812578223</v>
      </c>
      <c r="M45" s="88">
        <f>'Geo Stevia'!L26</f>
        <v>8053375.812578223</v>
      </c>
      <c r="N45" s="88">
        <f>'Geo Stevia'!M26</f>
        <v>8053375.812578223</v>
      </c>
      <c r="O45" s="88">
        <f>'Geo Stevia'!N26</f>
        <v>8053375.812578223</v>
      </c>
      <c r="P45" s="88">
        <f>'Geo Stevia'!O26</f>
        <v>8053375.812578223</v>
      </c>
      <c r="Q45" s="168">
        <f>'Geo Stevia'!P26</f>
        <v>8053375.812578223</v>
      </c>
    </row>
    <row r="46" spans="2:17" ht="12.75">
      <c r="B46" s="167" t="s">
        <v>118</v>
      </c>
      <c r="C46" s="88">
        <f>'Tomato prod''s'!B26</f>
        <v>-3545000</v>
      </c>
      <c r="D46" s="88">
        <f>'Tomato prod''s'!C26</f>
        <v>1684648.4015957448</v>
      </c>
      <c r="E46" s="88">
        <f>'Tomato prod''s'!D26</f>
        <v>1534648.4015957448</v>
      </c>
      <c r="F46" s="88">
        <f>'Tomato prod''s'!E26</f>
        <v>1534648.4015957448</v>
      </c>
      <c r="G46" s="88">
        <f>'Tomato prod''s'!F26</f>
        <v>1534648.4015957448</v>
      </c>
      <c r="H46" s="173">
        <f>'Tomato prod''s'!G26</f>
        <v>1534648.4015957448</v>
      </c>
      <c r="I46" s="88">
        <f>'Tomato prod''s'!H26</f>
        <v>1534648.4015957448</v>
      </c>
      <c r="J46" s="88">
        <f>'Tomato prod''s'!I26</f>
        <v>1534648.4015957448</v>
      </c>
      <c r="K46" s="88">
        <f>'Tomato prod''s'!J26</f>
        <v>1534648.4015957448</v>
      </c>
      <c r="L46" s="175">
        <f>'Tomato prod''s'!K26</f>
        <v>1534648.4015957448</v>
      </c>
      <c r="M46" s="88">
        <f>'Tomato prod''s'!L26</f>
        <v>1534648.4015957448</v>
      </c>
      <c r="N46" s="88">
        <f>'Tomato prod''s'!M26</f>
        <v>1534648.4015957448</v>
      </c>
      <c r="O46" s="88">
        <f>'Tomato prod''s'!N26</f>
        <v>1534648.4015957448</v>
      </c>
      <c r="P46" s="88">
        <f>'Tomato prod''s'!O26</f>
        <v>1534648.4015957448</v>
      </c>
      <c r="Q46" s="168">
        <f>'Tomato prod''s'!P26</f>
        <v>1534648.4015957448</v>
      </c>
    </row>
    <row r="47" spans="2:17" ht="13.5" thickBot="1">
      <c r="B47" s="169" t="s">
        <v>119</v>
      </c>
      <c r="C47" s="89">
        <f>Nabeghlavi!B8</f>
        <v>0</v>
      </c>
      <c r="D47" s="24">
        <f>Nabeghlavi!C8</f>
        <v>0</v>
      </c>
      <c r="E47" s="24">
        <f>Nabeghlavi!D8</f>
        <v>0</v>
      </c>
      <c r="F47" s="24">
        <f>Nabeghlavi!E8</f>
        <v>0</v>
      </c>
      <c r="G47" s="24">
        <f>Nabeghlavi!F8</f>
        <v>0</v>
      </c>
      <c r="H47" s="89">
        <f>Nabeghlavi!G8</f>
        <v>0</v>
      </c>
      <c r="I47" s="24">
        <f>Nabeghlavi!H8</f>
        <v>0</v>
      </c>
      <c r="J47" s="24">
        <f>Nabeghlavi!I8</f>
        <v>0</v>
      </c>
      <c r="K47" s="24">
        <f>Nabeghlavi!J8</f>
        <v>0</v>
      </c>
      <c r="L47" s="176">
        <f>Nabeghlavi!K8</f>
        <v>0</v>
      </c>
      <c r="M47" s="24">
        <f>Nabeghlavi!L8</f>
        <v>0</v>
      </c>
      <c r="N47" s="24">
        <f>Nabeghlavi!M8</f>
        <v>0</v>
      </c>
      <c r="O47" s="24">
        <f>Nabeghlavi!N8</f>
        <v>0</v>
      </c>
      <c r="P47" s="24">
        <f>Nabeghlavi!O8</f>
        <v>0</v>
      </c>
      <c r="Q47" s="48">
        <f>Nabeghlavi!P8</f>
        <v>0</v>
      </c>
    </row>
    <row r="48" spans="2:17" ht="13.5" thickBot="1">
      <c r="B48" s="170" t="s">
        <v>204</v>
      </c>
      <c r="C48" s="177">
        <f>SUM(C35:C47)</f>
        <v>-37311000</v>
      </c>
      <c r="D48" s="177">
        <f aca="true" t="shared" si="5" ref="D48:Q48">SUM(D35:D47)</f>
        <v>27477858.42446198</v>
      </c>
      <c r="E48" s="177">
        <f t="shared" si="5"/>
        <v>30167858.42446198</v>
      </c>
      <c r="F48" s="177">
        <f t="shared" si="5"/>
        <v>30167858.42446198</v>
      </c>
      <c r="G48" s="177">
        <f t="shared" si="5"/>
        <v>30167858.42446198</v>
      </c>
      <c r="H48" s="177">
        <f t="shared" si="5"/>
        <v>30167858.42446198</v>
      </c>
      <c r="I48" s="177">
        <f t="shared" si="5"/>
        <v>30167858.42446198</v>
      </c>
      <c r="J48" s="177">
        <f t="shared" si="5"/>
        <v>30167858.42446198</v>
      </c>
      <c r="K48" s="177">
        <f t="shared" si="5"/>
        <v>30167858.42446198</v>
      </c>
      <c r="L48" s="177">
        <f t="shared" si="5"/>
        <v>30167858.42446198</v>
      </c>
      <c r="M48" s="177">
        <f t="shared" si="5"/>
        <v>30167858.42446198</v>
      </c>
      <c r="N48" s="177">
        <f t="shared" si="5"/>
        <v>30167858.42446198</v>
      </c>
      <c r="O48" s="177">
        <f t="shared" si="5"/>
        <v>30167858.42446198</v>
      </c>
      <c r="P48" s="177">
        <f t="shared" si="5"/>
        <v>30167858.42446198</v>
      </c>
      <c r="Q48" s="178">
        <f t="shared" si="5"/>
        <v>30167858.42446198</v>
      </c>
    </row>
  </sheetData>
  <mergeCells count="1">
    <mergeCell ref="A1:F1"/>
  </mergeCells>
  <conditionalFormatting sqref="A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landscape" r:id="rId1"/>
  <ignoredErrors>
    <ignoredError sqref="D2:G2" numberStoredAsText="1"/>
  </ignoredErrors>
</worksheet>
</file>

<file path=xl/worksheets/sheet6.xml><?xml version="1.0" encoding="utf-8"?>
<worksheet xmlns="http://schemas.openxmlformats.org/spreadsheetml/2006/main" xmlns:r="http://schemas.openxmlformats.org/officeDocument/2006/relationships">
  <sheetPr codeName="Sheet5"/>
  <dimension ref="A1:P38"/>
  <sheetViews>
    <sheetView zoomScale="85" zoomScaleNormal="85" workbookViewId="0" topLeftCell="A1">
      <selection activeCell="A2" sqref="A2"/>
    </sheetView>
  </sheetViews>
  <sheetFormatPr defaultColWidth="9.140625" defaultRowHeight="12.75"/>
  <cols>
    <col min="1" max="1" width="16.7109375" style="0" bestFit="1" customWidth="1"/>
    <col min="2" max="2" width="10.8515625" style="0" bestFit="1" customWidth="1"/>
    <col min="3" max="3" width="12.7109375" style="0" customWidth="1"/>
    <col min="4" max="4" width="9.8515625" style="0" bestFit="1" customWidth="1"/>
    <col min="5" max="5" width="12.140625" style="0" bestFit="1" customWidth="1"/>
    <col min="6" max="6" width="11.57421875" style="0" bestFit="1" customWidth="1"/>
    <col min="7" max="8" width="9.28125" style="0"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s>
  <sheetData>
    <row r="1" spans="1:10" ht="12.75">
      <c r="A1" t="s">
        <v>149</v>
      </c>
      <c r="G1" s="198" t="s">
        <v>9</v>
      </c>
      <c r="H1" s="198"/>
      <c r="I1" s="198"/>
      <c r="J1" s="198"/>
    </row>
    <row r="2" spans="2:14" s="3" customFormat="1" ht="12.75">
      <c r="B2" s="3" t="s">
        <v>4</v>
      </c>
      <c r="C2" s="3" t="s">
        <v>5</v>
      </c>
      <c r="D2" s="3" t="s">
        <v>6</v>
      </c>
      <c r="E2" s="3" t="s">
        <v>7</v>
      </c>
      <c r="F2" s="3" t="s">
        <v>28</v>
      </c>
      <c r="G2" s="3" t="s">
        <v>10</v>
      </c>
      <c r="H2" s="3" t="s">
        <v>11</v>
      </c>
      <c r="I2" s="3" t="s">
        <v>14</v>
      </c>
      <c r="J2" s="3" t="s">
        <v>15</v>
      </c>
      <c r="K2" s="3" t="s">
        <v>12</v>
      </c>
      <c r="L2" s="3" t="s">
        <v>13</v>
      </c>
      <c r="M2" s="3" t="s">
        <v>16</v>
      </c>
      <c r="N2" s="3" t="s">
        <v>18</v>
      </c>
    </row>
    <row r="3" spans="14:15" ht="12.75">
      <c r="N3">
        <v>450</v>
      </c>
      <c r="O3" t="s">
        <v>20</v>
      </c>
    </row>
    <row r="4" spans="2:15" ht="12.75">
      <c r="B4" t="s">
        <v>17</v>
      </c>
      <c r="C4" s="4">
        <v>0.46</v>
      </c>
      <c r="D4" s="5">
        <f>2000000*D11</f>
        <v>2000000</v>
      </c>
      <c r="E4" s="5">
        <f>925000*J11</f>
        <v>925000</v>
      </c>
      <c r="G4">
        <v>6</v>
      </c>
      <c r="H4">
        <v>30</v>
      </c>
      <c r="I4" s="5">
        <f>600*12*J11</f>
        <v>7200</v>
      </c>
      <c r="J4" s="5">
        <f>150*12*J11</f>
        <v>1800</v>
      </c>
      <c r="K4">
        <v>600</v>
      </c>
      <c r="L4" s="5">
        <f>1000*'Key assumptions'!C23*J11</f>
        <v>150</v>
      </c>
      <c r="M4" s="5">
        <f>70000*J11</f>
        <v>70000</v>
      </c>
      <c r="N4" s="4">
        <v>0.65</v>
      </c>
      <c r="O4" t="s">
        <v>21</v>
      </c>
    </row>
    <row r="5" spans="9:15" ht="12.75">
      <c r="I5" s="10">
        <f>(I4/12-'Key assumptions'!H16/'Key assumptions'!C3)*12</f>
        <v>4676.90744680851</v>
      </c>
      <c r="J5" s="10">
        <f>(J4/12-'Key assumptions'!G7/'Key assumptions'!C3)*12</f>
        <v>1010.2787234042553</v>
      </c>
      <c r="L5" s="10">
        <f>(L4/C8-'Key assumptions'!H25/'Key assumptions'!C3)*C8</f>
        <v>113.59739361702127</v>
      </c>
      <c r="N5">
        <f>N3*(1-N4)</f>
        <v>157.5</v>
      </c>
      <c r="O5" t="s">
        <v>22</v>
      </c>
    </row>
    <row r="6" spans="1:15" ht="12.75">
      <c r="A6" t="s">
        <v>19</v>
      </c>
      <c r="N6">
        <f>N5*1000/K4</f>
        <v>262.5</v>
      </c>
      <c r="O6" t="s">
        <v>23</v>
      </c>
    </row>
    <row r="8" spans="1:4" ht="12.75">
      <c r="A8" t="s">
        <v>122</v>
      </c>
      <c r="C8" s="7">
        <v>12</v>
      </c>
      <c r="D8" t="s">
        <v>123</v>
      </c>
    </row>
    <row r="10" spans="1:10" ht="12.75">
      <c r="A10" s="120" t="s">
        <v>224</v>
      </c>
      <c r="B10" s="121"/>
      <c r="C10" s="121"/>
      <c r="D10" s="122"/>
      <c r="F10" s="120" t="s">
        <v>225</v>
      </c>
      <c r="G10" s="121"/>
      <c r="H10" s="121"/>
      <c r="I10" s="121"/>
      <c r="J10" s="122"/>
    </row>
    <row r="11" spans="1:10" ht="12.75">
      <c r="A11" s="123" t="s">
        <v>214</v>
      </c>
      <c r="B11" s="3"/>
      <c r="C11" s="3"/>
      <c r="D11" s="124">
        <f>'ERR &amp; Sensitivity Analysis'!$G$10</f>
        <v>1</v>
      </c>
      <c r="F11" s="123" t="s">
        <v>216</v>
      </c>
      <c r="G11" s="3"/>
      <c r="H11" s="3"/>
      <c r="I11" s="3"/>
      <c r="J11" s="124">
        <f>'ERR &amp; Sensitivity Analysis'!$G$11</f>
        <v>1</v>
      </c>
    </row>
    <row r="15" spans="1:16" ht="12.75">
      <c r="A15" s="2"/>
      <c r="B15" s="128">
        <v>2006</v>
      </c>
      <c r="C15" s="128">
        <v>2007</v>
      </c>
      <c r="D15" s="128">
        <v>2008</v>
      </c>
      <c r="E15" s="128">
        <v>2009</v>
      </c>
      <c r="F15" s="128">
        <v>2010</v>
      </c>
      <c r="G15" s="128">
        <v>2011</v>
      </c>
      <c r="H15" s="128">
        <v>2012</v>
      </c>
      <c r="I15" s="128">
        <v>2013</v>
      </c>
      <c r="J15" s="128">
        <v>2014</v>
      </c>
      <c r="K15" s="128">
        <v>2015</v>
      </c>
      <c r="L15" s="128">
        <v>2016</v>
      </c>
      <c r="M15" s="128">
        <v>2017</v>
      </c>
      <c r="N15" s="128">
        <v>2018</v>
      </c>
      <c r="O15" s="128">
        <v>2019</v>
      </c>
      <c r="P15" s="128">
        <v>2020</v>
      </c>
    </row>
    <row r="17" spans="1:2" ht="12.75">
      <c r="A17" t="s">
        <v>6</v>
      </c>
      <c r="B17" s="5">
        <f>-D4*D11</f>
        <v>-2000000</v>
      </c>
    </row>
    <row r="18" spans="1:16" ht="12.75">
      <c r="A18" s="3" t="s">
        <v>7</v>
      </c>
      <c r="B18" s="8"/>
      <c r="C18" s="8">
        <f>$E$4</f>
        <v>925000</v>
      </c>
      <c r="D18" s="8">
        <f aca="true" t="shared" si="0" ref="D18:P18">$E$4</f>
        <v>925000</v>
      </c>
      <c r="E18" s="8">
        <f t="shared" si="0"/>
        <v>925000</v>
      </c>
      <c r="F18" s="8">
        <f t="shared" si="0"/>
        <v>925000</v>
      </c>
      <c r="G18" s="8">
        <f t="shared" si="0"/>
        <v>925000</v>
      </c>
      <c r="H18" s="8">
        <f t="shared" si="0"/>
        <v>925000</v>
      </c>
      <c r="I18" s="8">
        <f t="shared" si="0"/>
        <v>925000</v>
      </c>
      <c r="J18" s="8">
        <f t="shared" si="0"/>
        <v>925000</v>
      </c>
      <c r="K18" s="8">
        <f t="shared" si="0"/>
        <v>925000</v>
      </c>
      <c r="L18" s="8">
        <f t="shared" si="0"/>
        <v>925000</v>
      </c>
      <c r="M18" s="8">
        <f t="shared" si="0"/>
        <v>925000</v>
      </c>
      <c r="N18" s="8">
        <f t="shared" si="0"/>
        <v>925000</v>
      </c>
      <c r="O18" s="8">
        <f t="shared" si="0"/>
        <v>925000</v>
      </c>
      <c r="P18" s="8">
        <f t="shared" si="0"/>
        <v>925000</v>
      </c>
    </row>
    <row r="19" spans="1:16" ht="12.75">
      <c r="A19" t="s">
        <v>94</v>
      </c>
      <c r="B19" s="5">
        <f>SUM(B17:B18)</f>
        <v>-2000000</v>
      </c>
      <c r="C19" s="5">
        <f aca="true" t="shared" si="1" ref="C19:P19">SUM(C17:C18)</f>
        <v>925000</v>
      </c>
      <c r="D19" s="5">
        <f t="shared" si="1"/>
        <v>925000</v>
      </c>
      <c r="E19" s="5">
        <f t="shared" si="1"/>
        <v>925000</v>
      </c>
      <c r="F19" s="5">
        <f t="shared" si="1"/>
        <v>925000</v>
      </c>
      <c r="G19" s="5">
        <f t="shared" si="1"/>
        <v>925000</v>
      </c>
      <c r="H19" s="5">
        <f t="shared" si="1"/>
        <v>925000</v>
      </c>
      <c r="I19" s="5">
        <f t="shared" si="1"/>
        <v>925000</v>
      </c>
      <c r="J19" s="5">
        <f t="shared" si="1"/>
        <v>925000</v>
      </c>
      <c r="K19" s="5">
        <f t="shared" si="1"/>
        <v>925000</v>
      </c>
      <c r="L19" s="5">
        <f t="shared" si="1"/>
        <v>925000</v>
      </c>
      <c r="M19" s="5">
        <f t="shared" si="1"/>
        <v>925000</v>
      </c>
      <c r="N19" s="5">
        <f t="shared" si="1"/>
        <v>925000</v>
      </c>
      <c r="O19" s="5">
        <f t="shared" si="1"/>
        <v>925000</v>
      </c>
      <c r="P19" s="5">
        <f t="shared" si="1"/>
        <v>925000</v>
      </c>
    </row>
    <row r="20" ht="13.5" thickBot="1"/>
    <row r="21" spans="1:2" ht="13.5" thickBot="1">
      <c r="A21" s="18" t="s">
        <v>95</v>
      </c>
      <c r="B21" s="127">
        <f>IRR(B19:P19)</f>
        <v>0.46019125845162606</v>
      </c>
    </row>
    <row r="23" spans="1:16" s="5" customFormat="1" ht="12.75">
      <c r="A23" s="5" t="s">
        <v>103</v>
      </c>
      <c r="C23" s="5">
        <f>$I$5*$G$4+$J$5*$H$4</f>
        <v>58369.80638297872</v>
      </c>
      <c r="D23" s="5">
        <f aca="true" t="shared" si="2" ref="D23:P23">$I$5*$G$4+$J$5*$H$4</f>
        <v>58369.80638297872</v>
      </c>
      <c r="E23" s="5">
        <f t="shared" si="2"/>
        <v>58369.80638297872</v>
      </c>
      <c r="F23" s="5">
        <f t="shared" si="2"/>
        <v>58369.80638297872</v>
      </c>
      <c r="G23" s="5">
        <f t="shared" si="2"/>
        <v>58369.80638297872</v>
      </c>
      <c r="H23" s="5">
        <f t="shared" si="2"/>
        <v>58369.80638297872</v>
      </c>
      <c r="I23" s="5">
        <f t="shared" si="2"/>
        <v>58369.80638297872</v>
      </c>
      <c r="J23" s="5">
        <f t="shared" si="2"/>
        <v>58369.80638297872</v>
      </c>
      <c r="K23" s="5">
        <f t="shared" si="2"/>
        <v>58369.80638297872</v>
      </c>
      <c r="L23" s="5">
        <f t="shared" si="2"/>
        <v>58369.80638297872</v>
      </c>
      <c r="M23" s="5">
        <f t="shared" si="2"/>
        <v>58369.80638297872</v>
      </c>
      <c r="N23" s="5">
        <f t="shared" si="2"/>
        <v>58369.80638297872</v>
      </c>
      <c r="O23" s="5">
        <f t="shared" si="2"/>
        <v>58369.80638297872</v>
      </c>
      <c r="P23" s="5">
        <f t="shared" si="2"/>
        <v>58369.80638297872</v>
      </c>
    </row>
    <row r="24" spans="1:16" s="5" customFormat="1" ht="12.75">
      <c r="A24" s="5" t="s">
        <v>96</v>
      </c>
      <c r="C24" s="5">
        <f>$L$5*$K$4</f>
        <v>68158.43617021276</v>
      </c>
      <c r="D24" s="5">
        <f aca="true" t="shared" si="3" ref="D24:P24">$L$5*$K$4</f>
        <v>68158.43617021276</v>
      </c>
      <c r="E24" s="5">
        <f t="shared" si="3"/>
        <v>68158.43617021276</v>
      </c>
      <c r="F24" s="5">
        <f t="shared" si="3"/>
        <v>68158.43617021276</v>
      </c>
      <c r="G24" s="5">
        <f t="shared" si="3"/>
        <v>68158.43617021276</v>
      </c>
      <c r="H24" s="5">
        <f t="shared" si="3"/>
        <v>68158.43617021276</v>
      </c>
      <c r="I24" s="5">
        <f t="shared" si="3"/>
        <v>68158.43617021276</v>
      </c>
      <c r="J24" s="5">
        <f t="shared" si="3"/>
        <v>68158.43617021276</v>
      </c>
      <c r="K24" s="5">
        <f t="shared" si="3"/>
        <v>68158.43617021276</v>
      </c>
      <c r="L24" s="5">
        <f t="shared" si="3"/>
        <v>68158.43617021276</v>
      </c>
      <c r="M24" s="5">
        <f t="shared" si="3"/>
        <v>68158.43617021276</v>
      </c>
      <c r="N24" s="5">
        <f t="shared" si="3"/>
        <v>68158.43617021276</v>
      </c>
      <c r="O24" s="5">
        <f t="shared" si="3"/>
        <v>68158.43617021276</v>
      </c>
      <c r="P24" s="5">
        <f t="shared" si="3"/>
        <v>68158.43617021276</v>
      </c>
    </row>
    <row r="25" spans="1:16" s="8" customFormat="1" ht="12.75">
      <c r="A25" s="8" t="s">
        <v>97</v>
      </c>
      <c r="C25" s="8">
        <f>$M$4</f>
        <v>70000</v>
      </c>
      <c r="D25" s="8">
        <f aca="true" t="shared" si="4" ref="D25:P25">$M$4</f>
        <v>70000</v>
      </c>
      <c r="E25" s="8">
        <f t="shared" si="4"/>
        <v>70000</v>
      </c>
      <c r="F25" s="8">
        <f t="shared" si="4"/>
        <v>70000</v>
      </c>
      <c r="G25" s="8">
        <f t="shared" si="4"/>
        <v>70000</v>
      </c>
      <c r="H25" s="8">
        <f t="shared" si="4"/>
        <v>70000</v>
      </c>
      <c r="I25" s="8">
        <f t="shared" si="4"/>
        <v>70000</v>
      </c>
      <c r="J25" s="8">
        <f t="shared" si="4"/>
        <v>70000</v>
      </c>
      <c r="K25" s="8">
        <f t="shared" si="4"/>
        <v>70000</v>
      </c>
      <c r="L25" s="8">
        <f t="shared" si="4"/>
        <v>70000</v>
      </c>
      <c r="M25" s="8">
        <f t="shared" si="4"/>
        <v>70000</v>
      </c>
      <c r="N25" s="8">
        <f t="shared" si="4"/>
        <v>70000</v>
      </c>
      <c r="O25" s="8">
        <f t="shared" si="4"/>
        <v>70000</v>
      </c>
      <c r="P25" s="8">
        <f t="shared" si="4"/>
        <v>70000</v>
      </c>
    </row>
    <row r="26" spans="1:16" s="5" customFormat="1" ht="12.75">
      <c r="A26" s="21" t="s">
        <v>98</v>
      </c>
      <c r="B26" s="5">
        <f>B19</f>
        <v>-2000000</v>
      </c>
      <c r="C26" s="5">
        <f>C19+SUM(C23:C25)</f>
        <v>1121528.2425531915</v>
      </c>
      <c r="D26" s="5">
        <f aca="true" t="shared" si="5" ref="D26:P26">D19+SUM(D23:D25)</f>
        <v>1121528.2425531915</v>
      </c>
      <c r="E26" s="5">
        <f t="shared" si="5"/>
        <v>1121528.2425531915</v>
      </c>
      <c r="F26" s="5">
        <f t="shared" si="5"/>
        <v>1121528.2425531915</v>
      </c>
      <c r="G26" s="5">
        <f t="shared" si="5"/>
        <v>1121528.2425531915</v>
      </c>
      <c r="H26" s="5">
        <f t="shared" si="5"/>
        <v>1121528.2425531915</v>
      </c>
      <c r="I26" s="5">
        <f t="shared" si="5"/>
        <v>1121528.2425531915</v>
      </c>
      <c r="J26" s="5">
        <f t="shared" si="5"/>
        <v>1121528.2425531915</v>
      </c>
      <c r="K26" s="5">
        <f t="shared" si="5"/>
        <v>1121528.2425531915</v>
      </c>
      <c r="L26" s="5">
        <f t="shared" si="5"/>
        <v>1121528.2425531915</v>
      </c>
      <c r="M26" s="5">
        <f t="shared" si="5"/>
        <v>1121528.2425531915</v>
      </c>
      <c r="N26" s="5">
        <f t="shared" si="5"/>
        <v>1121528.2425531915</v>
      </c>
      <c r="O26" s="5">
        <f t="shared" si="5"/>
        <v>1121528.2425531915</v>
      </c>
      <c r="P26" s="5">
        <f t="shared" si="5"/>
        <v>1121528.2425531915</v>
      </c>
    </row>
    <row r="27" ht="13.5" thickBot="1"/>
    <row r="28" spans="1:2" ht="13.5" thickBot="1">
      <c r="A28" s="18" t="s">
        <v>147</v>
      </c>
      <c r="B28" s="129">
        <f>IRR(B26:P26)</f>
        <v>0.5596513785843144</v>
      </c>
    </row>
    <row r="29" spans="1:2" ht="12.75">
      <c r="A29" s="22"/>
      <c r="B29" s="23"/>
    </row>
    <row r="30" spans="1:16" ht="12.75">
      <c r="A30" t="s">
        <v>105</v>
      </c>
      <c r="B30" s="5">
        <f>B34</f>
        <v>-2000000</v>
      </c>
      <c r="C30" s="5">
        <f>C26-C24</f>
        <v>1053369.8063829788</v>
      </c>
      <c r="D30" s="5">
        <f aca="true" t="shared" si="6" ref="D30:P30">D26-D24</f>
        <v>1053369.8063829788</v>
      </c>
      <c r="E30" s="5">
        <f t="shared" si="6"/>
        <v>1053369.8063829788</v>
      </c>
      <c r="F30" s="5">
        <f t="shared" si="6"/>
        <v>1053369.8063829788</v>
      </c>
      <c r="G30" s="5">
        <f t="shared" si="6"/>
        <v>1053369.8063829788</v>
      </c>
      <c r="H30" s="5">
        <f t="shared" si="6"/>
        <v>1053369.8063829788</v>
      </c>
      <c r="I30" s="5">
        <f t="shared" si="6"/>
        <v>1053369.8063829788</v>
      </c>
      <c r="J30" s="5">
        <f t="shared" si="6"/>
        <v>1053369.8063829788</v>
      </c>
      <c r="K30" s="5">
        <f t="shared" si="6"/>
        <v>1053369.8063829788</v>
      </c>
      <c r="L30" s="5">
        <f t="shared" si="6"/>
        <v>1053369.8063829788</v>
      </c>
      <c r="M30" s="5">
        <f t="shared" si="6"/>
        <v>1053369.8063829788</v>
      </c>
      <c r="N30" s="5">
        <f t="shared" si="6"/>
        <v>1053369.8063829788</v>
      </c>
      <c r="O30" s="5">
        <f t="shared" si="6"/>
        <v>1053369.8063829788</v>
      </c>
      <c r="P30" s="5">
        <f t="shared" si="6"/>
        <v>1053369.8063829788</v>
      </c>
    </row>
    <row r="31" ht="13.5" thickBot="1"/>
    <row r="32" spans="1:2" ht="13.5" thickBot="1">
      <c r="A32" s="18" t="s">
        <v>106</v>
      </c>
      <c r="B32" s="19">
        <f>IRR(B30:P30)</f>
        <v>0.5252568343121774</v>
      </c>
    </row>
    <row r="34" spans="1:16" ht="12.75">
      <c r="A34" t="s">
        <v>104</v>
      </c>
      <c r="B34" s="5">
        <f>B26</f>
        <v>-2000000</v>
      </c>
      <c r="C34" s="5">
        <f>C26-C24-C25</f>
        <v>983369.8063829788</v>
      </c>
      <c r="D34" s="5">
        <f aca="true" t="shared" si="7" ref="D34:P34">D26-D24-D25</f>
        <v>983369.8063829788</v>
      </c>
      <c r="E34" s="5">
        <f t="shared" si="7"/>
        <v>983369.8063829788</v>
      </c>
      <c r="F34" s="5">
        <f t="shared" si="7"/>
        <v>983369.8063829788</v>
      </c>
      <c r="G34" s="5">
        <f t="shared" si="7"/>
        <v>983369.8063829788</v>
      </c>
      <c r="H34" s="5">
        <f t="shared" si="7"/>
        <v>983369.8063829788</v>
      </c>
      <c r="I34" s="5">
        <f t="shared" si="7"/>
        <v>983369.8063829788</v>
      </c>
      <c r="J34" s="5">
        <f t="shared" si="7"/>
        <v>983369.8063829788</v>
      </c>
      <c r="K34" s="5">
        <f t="shared" si="7"/>
        <v>983369.8063829788</v>
      </c>
      <c r="L34" s="5">
        <f t="shared" si="7"/>
        <v>983369.8063829788</v>
      </c>
      <c r="M34" s="5">
        <f t="shared" si="7"/>
        <v>983369.8063829788</v>
      </c>
      <c r="N34" s="5">
        <f t="shared" si="7"/>
        <v>983369.8063829788</v>
      </c>
      <c r="O34" s="5">
        <f t="shared" si="7"/>
        <v>983369.8063829788</v>
      </c>
      <c r="P34" s="5">
        <f t="shared" si="7"/>
        <v>983369.8063829788</v>
      </c>
    </row>
    <row r="35" ht="13.5" thickBot="1"/>
    <row r="36" spans="1:2" ht="13.5" thickBot="1">
      <c r="A36" s="18" t="s">
        <v>107</v>
      </c>
      <c r="B36" s="19">
        <f>IRR(B34:P34)</f>
        <v>0.4898323821950354</v>
      </c>
    </row>
    <row r="38" spans="1:8" ht="12.75" customHeight="1">
      <c r="A38" s="193">
        <f>IF('ERR &amp; Sensitivity Analysis'!$I$10="N","Note: Current calculations are based on user input and are not the original MCC estimates.",IF('ERR &amp; Sensitivity Analysis'!$I$11="N","Note: Current calculations are based on user input and are not the original MCC estimates.",0))</f>
        <v>0</v>
      </c>
      <c r="B38" s="193"/>
      <c r="C38" s="193"/>
      <c r="D38" s="193"/>
      <c r="E38" s="193"/>
      <c r="F38" s="193"/>
      <c r="G38" s="193"/>
      <c r="H38" s="193"/>
    </row>
  </sheetData>
  <mergeCells count="2">
    <mergeCell ref="G1:J1"/>
    <mergeCell ref="A38:H38"/>
  </mergeCells>
  <conditionalFormatting sqref="A38">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6"/>
  <dimension ref="A1:P38"/>
  <sheetViews>
    <sheetView zoomScale="85" zoomScaleNormal="85" workbookViewId="0" topLeftCell="A1">
      <selection activeCell="A1" sqref="A1"/>
    </sheetView>
  </sheetViews>
  <sheetFormatPr defaultColWidth="9.140625" defaultRowHeight="12.75"/>
  <cols>
    <col min="1" max="1" width="15.140625" style="0" bestFit="1" customWidth="1"/>
    <col min="2" max="2" width="15.57421875" style="0" bestFit="1" customWidth="1"/>
    <col min="3" max="3" width="12.421875" style="0" bestFit="1" customWidth="1"/>
    <col min="4" max="4" width="12.57421875" style="0" bestFit="1" customWidth="1"/>
    <col min="5" max="5" width="12.140625" style="0" bestFit="1" customWidth="1"/>
    <col min="6" max="6" width="11.57421875" style="0" bestFit="1" customWidth="1"/>
    <col min="7" max="7" width="8.57421875" style="0" bestFit="1" customWidth="1"/>
    <col min="8" max="8" width="8.1406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198" t="s">
        <v>9</v>
      </c>
      <c r="H1" s="198"/>
      <c r="I1" s="198"/>
      <c r="J1" s="198"/>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5" ht="12.75">
      <c r="B4" t="s">
        <v>24</v>
      </c>
      <c r="C4" s="4">
        <v>0.5</v>
      </c>
      <c r="D4" s="5">
        <f>500000*D12</f>
        <v>500000</v>
      </c>
      <c r="E4" s="5">
        <f>251000*J12</f>
        <v>251000</v>
      </c>
      <c r="G4" s="16">
        <v>4</v>
      </c>
      <c r="H4" s="16">
        <v>30</v>
      </c>
      <c r="I4" s="5">
        <f>600*12*J12</f>
        <v>7200</v>
      </c>
      <c r="J4" s="5">
        <f>150*12*J12</f>
        <v>1800</v>
      </c>
      <c r="K4" s="16">
        <f>50-H4</f>
        <v>20</v>
      </c>
      <c r="L4" s="5">
        <f>4000*'Key assumptions'!C23*J12</f>
        <v>600</v>
      </c>
      <c r="M4" s="5">
        <f>150000*J12</f>
        <v>150000</v>
      </c>
      <c r="N4">
        <v>400</v>
      </c>
      <c r="O4" t="s">
        <v>25</v>
      </c>
    </row>
    <row r="5" spans="9:12" ht="12.75">
      <c r="I5" s="10">
        <f>(I4/12-'Key assumptions'!H16/'Key assumptions'!C3)*12</f>
        <v>4676.90744680851</v>
      </c>
      <c r="J5" s="10">
        <f>(J4/12-'Key assumptions'!G7/'Key assumptions'!C3)*12</f>
        <v>1010.2787234042553</v>
      </c>
      <c r="L5" s="10">
        <f>(L4/C9-'Key assumptions'!H25/'Key assumptions'!C3)*C9</f>
        <v>572.698045212766</v>
      </c>
    </row>
    <row r="6" ht="12.75">
      <c r="A6" t="s">
        <v>19</v>
      </c>
    </row>
    <row r="7" ht="12.75">
      <c r="A7" t="s">
        <v>27</v>
      </c>
    </row>
    <row r="8" ht="12.75">
      <c r="B8" s="17"/>
    </row>
    <row r="9" spans="1:4" ht="12.75">
      <c r="A9" t="s">
        <v>122</v>
      </c>
      <c r="C9" s="7">
        <v>9</v>
      </c>
      <c r="D9" t="s">
        <v>123</v>
      </c>
    </row>
    <row r="11" spans="1:10" ht="12.75">
      <c r="A11" s="120" t="s">
        <v>224</v>
      </c>
      <c r="B11" s="121"/>
      <c r="C11" s="121"/>
      <c r="D11" s="122"/>
      <c r="F11" s="120" t="s">
        <v>225</v>
      </c>
      <c r="G11" s="121"/>
      <c r="H11" s="121"/>
      <c r="I11" s="121"/>
      <c r="J11" s="122"/>
    </row>
    <row r="12" spans="1:10" ht="12.75">
      <c r="A12" s="123" t="s">
        <v>214</v>
      </c>
      <c r="B12" s="3"/>
      <c r="C12" s="3"/>
      <c r="D12" s="124">
        <f>'ERR &amp; Sensitivity Analysis'!$G$10</f>
        <v>1</v>
      </c>
      <c r="F12" s="123" t="s">
        <v>216</v>
      </c>
      <c r="G12" s="3"/>
      <c r="H12" s="3"/>
      <c r="I12" s="3"/>
      <c r="J12" s="124">
        <f>'ERR &amp; Sensitivity Analysis'!$G$11</f>
        <v>1</v>
      </c>
    </row>
    <row r="15" spans="1:16" s="63" customFormat="1" ht="12.75">
      <c r="A15" s="128"/>
      <c r="B15" s="128">
        <v>2006</v>
      </c>
      <c r="C15" s="128">
        <v>2007</v>
      </c>
      <c r="D15" s="128">
        <v>2008</v>
      </c>
      <c r="E15" s="128">
        <v>2009</v>
      </c>
      <c r="F15" s="128">
        <v>2010</v>
      </c>
      <c r="G15" s="128">
        <v>2011</v>
      </c>
      <c r="H15" s="128">
        <v>2012</v>
      </c>
      <c r="I15" s="128">
        <v>2013</v>
      </c>
      <c r="J15" s="128">
        <v>2014</v>
      </c>
      <c r="K15" s="128">
        <v>2015</v>
      </c>
      <c r="L15" s="128">
        <v>2016</v>
      </c>
      <c r="M15" s="128">
        <v>2017</v>
      </c>
      <c r="N15" s="128">
        <v>2018</v>
      </c>
      <c r="O15" s="128">
        <v>2019</v>
      </c>
      <c r="P15" s="128">
        <v>2020</v>
      </c>
    </row>
    <row r="17" spans="1:2" ht="12.75">
      <c r="A17" t="s">
        <v>6</v>
      </c>
      <c r="B17" s="5">
        <f>-D4</f>
        <v>-500000</v>
      </c>
    </row>
    <row r="18" spans="1:16" ht="12.75">
      <c r="A18" s="3" t="s">
        <v>7</v>
      </c>
      <c r="B18" s="8"/>
      <c r="C18" s="8">
        <f aca="true" t="shared" si="0" ref="C18:P18">$E$4</f>
        <v>251000</v>
      </c>
      <c r="D18" s="8">
        <f t="shared" si="0"/>
        <v>251000</v>
      </c>
      <c r="E18" s="8">
        <f t="shared" si="0"/>
        <v>251000</v>
      </c>
      <c r="F18" s="8">
        <f t="shared" si="0"/>
        <v>251000</v>
      </c>
      <c r="G18" s="8">
        <f t="shared" si="0"/>
        <v>251000</v>
      </c>
      <c r="H18" s="8">
        <f t="shared" si="0"/>
        <v>251000</v>
      </c>
      <c r="I18" s="8">
        <f t="shared" si="0"/>
        <v>251000</v>
      </c>
      <c r="J18" s="8">
        <f t="shared" si="0"/>
        <v>251000</v>
      </c>
      <c r="K18" s="8">
        <f t="shared" si="0"/>
        <v>251000</v>
      </c>
      <c r="L18" s="8">
        <f t="shared" si="0"/>
        <v>251000</v>
      </c>
      <c r="M18" s="8">
        <f t="shared" si="0"/>
        <v>251000</v>
      </c>
      <c r="N18" s="8">
        <f t="shared" si="0"/>
        <v>251000</v>
      </c>
      <c r="O18" s="8">
        <f t="shared" si="0"/>
        <v>251000</v>
      </c>
      <c r="P18" s="8">
        <f t="shared" si="0"/>
        <v>251000</v>
      </c>
    </row>
    <row r="19" spans="1:16" ht="12.75">
      <c r="A19" t="s">
        <v>94</v>
      </c>
      <c r="B19" s="5">
        <f>SUM(B17:B18)</f>
        <v>-500000</v>
      </c>
      <c r="C19" s="5">
        <f aca="true" t="shared" si="1" ref="C19:P19">SUM(C17:C18)</f>
        <v>251000</v>
      </c>
      <c r="D19" s="5">
        <f t="shared" si="1"/>
        <v>251000</v>
      </c>
      <c r="E19" s="5">
        <f t="shared" si="1"/>
        <v>251000</v>
      </c>
      <c r="F19" s="5">
        <f t="shared" si="1"/>
        <v>251000</v>
      </c>
      <c r="G19" s="5">
        <f t="shared" si="1"/>
        <v>251000</v>
      </c>
      <c r="H19" s="5">
        <f t="shared" si="1"/>
        <v>251000</v>
      </c>
      <c r="I19" s="5">
        <f t="shared" si="1"/>
        <v>251000</v>
      </c>
      <c r="J19" s="5">
        <f t="shared" si="1"/>
        <v>251000</v>
      </c>
      <c r="K19" s="5">
        <f t="shared" si="1"/>
        <v>251000</v>
      </c>
      <c r="L19" s="5">
        <f t="shared" si="1"/>
        <v>251000</v>
      </c>
      <c r="M19" s="5">
        <f t="shared" si="1"/>
        <v>251000</v>
      </c>
      <c r="N19" s="5">
        <f t="shared" si="1"/>
        <v>251000</v>
      </c>
      <c r="O19" s="5">
        <f t="shared" si="1"/>
        <v>251000</v>
      </c>
      <c r="P19" s="5">
        <f t="shared" si="1"/>
        <v>251000</v>
      </c>
    </row>
    <row r="20" ht="13.5" thickBot="1"/>
    <row r="21" spans="1:2" ht="13.5" thickBot="1">
      <c r="A21" s="18" t="s">
        <v>95</v>
      </c>
      <c r="B21" s="127">
        <f>IRR(B19:P19)</f>
        <v>0.5002849725000116</v>
      </c>
    </row>
    <row r="23" spans="1:16" s="5" customFormat="1" ht="12.75">
      <c r="A23" s="5" t="s">
        <v>103</v>
      </c>
      <c r="C23" s="5">
        <f>$I$5*$G$4+$J$5*$H$4</f>
        <v>49015.991489361695</v>
      </c>
      <c r="D23" s="5">
        <f aca="true" t="shared" si="2" ref="D23:P23">$I$5*$G$4+$J$5*$H$4</f>
        <v>49015.991489361695</v>
      </c>
      <c r="E23" s="5">
        <f t="shared" si="2"/>
        <v>49015.991489361695</v>
      </c>
      <c r="F23" s="5">
        <f t="shared" si="2"/>
        <v>49015.991489361695</v>
      </c>
      <c r="G23" s="5">
        <f t="shared" si="2"/>
        <v>49015.991489361695</v>
      </c>
      <c r="H23" s="5">
        <f t="shared" si="2"/>
        <v>49015.991489361695</v>
      </c>
      <c r="I23" s="5">
        <f t="shared" si="2"/>
        <v>49015.991489361695</v>
      </c>
      <c r="J23" s="5">
        <f t="shared" si="2"/>
        <v>49015.991489361695</v>
      </c>
      <c r="K23" s="5">
        <f t="shared" si="2"/>
        <v>49015.991489361695</v>
      </c>
      <c r="L23" s="5">
        <f t="shared" si="2"/>
        <v>49015.991489361695</v>
      </c>
      <c r="M23" s="5">
        <f t="shared" si="2"/>
        <v>49015.991489361695</v>
      </c>
      <c r="N23" s="5">
        <f t="shared" si="2"/>
        <v>49015.991489361695</v>
      </c>
      <c r="O23" s="5">
        <f t="shared" si="2"/>
        <v>49015.991489361695</v>
      </c>
      <c r="P23" s="5">
        <f t="shared" si="2"/>
        <v>49015.991489361695</v>
      </c>
    </row>
    <row r="24" spans="1:16" s="5" customFormat="1" ht="12.75">
      <c r="A24" s="5" t="s">
        <v>96</v>
      </c>
      <c r="C24" s="5">
        <f>$L$5*$K$4</f>
        <v>11453.96090425532</v>
      </c>
      <c r="D24" s="5">
        <f aca="true" t="shared" si="3" ref="D24:P24">$L$5*$K$4</f>
        <v>11453.96090425532</v>
      </c>
      <c r="E24" s="5">
        <f t="shared" si="3"/>
        <v>11453.96090425532</v>
      </c>
      <c r="F24" s="5">
        <f t="shared" si="3"/>
        <v>11453.96090425532</v>
      </c>
      <c r="G24" s="5">
        <f t="shared" si="3"/>
        <v>11453.96090425532</v>
      </c>
      <c r="H24" s="5">
        <f t="shared" si="3"/>
        <v>11453.96090425532</v>
      </c>
      <c r="I24" s="5">
        <f t="shared" si="3"/>
        <v>11453.96090425532</v>
      </c>
      <c r="J24" s="5">
        <f t="shared" si="3"/>
        <v>11453.96090425532</v>
      </c>
      <c r="K24" s="5">
        <f t="shared" si="3"/>
        <v>11453.96090425532</v>
      </c>
      <c r="L24" s="5">
        <f t="shared" si="3"/>
        <v>11453.96090425532</v>
      </c>
      <c r="M24" s="5">
        <f t="shared" si="3"/>
        <v>11453.96090425532</v>
      </c>
      <c r="N24" s="5">
        <f t="shared" si="3"/>
        <v>11453.96090425532</v>
      </c>
      <c r="O24" s="5">
        <f t="shared" si="3"/>
        <v>11453.96090425532</v>
      </c>
      <c r="P24" s="5">
        <f t="shared" si="3"/>
        <v>11453.96090425532</v>
      </c>
    </row>
    <row r="25" spans="1:16" s="8" customFormat="1" ht="12.75">
      <c r="A25" s="8" t="s">
        <v>97</v>
      </c>
      <c r="C25" s="8">
        <f>$M$4</f>
        <v>150000</v>
      </c>
      <c r="D25" s="8">
        <f aca="true" t="shared" si="4" ref="D25:P25">$M$4</f>
        <v>150000</v>
      </c>
      <c r="E25" s="8">
        <f t="shared" si="4"/>
        <v>150000</v>
      </c>
      <c r="F25" s="8">
        <f t="shared" si="4"/>
        <v>150000</v>
      </c>
      <c r="G25" s="8">
        <f t="shared" si="4"/>
        <v>150000</v>
      </c>
      <c r="H25" s="8">
        <f t="shared" si="4"/>
        <v>150000</v>
      </c>
      <c r="I25" s="8">
        <f t="shared" si="4"/>
        <v>150000</v>
      </c>
      <c r="J25" s="8">
        <f t="shared" si="4"/>
        <v>150000</v>
      </c>
      <c r="K25" s="8">
        <f t="shared" si="4"/>
        <v>150000</v>
      </c>
      <c r="L25" s="8">
        <f t="shared" si="4"/>
        <v>150000</v>
      </c>
      <c r="M25" s="8">
        <f t="shared" si="4"/>
        <v>150000</v>
      </c>
      <c r="N25" s="8">
        <f t="shared" si="4"/>
        <v>150000</v>
      </c>
      <c r="O25" s="8">
        <f t="shared" si="4"/>
        <v>150000</v>
      </c>
      <c r="P25" s="8">
        <f t="shared" si="4"/>
        <v>150000</v>
      </c>
    </row>
    <row r="26" spans="1:16" s="5" customFormat="1" ht="12.75">
      <c r="A26" s="21" t="s">
        <v>98</v>
      </c>
      <c r="B26" s="5">
        <f>B19</f>
        <v>-500000</v>
      </c>
      <c r="C26" s="5">
        <f>C19+SUM(C23:C25)</f>
        <v>461469.952393617</v>
      </c>
      <c r="D26" s="5">
        <f aca="true" t="shared" si="5" ref="D26:P26">D19+SUM(D23:D25)</f>
        <v>461469.952393617</v>
      </c>
      <c r="E26" s="5">
        <f t="shared" si="5"/>
        <v>461469.952393617</v>
      </c>
      <c r="F26" s="5">
        <f t="shared" si="5"/>
        <v>461469.952393617</v>
      </c>
      <c r="G26" s="5">
        <f t="shared" si="5"/>
        <v>461469.952393617</v>
      </c>
      <c r="H26" s="5">
        <f t="shared" si="5"/>
        <v>461469.952393617</v>
      </c>
      <c r="I26" s="5">
        <f t="shared" si="5"/>
        <v>461469.952393617</v>
      </c>
      <c r="J26" s="5">
        <f t="shared" si="5"/>
        <v>461469.952393617</v>
      </c>
      <c r="K26" s="5">
        <f t="shared" si="5"/>
        <v>461469.952393617</v>
      </c>
      <c r="L26" s="5">
        <f t="shared" si="5"/>
        <v>461469.952393617</v>
      </c>
      <c r="M26" s="5">
        <f t="shared" si="5"/>
        <v>461469.952393617</v>
      </c>
      <c r="N26" s="5">
        <f t="shared" si="5"/>
        <v>461469.952393617</v>
      </c>
      <c r="O26" s="5">
        <f t="shared" si="5"/>
        <v>461469.952393617</v>
      </c>
      <c r="P26" s="5">
        <f t="shared" si="5"/>
        <v>461469.952393617</v>
      </c>
    </row>
    <row r="27" ht="13.5" thickBot="1"/>
    <row r="28" spans="1:2" ht="13.5" thickBot="1">
      <c r="A28" s="18" t="s">
        <v>147</v>
      </c>
      <c r="B28" s="129">
        <f>IRR(B26:P26)</f>
        <v>0.9228421895189844</v>
      </c>
    </row>
    <row r="29" spans="1:2" ht="12.75">
      <c r="A29" s="22"/>
      <c r="B29" s="23"/>
    </row>
    <row r="30" spans="1:16" ht="12.75">
      <c r="A30" t="s">
        <v>105</v>
      </c>
      <c r="B30" s="5">
        <f>B34</f>
        <v>-500000</v>
      </c>
      <c r="C30" s="5">
        <f aca="true" t="shared" si="6" ref="C30:P30">C26-C24</f>
        <v>450015.9914893617</v>
      </c>
      <c r="D30" s="5">
        <f t="shared" si="6"/>
        <v>450015.9914893617</v>
      </c>
      <c r="E30" s="5">
        <f t="shared" si="6"/>
        <v>450015.9914893617</v>
      </c>
      <c r="F30" s="5">
        <f t="shared" si="6"/>
        <v>450015.9914893617</v>
      </c>
      <c r="G30" s="5">
        <f t="shared" si="6"/>
        <v>450015.9914893617</v>
      </c>
      <c r="H30" s="5">
        <f t="shared" si="6"/>
        <v>450015.9914893617</v>
      </c>
      <c r="I30" s="5">
        <f t="shared" si="6"/>
        <v>450015.9914893617</v>
      </c>
      <c r="J30" s="5">
        <f t="shared" si="6"/>
        <v>450015.9914893617</v>
      </c>
      <c r="K30" s="5">
        <f t="shared" si="6"/>
        <v>450015.9914893617</v>
      </c>
      <c r="L30" s="5">
        <f t="shared" si="6"/>
        <v>450015.9914893617</v>
      </c>
      <c r="M30" s="5">
        <f t="shared" si="6"/>
        <v>450015.9914893617</v>
      </c>
      <c r="N30" s="5">
        <f t="shared" si="6"/>
        <v>450015.9914893617</v>
      </c>
      <c r="O30" s="5">
        <f t="shared" si="6"/>
        <v>450015.9914893617</v>
      </c>
      <c r="P30" s="5">
        <f t="shared" si="6"/>
        <v>450015.9914893617</v>
      </c>
    </row>
    <row r="31" ht="13.5" thickBot="1"/>
    <row r="32" spans="1:2" ht="13.5" thickBot="1">
      <c r="A32" s="18" t="s">
        <v>106</v>
      </c>
      <c r="B32" s="19">
        <f>IRR(B30:P30)</f>
        <v>0.8999192720912966</v>
      </c>
    </row>
    <row r="34" spans="1:16" ht="12.75">
      <c r="A34" t="s">
        <v>104</v>
      </c>
      <c r="B34" s="5">
        <f>B26</f>
        <v>-500000</v>
      </c>
      <c r="C34" s="5">
        <f>C26-C24-C25</f>
        <v>300015.9914893617</v>
      </c>
      <c r="D34" s="5">
        <f aca="true" t="shared" si="7" ref="D34:P34">D26-D24-D25</f>
        <v>300015.9914893617</v>
      </c>
      <c r="E34" s="5">
        <f t="shared" si="7"/>
        <v>300015.9914893617</v>
      </c>
      <c r="F34" s="5">
        <f t="shared" si="7"/>
        <v>300015.9914893617</v>
      </c>
      <c r="G34" s="5">
        <f t="shared" si="7"/>
        <v>300015.9914893617</v>
      </c>
      <c r="H34" s="5">
        <f t="shared" si="7"/>
        <v>300015.9914893617</v>
      </c>
      <c r="I34" s="5">
        <f t="shared" si="7"/>
        <v>300015.9914893617</v>
      </c>
      <c r="J34" s="5">
        <f t="shared" si="7"/>
        <v>300015.9914893617</v>
      </c>
      <c r="K34" s="5">
        <f t="shared" si="7"/>
        <v>300015.9914893617</v>
      </c>
      <c r="L34" s="5">
        <f t="shared" si="7"/>
        <v>300015.9914893617</v>
      </c>
      <c r="M34" s="5">
        <f t="shared" si="7"/>
        <v>300015.9914893617</v>
      </c>
      <c r="N34" s="5">
        <f t="shared" si="7"/>
        <v>300015.9914893617</v>
      </c>
      <c r="O34" s="5">
        <f t="shared" si="7"/>
        <v>300015.9914893617</v>
      </c>
      <c r="P34" s="5">
        <f t="shared" si="7"/>
        <v>300015.9914893617</v>
      </c>
    </row>
    <row r="35" ht="13.5" thickBot="1"/>
    <row r="36" spans="1:2" ht="13.5" thickBot="1">
      <c r="A36" s="18" t="s">
        <v>107</v>
      </c>
      <c r="B36" s="19">
        <f>IRR(B34:P34)</f>
        <v>0.5991933717662922</v>
      </c>
    </row>
    <row r="38" spans="1:8" ht="12.75" customHeight="1">
      <c r="A38" s="193">
        <f>IF('ERR &amp; Sensitivity Analysis'!$I$10="N","Note: Current calculations are based on user input and are not the original MCC estimates.",IF('ERR &amp; Sensitivity Analysis'!$I$11="N","Note: Current calculations are based on user input and are not the original MCC estimates.",0))</f>
        <v>0</v>
      </c>
      <c r="B38" s="193"/>
      <c r="C38" s="193"/>
      <c r="D38" s="193"/>
      <c r="E38" s="193"/>
      <c r="F38" s="193"/>
      <c r="G38" s="193"/>
      <c r="H38" s="193"/>
    </row>
  </sheetData>
  <mergeCells count="2">
    <mergeCell ref="G1:J1"/>
    <mergeCell ref="A38:H38"/>
  </mergeCells>
  <conditionalFormatting sqref="A38">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P38"/>
  <sheetViews>
    <sheetView zoomScale="85" zoomScaleNormal="85" workbookViewId="0" topLeftCell="A1">
      <selection activeCell="C47" sqref="C47"/>
    </sheetView>
  </sheetViews>
  <sheetFormatPr defaultColWidth="9.140625" defaultRowHeight="12.75"/>
  <cols>
    <col min="1" max="2" width="15.140625" style="0" bestFit="1" customWidth="1"/>
    <col min="3" max="3" width="12.421875" style="0" bestFit="1" customWidth="1"/>
    <col min="4" max="4" width="10.00390625" style="0" bestFit="1" customWidth="1"/>
    <col min="5" max="5" width="12.28125" style="0" bestFit="1" customWidth="1"/>
    <col min="6" max="6" width="11.7109375" style="0" bestFit="1" customWidth="1"/>
    <col min="7" max="8" width="9.421875" style="0" bestFit="1" customWidth="1"/>
    <col min="9" max="9" width="15.140625" style="0" bestFit="1" customWidth="1"/>
    <col min="10" max="10" width="14.421875" style="0" bestFit="1" customWidth="1"/>
    <col min="11" max="11" width="19.8515625" style="0" bestFit="1" customWidth="1"/>
    <col min="12" max="12" width="16.421875" style="0" bestFit="1" customWidth="1"/>
    <col min="13" max="13" width="14.00390625" style="0" bestFit="1" customWidth="1"/>
    <col min="14" max="14" width="9.8515625" style="0" bestFit="1" customWidth="1"/>
    <col min="15" max="16" width="9.28125" style="0" bestFit="1" customWidth="1"/>
  </cols>
  <sheetData>
    <row r="1" spans="7:10" ht="12.75" customHeight="1">
      <c r="G1" s="198" t="s">
        <v>9</v>
      </c>
      <c r="H1" s="198"/>
      <c r="I1" s="198"/>
      <c r="J1" s="198"/>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29</v>
      </c>
      <c r="C4" s="4">
        <v>0.4</v>
      </c>
      <c r="D4" s="5">
        <f>3000000*D12</f>
        <v>3000000</v>
      </c>
      <c r="E4" s="5">
        <f>1210000*J12</f>
        <v>1210000</v>
      </c>
      <c r="G4" s="16">
        <v>6</v>
      </c>
      <c r="H4" s="16">
        <v>100</v>
      </c>
      <c r="I4" s="5">
        <f>600*12*J12</f>
        <v>7200</v>
      </c>
      <c r="J4" s="5">
        <f>150*12*J12</f>
        <v>1800</v>
      </c>
      <c r="K4" s="5">
        <v>50</v>
      </c>
      <c r="L4" s="5">
        <f>3000*'Key assumptions'!C23*J12</f>
        <v>450</v>
      </c>
      <c r="M4" s="5">
        <f>100000*J12</f>
        <v>100000</v>
      </c>
    </row>
    <row r="5" spans="9:12" ht="12.75">
      <c r="I5" s="10">
        <f>(I4/12-'Key assumptions'!H16/'Key assumptions'!C3)*12</f>
        <v>4676.90744680851</v>
      </c>
      <c r="J5" s="10">
        <f>(J4/12-'Key assumptions'!G7/'Key assumptions'!C3)*12</f>
        <v>1010.2787234042553</v>
      </c>
      <c r="L5" s="10">
        <f>(L4/C9-'Key assumptions'!H25/'Key assumptions'!C3)*C9</f>
        <v>442.41612367021276</v>
      </c>
    </row>
    <row r="6" ht="12.75">
      <c r="A6" t="s">
        <v>19</v>
      </c>
    </row>
    <row r="7" ht="12.75">
      <c r="A7" t="s">
        <v>176</v>
      </c>
    </row>
    <row r="8" ht="12.75">
      <c r="B8" s="17"/>
    </row>
    <row r="9" spans="1:4" ht="12.75">
      <c r="A9" t="s">
        <v>122</v>
      </c>
      <c r="C9" s="7">
        <v>2.5</v>
      </c>
      <c r="D9" t="s">
        <v>123</v>
      </c>
    </row>
    <row r="11" spans="1:10" ht="12.75">
      <c r="A11" s="120" t="s">
        <v>224</v>
      </c>
      <c r="B11" s="121"/>
      <c r="C11" s="121"/>
      <c r="D11" s="122"/>
      <c r="F11" s="120" t="s">
        <v>225</v>
      </c>
      <c r="G11" s="121"/>
      <c r="H11" s="121"/>
      <c r="I11" s="121"/>
      <c r="J11" s="122"/>
    </row>
    <row r="12" spans="1:10" ht="12.75">
      <c r="A12" s="123" t="s">
        <v>214</v>
      </c>
      <c r="B12" s="3"/>
      <c r="C12" s="3"/>
      <c r="D12" s="124">
        <f>'ERR &amp; Sensitivity Analysis'!$G$10</f>
        <v>1</v>
      </c>
      <c r="F12" s="123" t="s">
        <v>216</v>
      </c>
      <c r="G12" s="3"/>
      <c r="H12" s="3"/>
      <c r="I12" s="3"/>
      <c r="J12" s="124">
        <f>'ERR &amp; Sensitivity Analysis'!$G$11</f>
        <v>1</v>
      </c>
    </row>
    <row r="15" spans="1:16" s="63" customFormat="1" ht="12.75">
      <c r="A15" s="128"/>
      <c r="B15" s="128">
        <v>2006</v>
      </c>
      <c r="C15" s="128">
        <v>2007</v>
      </c>
      <c r="D15" s="128">
        <v>2008</v>
      </c>
      <c r="E15" s="128">
        <v>2009</v>
      </c>
      <c r="F15" s="128">
        <v>2010</v>
      </c>
      <c r="G15" s="128">
        <v>2011</v>
      </c>
      <c r="H15" s="128">
        <v>2012</v>
      </c>
      <c r="I15" s="128">
        <v>2013</v>
      </c>
      <c r="J15" s="128">
        <v>2014</v>
      </c>
      <c r="K15" s="128">
        <v>2015</v>
      </c>
      <c r="L15" s="128">
        <v>2016</v>
      </c>
      <c r="M15" s="128">
        <v>2017</v>
      </c>
      <c r="N15" s="128">
        <v>2018</v>
      </c>
      <c r="O15" s="128">
        <v>2019</v>
      </c>
      <c r="P15" s="128">
        <v>2020</v>
      </c>
    </row>
    <row r="17" spans="1:2" ht="12.75">
      <c r="A17" t="s">
        <v>6</v>
      </c>
      <c r="B17" s="5">
        <f>-D4</f>
        <v>-3000000</v>
      </c>
    </row>
    <row r="18" spans="1:16" ht="12.75">
      <c r="A18" s="3" t="s">
        <v>7</v>
      </c>
      <c r="B18" s="3"/>
      <c r="C18" s="8">
        <f>$E$4</f>
        <v>1210000</v>
      </c>
      <c r="D18" s="8">
        <f aca="true" t="shared" si="0" ref="D18:P18">$E$4</f>
        <v>1210000</v>
      </c>
      <c r="E18" s="8">
        <f t="shared" si="0"/>
        <v>1210000</v>
      </c>
      <c r="F18" s="8">
        <f t="shared" si="0"/>
        <v>1210000</v>
      </c>
      <c r="G18" s="8">
        <f t="shared" si="0"/>
        <v>1210000</v>
      </c>
      <c r="H18" s="8">
        <f t="shared" si="0"/>
        <v>1210000</v>
      </c>
      <c r="I18" s="8">
        <f t="shared" si="0"/>
        <v>1210000</v>
      </c>
      <c r="J18" s="8">
        <f t="shared" si="0"/>
        <v>1210000</v>
      </c>
      <c r="K18" s="8">
        <f t="shared" si="0"/>
        <v>1210000</v>
      </c>
      <c r="L18" s="8">
        <f t="shared" si="0"/>
        <v>1210000</v>
      </c>
      <c r="M18" s="8">
        <f t="shared" si="0"/>
        <v>1210000</v>
      </c>
      <c r="N18" s="8">
        <f t="shared" si="0"/>
        <v>1210000</v>
      </c>
      <c r="O18" s="8">
        <f t="shared" si="0"/>
        <v>1210000</v>
      </c>
      <c r="P18" s="8">
        <f t="shared" si="0"/>
        <v>1210000</v>
      </c>
    </row>
    <row r="19" spans="1:16" ht="12.75">
      <c r="A19" t="s">
        <v>94</v>
      </c>
      <c r="B19" s="5">
        <f>SUM(B17:B18)</f>
        <v>-3000000</v>
      </c>
      <c r="C19" s="5">
        <f aca="true" t="shared" si="1" ref="C19:P19">SUM(C17:C18)</f>
        <v>1210000</v>
      </c>
      <c r="D19" s="5">
        <f t="shared" si="1"/>
        <v>1210000</v>
      </c>
      <c r="E19" s="5">
        <f t="shared" si="1"/>
        <v>1210000</v>
      </c>
      <c r="F19" s="5">
        <f t="shared" si="1"/>
        <v>1210000</v>
      </c>
      <c r="G19" s="5">
        <f t="shared" si="1"/>
        <v>1210000</v>
      </c>
      <c r="H19" s="5">
        <f t="shared" si="1"/>
        <v>1210000</v>
      </c>
      <c r="I19" s="5">
        <f t="shared" si="1"/>
        <v>1210000</v>
      </c>
      <c r="J19" s="5">
        <f t="shared" si="1"/>
        <v>1210000</v>
      </c>
      <c r="K19" s="5">
        <f t="shared" si="1"/>
        <v>1210000</v>
      </c>
      <c r="L19" s="5">
        <f t="shared" si="1"/>
        <v>1210000</v>
      </c>
      <c r="M19" s="5">
        <f t="shared" si="1"/>
        <v>1210000</v>
      </c>
      <c r="N19" s="5">
        <f t="shared" si="1"/>
        <v>1210000</v>
      </c>
      <c r="O19" s="5">
        <f t="shared" si="1"/>
        <v>1210000</v>
      </c>
      <c r="P19" s="5">
        <f t="shared" si="1"/>
        <v>1210000</v>
      </c>
    </row>
    <row r="20" ht="13.5" thickBot="1"/>
    <row r="21" spans="1:2" ht="13.5" thickBot="1">
      <c r="A21" s="18" t="s">
        <v>95</v>
      </c>
      <c r="B21" s="127">
        <f>IRR(B19:P19)</f>
        <v>0.3996924441475577</v>
      </c>
    </row>
    <row r="23" spans="1:16" s="5" customFormat="1" ht="12.75">
      <c r="A23" s="5" t="s">
        <v>103</v>
      </c>
      <c r="C23" s="5">
        <f>$I$5*$G$4+$J$5*$H$4</f>
        <v>129089.3170212766</v>
      </c>
      <c r="D23" s="5">
        <f aca="true" t="shared" si="2" ref="D23:P23">$I$5*$G$4+$J$5*$H$4</f>
        <v>129089.3170212766</v>
      </c>
      <c r="E23" s="5">
        <f t="shared" si="2"/>
        <v>129089.3170212766</v>
      </c>
      <c r="F23" s="5">
        <f t="shared" si="2"/>
        <v>129089.3170212766</v>
      </c>
      <c r="G23" s="5">
        <f t="shared" si="2"/>
        <v>129089.3170212766</v>
      </c>
      <c r="H23" s="5">
        <f t="shared" si="2"/>
        <v>129089.3170212766</v>
      </c>
      <c r="I23" s="5">
        <f t="shared" si="2"/>
        <v>129089.3170212766</v>
      </c>
      <c r="J23" s="5">
        <f t="shared" si="2"/>
        <v>129089.3170212766</v>
      </c>
      <c r="K23" s="5">
        <f t="shared" si="2"/>
        <v>129089.3170212766</v>
      </c>
      <c r="L23" s="5">
        <f t="shared" si="2"/>
        <v>129089.3170212766</v>
      </c>
      <c r="M23" s="5">
        <f t="shared" si="2"/>
        <v>129089.3170212766</v>
      </c>
      <c r="N23" s="5">
        <f t="shared" si="2"/>
        <v>129089.3170212766</v>
      </c>
      <c r="O23" s="5">
        <f t="shared" si="2"/>
        <v>129089.3170212766</v>
      </c>
      <c r="P23" s="5">
        <f t="shared" si="2"/>
        <v>129089.3170212766</v>
      </c>
    </row>
    <row r="24" spans="1:16" s="5" customFormat="1" ht="12.75">
      <c r="A24" s="5" t="s">
        <v>96</v>
      </c>
      <c r="C24" s="5">
        <f>$L$5*$K$4</f>
        <v>22120.80618351064</v>
      </c>
      <c r="D24" s="5">
        <f aca="true" t="shared" si="3" ref="D24:P24">$L$5*$K$4</f>
        <v>22120.80618351064</v>
      </c>
      <c r="E24" s="5">
        <f t="shared" si="3"/>
        <v>22120.80618351064</v>
      </c>
      <c r="F24" s="5">
        <f t="shared" si="3"/>
        <v>22120.80618351064</v>
      </c>
      <c r="G24" s="5">
        <f t="shared" si="3"/>
        <v>22120.80618351064</v>
      </c>
      <c r="H24" s="5">
        <f t="shared" si="3"/>
        <v>22120.80618351064</v>
      </c>
      <c r="I24" s="5">
        <f t="shared" si="3"/>
        <v>22120.80618351064</v>
      </c>
      <c r="J24" s="5">
        <f t="shared" si="3"/>
        <v>22120.80618351064</v>
      </c>
      <c r="K24" s="5">
        <f t="shared" si="3"/>
        <v>22120.80618351064</v>
      </c>
      <c r="L24" s="5">
        <f t="shared" si="3"/>
        <v>22120.80618351064</v>
      </c>
      <c r="M24" s="5">
        <f t="shared" si="3"/>
        <v>22120.80618351064</v>
      </c>
      <c r="N24" s="5">
        <f t="shared" si="3"/>
        <v>22120.80618351064</v>
      </c>
      <c r="O24" s="5">
        <f t="shared" si="3"/>
        <v>22120.80618351064</v>
      </c>
      <c r="P24" s="5">
        <f t="shared" si="3"/>
        <v>22120.80618351064</v>
      </c>
    </row>
    <row r="25" spans="1:16" s="8" customFormat="1" ht="12.75">
      <c r="A25" s="8" t="s">
        <v>97</v>
      </c>
      <c r="C25" s="8">
        <f>$M$4</f>
        <v>100000</v>
      </c>
      <c r="D25" s="8">
        <f aca="true" t="shared" si="4" ref="D25:P25">$M$4</f>
        <v>100000</v>
      </c>
      <c r="E25" s="8">
        <f t="shared" si="4"/>
        <v>100000</v>
      </c>
      <c r="F25" s="8">
        <f t="shared" si="4"/>
        <v>100000</v>
      </c>
      <c r="G25" s="8">
        <f t="shared" si="4"/>
        <v>100000</v>
      </c>
      <c r="H25" s="8">
        <f t="shared" si="4"/>
        <v>100000</v>
      </c>
      <c r="I25" s="8">
        <f t="shared" si="4"/>
        <v>100000</v>
      </c>
      <c r="J25" s="8">
        <f t="shared" si="4"/>
        <v>100000</v>
      </c>
      <c r="K25" s="8">
        <f t="shared" si="4"/>
        <v>100000</v>
      </c>
      <c r="L25" s="8">
        <f t="shared" si="4"/>
        <v>100000</v>
      </c>
      <c r="M25" s="8">
        <f t="shared" si="4"/>
        <v>100000</v>
      </c>
      <c r="N25" s="8">
        <f t="shared" si="4"/>
        <v>100000</v>
      </c>
      <c r="O25" s="8">
        <f t="shared" si="4"/>
        <v>100000</v>
      </c>
      <c r="P25" s="8">
        <f t="shared" si="4"/>
        <v>100000</v>
      </c>
    </row>
    <row r="26" spans="1:16" s="5" customFormat="1" ht="12.75">
      <c r="A26" s="21" t="s">
        <v>98</v>
      </c>
      <c r="B26" s="5">
        <f>B19</f>
        <v>-3000000</v>
      </c>
      <c r="C26" s="5">
        <f>C19+SUM(C23:C25)</f>
        <v>1461210.1232047873</v>
      </c>
      <c r="D26" s="5">
        <f aca="true" t="shared" si="5" ref="D26:P26">D19+SUM(D23:D25)</f>
        <v>1461210.1232047873</v>
      </c>
      <c r="E26" s="5">
        <f t="shared" si="5"/>
        <v>1461210.1232047873</v>
      </c>
      <c r="F26" s="5">
        <f t="shared" si="5"/>
        <v>1461210.1232047873</v>
      </c>
      <c r="G26" s="5">
        <f t="shared" si="5"/>
        <v>1461210.1232047873</v>
      </c>
      <c r="H26" s="5">
        <f t="shared" si="5"/>
        <v>1461210.1232047873</v>
      </c>
      <c r="I26" s="5">
        <f t="shared" si="5"/>
        <v>1461210.1232047873</v>
      </c>
      <c r="J26" s="5">
        <f t="shared" si="5"/>
        <v>1461210.1232047873</v>
      </c>
      <c r="K26" s="5">
        <f t="shared" si="5"/>
        <v>1461210.1232047873</v>
      </c>
      <c r="L26" s="5">
        <f t="shared" si="5"/>
        <v>1461210.1232047873</v>
      </c>
      <c r="M26" s="5">
        <f t="shared" si="5"/>
        <v>1461210.1232047873</v>
      </c>
      <c r="N26" s="5">
        <f t="shared" si="5"/>
        <v>1461210.1232047873</v>
      </c>
      <c r="O26" s="5">
        <f t="shared" si="5"/>
        <v>1461210.1232047873</v>
      </c>
      <c r="P26" s="5">
        <f t="shared" si="5"/>
        <v>1461210.1232047873</v>
      </c>
    </row>
    <row r="27" ht="13.5" thickBot="1"/>
    <row r="28" spans="1:2" ht="13.5" thickBot="1">
      <c r="A28" s="18" t="s">
        <v>147</v>
      </c>
      <c r="B28" s="129">
        <f>IRR(B26:P26)</f>
        <v>0.4851522660070135</v>
      </c>
    </row>
    <row r="29" spans="1:2" ht="12.75">
      <c r="A29" s="22"/>
      <c r="B29" s="23"/>
    </row>
    <row r="30" spans="1:16" ht="12.75">
      <c r="A30" t="s">
        <v>105</v>
      </c>
      <c r="B30" s="5">
        <f>B34</f>
        <v>-3000000</v>
      </c>
      <c r="C30" s="5">
        <f aca="true" t="shared" si="6" ref="C30:P30">C26-C24</f>
        <v>1439089.3170212766</v>
      </c>
      <c r="D30" s="5">
        <f t="shared" si="6"/>
        <v>1439089.3170212766</v>
      </c>
      <c r="E30" s="5">
        <f t="shared" si="6"/>
        <v>1439089.3170212766</v>
      </c>
      <c r="F30" s="5">
        <f t="shared" si="6"/>
        <v>1439089.3170212766</v>
      </c>
      <c r="G30" s="5">
        <f t="shared" si="6"/>
        <v>1439089.3170212766</v>
      </c>
      <c r="H30" s="5">
        <f t="shared" si="6"/>
        <v>1439089.3170212766</v>
      </c>
      <c r="I30" s="5">
        <f t="shared" si="6"/>
        <v>1439089.3170212766</v>
      </c>
      <c r="J30" s="5">
        <f t="shared" si="6"/>
        <v>1439089.3170212766</v>
      </c>
      <c r="K30" s="5">
        <f t="shared" si="6"/>
        <v>1439089.3170212766</v>
      </c>
      <c r="L30" s="5">
        <f t="shared" si="6"/>
        <v>1439089.3170212766</v>
      </c>
      <c r="M30" s="5">
        <f t="shared" si="6"/>
        <v>1439089.3170212766</v>
      </c>
      <c r="N30" s="5">
        <f t="shared" si="6"/>
        <v>1439089.3170212766</v>
      </c>
      <c r="O30" s="5">
        <f t="shared" si="6"/>
        <v>1439089.3170212766</v>
      </c>
      <c r="P30" s="5">
        <f t="shared" si="6"/>
        <v>1439089.3170212766</v>
      </c>
    </row>
    <row r="31" ht="13.5" thickBot="1"/>
    <row r="32" spans="1:2" ht="13.5" thickBot="1">
      <c r="A32" s="18" t="s">
        <v>106</v>
      </c>
      <c r="B32" s="19">
        <f>IRR(B30:P30)</f>
        <v>0.4776692930684622</v>
      </c>
    </row>
    <row r="34" spans="1:16" ht="12.75">
      <c r="A34" t="s">
        <v>104</v>
      </c>
      <c r="B34" s="5">
        <f>B26</f>
        <v>-3000000</v>
      </c>
      <c r="C34" s="5">
        <f>C26-C24-C25</f>
        <v>1339089.3170212766</v>
      </c>
      <c r="D34" s="5">
        <f aca="true" t="shared" si="7" ref="D34:P34">D26-D24-D25</f>
        <v>1339089.3170212766</v>
      </c>
      <c r="E34" s="5">
        <f t="shared" si="7"/>
        <v>1339089.3170212766</v>
      </c>
      <c r="F34" s="5">
        <f t="shared" si="7"/>
        <v>1339089.3170212766</v>
      </c>
      <c r="G34" s="5">
        <f t="shared" si="7"/>
        <v>1339089.3170212766</v>
      </c>
      <c r="H34" s="5">
        <f t="shared" si="7"/>
        <v>1339089.3170212766</v>
      </c>
      <c r="I34" s="5">
        <f t="shared" si="7"/>
        <v>1339089.3170212766</v>
      </c>
      <c r="J34" s="5">
        <f t="shared" si="7"/>
        <v>1339089.3170212766</v>
      </c>
      <c r="K34" s="5">
        <f t="shared" si="7"/>
        <v>1339089.3170212766</v>
      </c>
      <c r="L34" s="5">
        <f t="shared" si="7"/>
        <v>1339089.3170212766</v>
      </c>
      <c r="M34" s="5">
        <f t="shared" si="7"/>
        <v>1339089.3170212766</v>
      </c>
      <c r="N34" s="5">
        <f t="shared" si="7"/>
        <v>1339089.3170212766</v>
      </c>
      <c r="O34" s="5">
        <f t="shared" si="7"/>
        <v>1339089.3170212766</v>
      </c>
      <c r="P34" s="5">
        <f t="shared" si="7"/>
        <v>1339089.3170212766</v>
      </c>
    </row>
    <row r="35" ht="13.5" thickBot="1"/>
    <row r="36" spans="1:2" ht="13.5" thickBot="1">
      <c r="A36" s="18" t="s">
        <v>107</v>
      </c>
      <c r="B36" s="19">
        <f>IRR(B34:P34)</f>
        <v>0.4437522007255622</v>
      </c>
    </row>
    <row r="38" spans="1:8" ht="12.75" customHeight="1">
      <c r="A38" s="193">
        <f>IF('ERR &amp; Sensitivity Analysis'!$I$10="N","Note: Current calculations are based on user input and are not the original MCC estimates.",IF('ERR &amp; Sensitivity Analysis'!$I$11="N","Note: Current calculations are based on user input and are not the original MCC estimates.",0))</f>
        <v>0</v>
      </c>
      <c r="B38" s="193"/>
      <c r="C38" s="193"/>
      <c r="D38" s="193"/>
      <c r="E38" s="193"/>
      <c r="F38" s="193"/>
      <c r="G38" s="193"/>
      <c r="H38" s="193"/>
    </row>
  </sheetData>
  <mergeCells count="2">
    <mergeCell ref="G1:J1"/>
    <mergeCell ref="A38:H38"/>
  </mergeCells>
  <conditionalFormatting sqref="A38">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8"/>
  <dimension ref="A1:P38"/>
  <sheetViews>
    <sheetView zoomScale="85" zoomScaleNormal="85" workbookViewId="0" topLeftCell="A1">
      <selection activeCell="A1" sqref="A1"/>
    </sheetView>
  </sheetViews>
  <sheetFormatPr defaultColWidth="9.140625" defaultRowHeight="12.75"/>
  <cols>
    <col min="1" max="1" width="16.7109375" style="0" bestFit="1" customWidth="1"/>
    <col min="2" max="2" width="22.8515625" style="0" bestFit="1" customWidth="1"/>
    <col min="3" max="3" width="12.421875" style="0" bestFit="1" customWidth="1"/>
    <col min="4" max="4" width="9.8515625" style="0" bestFit="1" customWidth="1"/>
    <col min="5" max="5" width="12.140625" style="0" bestFit="1" customWidth="1"/>
    <col min="6" max="6" width="11.57421875" style="0" bestFit="1" customWidth="1"/>
    <col min="7" max="8" width="9.28125" style="0" bestFit="1" customWidth="1"/>
    <col min="9" max="9" width="15.00390625" style="0" bestFit="1" customWidth="1"/>
    <col min="10" max="10" width="14.28125" style="0" bestFit="1" customWidth="1"/>
    <col min="11" max="11" width="19.7109375" style="0" bestFit="1" customWidth="1"/>
    <col min="12" max="12" width="16.28125" style="0" bestFit="1" customWidth="1"/>
    <col min="13" max="13" width="13.8515625" style="0" bestFit="1" customWidth="1"/>
    <col min="14" max="14" width="9.7109375" style="0" bestFit="1" customWidth="1"/>
  </cols>
  <sheetData>
    <row r="1" spans="7:10" ht="12.75">
      <c r="G1" s="198" t="s">
        <v>9</v>
      </c>
      <c r="H1" s="198"/>
      <c r="I1" s="198"/>
      <c r="J1" s="198"/>
    </row>
    <row r="2" spans="2:14" s="3" customFormat="1" ht="12.75">
      <c r="B2" s="3" t="s">
        <v>4</v>
      </c>
      <c r="C2" s="3" t="s">
        <v>5</v>
      </c>
      <c r="D2" s="3" t="s">
        <v>26</v>
      </c>
      <c r="E2" s="3" t="s">
        <v>7</v>
      </c>
      <c r="F2" s="3" t="s">
        <v>8</v>
      </c>
      <c r="G2" s="3" t="s">
        <v>10</v>
      </c>
      <c r="H2" s="3" t="s">
        <v>11</v>
      </c>
      <c r="I2" s="3" t="s">
        <v>14</v>
      </c>
      <c r="J2" s="3" t="s">
        <v>15</v>
      </c>
      <c r="K2" s="3" t="s">
        <v>12</v>
      </c>
      <c r="L2" s="3" t="s">
        <v>13</v>
      </c>
      <c r="M2" s="3" t="s">
        <v>16</v>
      </c>
      <c r="N2" s="3" t="s">
        <v>18</v>
      </c>
    </row>
    <row r="4" spans="2:13" ht="12.75">
      <c r="B4" t="s">
        <v>30</v>
      </c>
      <c r="C4" s="4">
        <v>0.33</v>
      </c>
      <c r="D4" s="5">
        <f>2000000*D12</f>
        <v>2000000</v>
      </c>
      <c r="E4" s="5">
        <f>672000*J12</f>
        <v>672000</v>
      </c>
      <c r="G4" s="16">
        <v>5</v>
      </c>
      <c r="H4" s="16">
        <v>30</v>
      </c>
      <c r="I4" s="5">
        <f>600*12*J12</f>
        <v>7200</v>
      </c>
      <c r="J4" s="5">
        <f>150*12*J12</f>
        <v>1800</v>
      </c>
      <c r="K4">
        <v>200</v>
      </c>
      <c r="L4" s="5">
        <f>5000*'Key assumptions'!C23*J12</f>
        <v>750</v>
      </c>
      <c r="M4" s="5">
        <f>150000*J12</f>
        <v>150000</v>
      </c>
    </row>
    <row r="5" spans="9:12" ht="12.75">
      <c r="I5" s="13">
        <f>(I4/12-'Key assumptions'!H16/'Key assumptions'!C3)*12</f>
        <v>4676.90744680851</v>
      </c>
      <c r="J5" s="13">
        <f>(J4/12-'Key assumptions'!G7/'Key assumptions'!C3)*12</f>
        <v>1010.2787234042553</v>
      </c>
      <c r="L5" s="10">
        <f>(L4/C9-'Key assumptions'!H25/'Key assumptions'!C3)*C9</f>
        <v>728.7651462765957</v>
      </c>
    </row>
    <row r="6" ht="12.75">
      <c r="A6" t="s">
        <v>19</v>
      </c>
    </row>
    <row r="7" ht="12.75">
      <c r="A7" t="s">
        <v>31</v>
      </c>
    </row>
    <row r="8" ht="12.75">
      <c r="B8" s="17"/>
    </row>
    <row r="9" spans="1:4" ht="12.75">
      <c r="A9" t="s">
        <v>122</v>
      </c>
      <c r="C9" s="7">
        <v>7</v>
      </c>
      <c r="D9" t="s">
        <v>123</v>
      </c>
    </row>
    <row r="11" spans="1:10" ht="12.75">
      <c r="A11" s="120" t="s">
        <v>224</v>
      </c>
      <c r="B11" s="121"/>
      <c r="C11" s="121"/>
      <c r="D11" s="122"/>
      <c r="F11" s="120" t="s">
        <v>225</v>
      </c>
      <c r="G11" s="121"/>
      <c r="H11" s="121"/>
      <c r="I11" s="121"/>
      <c r="J11" s="122"/>
    </row>
    <row r="12" spans="1:10" ht="12.75">
      <c r="A12" s="123" t="s">
        <v>214</v>
      </c>
      <c r="B12" s="3"/>
      <c r="C12" s="3"/>
      <c r="D12" s="124">
        <f>'ERR &amp; Sensitivity Analysis'!$G$10</f>
        <v>1</v>
      </c>
      <c r="F12" s="123" t="s">
        <v>216</v>
      </c>
      <c r="G12" s="3"/>
      <c r="H12" s="3"/>
      <c r="I12" s="3"/>
      <c r="J12" s="124">
        <f>'ERR &amp; Sensitivity Analysis'!$G$11</f>
        <v>1</v>
      </c>
    </row>
    <row r="15" spans="1:16" s="63" customFormat="1" ht="12.75">
      <c r="A15" s="128"/>
      <c r="B15" s="128">
        <v>2006</v>
      </c>
      <c r="C15" s="128">
        <v>2007</v>
      </c>
      <c r="D15" s="128">
        <v>2008</v>
      </c>
      <c r="E15" s="128">
        <v>2009</v>
      </c>
      <c r="F15" s="128">
        <v>2010</v>
      </c>
      <c r="G15" s="128">
        <v>2011</v>
      </c>
      <c r="H15" s="128">
        <v>2012</v>
      </c>
      <c r="I15" s="128">
        <v>2013</v>
      </c>
      <c r="J15" s="128">
        <v>2014</v>
      </c>
      <c r="K15" s="128">
        <v>2015</v>
      </c>
      <c r="L15" s="128">
        <v>2016</v>
      </c>
      <c r="M15" s="128">
        <v>2017</v>
      </c>
      <c r="N15" s="128">
        <v>2018</v>
      </c>
      <c r="O15" s="128">
        <v>2019</v>
      </c>
      <c r="P15" s="128">
        <v>2020</v>
      </c>
    </row>
    <row r="17" spans="1:2" ht="12.75">
      <c r="A17" t="s">
        <v>6</v>
      </c>
      <c r="B17" s="5">
        <f>-D4</f>
        <v>-2000000</v>
      </c>
    </row>
    <row r="18" spans="1:16" s="5" customFormat="1" ht="12.75">
      <c r="A18" s="8" t="s">
        <v>7</v>
      </c>
      <c r="B18" s="8"/>
      <c r="C18" s="8">
        <f aca="true" t="shared" si="0" ref="C18:P18">$E$4</f>
        <v>672000</v>
      </c>
      <c r="D18" s="8">
        <f t="shared" si="0"/>
        <v>672000</v>
      </c>
      <c r="E18" s="8">
        <f t="shared" si="0"/>
        <v>672000</v>
      </c>
      <c r="F18" s="8">
        <f t="shared" si="0"/>
        <v>672000</v>
      </c>
      <c r="G18" s="8">
        <f t="shared" si="0"/>
        <v>672000</v>
      </c>
      <c r="H18" s="8">
        <f t="shared" si="0"/>
        <v>672000</v>
      </c>
      <c r="I18" s="8">
        <f t="shared" si="0"/>
        <v>672000</v>
      </c>
      <c r="J18" s="8">
        <f t="shared" si="0"/>
        <v>672000</v>
      </c>
      <c r="K18" s="8">
        <f t="shared" si="0"/>
        <v>672000</v>
      </c>
      <c r="L18" s="8">
        <f t="shared" si="0"/>
        <v>672000</v>
      </c>
      <c r="M18" s="8">
        <f t="shared" si="0"/>
        <v>672000</v>
      </c>
      <c r="N18" s="8">
        <f t="shared" si="0"/>
        <v>672000</v>
      </c>
      <c r="O18" s="8">
        <f t="shared" si="0"/>
        <v>672000</v>
      </c>
      <c r="P18" s="8">
        <f t="shared" si="0"/>
        <v>672000</v>
      </c>
    </row>
    <row r="19" spans="1:16" s="5" customFormat="1" ht="12.75">
      <c r="A19" s="5" t="s">
        <v>94</v>
      </c>
      <c r="B19" s="5">
        <f>SUM(B17:B18)</f>
        <v>-2000000</v>
      </c>
      <c r="C19" s="5">
        <f aca="true" t="shared" si="1" ref="C19:P19">SUM(C17:C18)</f>
        <v>672000</v>
      </c>
      <c r="D19" s="5">
        <f t="shared" si="1"/>
        <v>672000</v>
      </c>
      <c r="E19" s="5">
        <f t="shared" si="1"/>
        <v>672000</v>
      </c>
      <c r="F19" s="5">
        <f t="shared" si="1"/>
        <v>672000</v>
      </c>
      <c r="G19" s="5">
        <f t="shared" si="1"/>
        <v>672000</v>
      </c>
      <c r="H19" s="5">
        <f t="shared" si="1"/>
        <v>672000</v>
      </c>
      <c r="I19" s="5">
        <f t="shared" si="1"/>
        <v>672000</v>
      </c>
      <c r="J19" s="5">
        <f t="shared" si="1"/>
        <v>672000</v>
      </c>
      <c r="K19" s="5">
        <f t="shared" si="1"/>
        <v>672000</v>
      </c>
      <c r="L19" s="5">
        <f t="shared" si="1"/>
        <v>672000</v>
      </c>
      <c r="M19" s="5">
        <f t="shared" si="1"/>
        <v>672000</v>
      </c>
      <c r="N19" s="5">
        <f t="shared" si="1"/>
        <v>672000</v>
      </c>
      <c r="O19" s="5">
        <f t="shared" si="1"/>
        <v>672000</v>
      </c>
      <c r="P19" s="5">
        <f t="shared" si="1"/>
        <v>672000</v>
      </c>
    </row>
    <row r="20" ht="13.5" thickBot="1"/>
    <row r="21" spans="1:2" ht="13.5" thickBot="1">
      <c r="A21" s="18" t="s">
        <v>95</v>
      </c>
      <c r="B21" s="127">
        <f>IRR(B19:P19)</f>
        <v>0.32978564113963577</v>
      </c>
    </row>
    <row r="23" spans="1:16" s="5" customFormat="1" ht="12.75">
      <c r="A23" s="5" t="s">
        <v>103</v>
      </c>
      <c r="C23" s="5">
        <f>$I$5*$G$4+$J$5*$H$4</f>
        <v>53692.89893617021</v>
      </c>
      <c r="D23" s="5">
        <f aca="true" t="shared" si="2" ref="D23:P23">$I$5*$G$4+$J$5*$H$4</f>
        <v>53692.89893617021</v>
      </c>
      <c r="E23" s="5">
        <f t="shared" si="2"/>
        <v>53692.89893617021</v>
      </c>
      <c r="F23" s="5">
        <f t="shared" si="2"/>
        <v>53692.89893617021</v>
      </c>
      <c r="G23" s="5">
        <f t="shared" si="2"/>
        <v>53692.89893617021</v>
      </c>
      <c r="H23" s="5">
        <f t="shared" si="2"/>
        <v>53692.89893617021</v>
      </c>
      <c r="I23" s="5">
        <f t="shared" si="2"/>
        <v>53692.89893617021</v>
      </c>
      <c r="J23" s="5">
        <f t="shared" si="2"/>
        <v>53692.89893617021</v>
      </c>
      <c r="K23" s="5">
        <f t="shared" si="2"/>
        <v>53692.89893617021</v>
      </c>
      <c r="L23" s="5">
        <f t="shared" si="2"/>
        <v>53692.89893617021</v>
      </c>
      <c r="M23" s="5">
        <f t="shared" si="2"/>
        <v>53692.89893617021</v>
      </c>
      <c r="N23" s="5">
        <f t="shared" si="2"/>
        <v>53692.89893617021</v>
      </c>
      <c r="O23" s="5">
        <f t="shared" si="2"/>
        <v>53692.89893617021</v>
      </c>
      <c r="P23" s="5">
        <f t="shared" si="2"/>
        <v>53692.89893617021</v>
      </c>
    </row>
    <row r="24" spans="1:16" s="5" customFormat="1" ht="12.75">
      <c r="A24" s="5" t="s">
        <v>96</v>
      </c>
      <c r="C24" s="5">
        <f>$L$5*$K$4</f>
        <v>145753.02925531915</v>
      </c>
      <c r="D24" s="5">
        <f aca="true" t="shared" si="3" ref="D24:P24">$L$5*$K$4</f>
        <v>145753.02925531915</v>
      </c>
      <c r="E24" s="5">
        <f t="shared" si="3"/>
        <v>145753.02925531915</v>
      </c>
      <c r="F24" s="5">
        <f t="shared" si="3"/>
        <v>145753.02925531915</v>
      </c>
      <c r="G24" s="5">
        <f t="shared" si="3"/>
        <v>145753.02925531915</v>
      </c>
      <c r="H24" s="5">
        <f t="shared" si="3"/>
        <v>145753.02925531915</v>
      </c>
      <c r="I24" s="5">
        <f t="shared" si="3"/>
        <v>145753.02925531915</v>
      </c>
      <c r="J24" s="5">
        <f t="shared" si="3"/>
        <v>145753.02925531915</v>
      </c>
      <c r="K24" s="5">
        <f t="shared" si="3"/>
        <v>145753.02925531915</v>
      </c>
      <c r="L24" s="5">
        <f t="shared" si="3"/>
        <v>145753.02925531915</v>
      </c>
      <c r="M24" s="5">
        <f t="shared" si="3"/>
        <v>145753.02925531915</v>
      </c>
      <c r="N24" s="5">
        <f t="shared" si="3"/>
        <v>145753.02925531915</v>
      </c>
      <c r="O24" s="5">
        <f t="shared" si="3"/>
        <v>145753.02925531915</v>
      </c>
      <c r="P24" s="5">
        <f t="shared" si="3"/>
        <v>145753.02925531915</v>
      </c>
    </row>
    <row r="25" spans="1:16" s="8" customFormat="1" ht="12.75">
      <c r="A25" s="8" t="s">
        <v>97</v>
      </c>
      <c r="C25" s="8">
        <f>$M$4</f>
        <v>150000</v>
      </c>
      <c r="D25" s="8">
        <f aca="true" t="shared" si="4" ref="D25:P25">$M$4</f>
        <v>150000</v>
      </c>
      <c r="E25" s="8">
        <f t="shared" si="4"/>
        <v>150000</v>
      </c>
      <c r="F25" s="8">
        <f t="shared" si="4"/>
        <v>150000</v>
      </c>
      <c r="G25" s="8">
        <f t="shared" si="4"/>
        <v>150000</v>
      </c>
      <c r="H25" s="8">
        <f t="shared" si="4"/>
        <v>150000</v>
      </c>
      <c r="I25" s="8">
        <f t="shared" si="4"/>
        <v>150000</v>
      </c>
      <c r="J25" s="8">
        <f t="shared" si="4"/>
        <v>150000</v>
      </c>
      <c r="K25" s="8">
        <f t="shared" si="4"/>
        <v>150000</v>
      </c>
      <c r="L25" s="8">
        <f t="shared" si="4"/>
        <v>150000</v>
      </c>
      <c r="M25" s="8">
        <f t="shared" si="4"/>
        <v>150000</v>
      </c>
      <c r="N25" s="8">
        <f t="shared" si="4"/>
        <v>150000</v>
      </c>
      <c r="O25" s="8">
        <f t="shared" si="4"/>
        <v>150000</v>
      </c>
      <c r="P25" s="8">
        <f t="shared" si="4"/>
        <v>150000</v>
      </c>
    </row>
    <row r="26" spans="1:16" s="5" customFormat="1" ht="12.75">
      <c r="A26" s="21" t="s">
        <v>98</v>
      </c>
      <c r="B26" s="5">
        <f>B19</f>
        <v>-2000000</v>
      </c>
      <c r="C26" s="5">
        <f>C19+SUM(C23:C25)</f>
        <v>1021445.9281914893</v>
      </c>
      <c r="D26" s="5">
        <f aca="true" t="shared" si="5" ref="D26:P26">D19+SUM(D23:D25)</f>
        <v>1021445.9281914893</v>
      </c>
      <c r="E26" s="5">
        <f t="shared" si="5"/>
        <v>1021445.9281914893</v>
      </c>
      <c r="F26" s="5">
        <f t="shared" si="5"/>
        <v>1021445.9281914893</v>
      </c>
      <c r="G26" s="5">
        <f t="shared" si="5"/>
        <v>1021445.9281914893</v>
      </c>
      <c r="H26" s="5">
        <f t="shared" si="5"/>
        <v>1021445.9281914893</v>
      </c>
      <c r="I26" s="5">
        <f t="shared" si="5"/>
        <v>1021445.9281914893</v>
      </c>
      <c r="J26" s="5">
        <f t="shared" si="5"/>
        <v>1021445.9281914893</v>
      </c>
      <c r="K26" s="5">
        <f t="shared" si="5"/>
        <v>1021445.9281914893</v>
      </c>
      <c r="L26" s="5">
        <f t="shared" si="5"/>
        <v>1021445.9281914893</v>
      </c>
      <c r="M26" s="5">
        <f t="shared" si="5"/>
        <v>1021445.9281914893</v>
      </c>
      <c r="N26" s="5">
        <f t="shared" si="5"/>
        <v>1021445.9281914893</v>
      </c>
      <c r="O26" s="5">
        <f t="shared" si="5"/>
        <v>1021445.9281914893</v>
      </c>
      <c r="P26" s="5">
        <f t="shared" si="5"/>
        <v>1021445.9281914893</v>
      </c>
    </row>
    <row r="27" ht="13.5" thickBot="1"/>
    <row r="28" spans="1:2" ht="13.5" thickBot="1">
      <c r="A28" s="18" t="s">
        <v>147</v>
      </c>
      <c r="B28" s="129">
        <f>IRR(B26:P26)</f>
        <v>0.5091157652908682</v>
      </c>
    </row>
    <row r="29" spans="1:2" ht="12.75">
      <c r="A29" s="22"/>
      <c r="B29" s="23"/>
    </row>
    <row r="30" spans="1:16" ht="12.75">
      <c r="A30" t="s">
        <v>105</v>
      </c>
      <c r="B30" s="5">
        <f>B34</f>
        <v>-2000000</v>
      </c>
      <c r="C30" s="5">
        <f aca="true" t="shared" si="6" ref="C30:P30">C26-C24</f>
        <v>875692.8989361702</v>
      </c>
      <c r="D30" s="5">
        <f t="shared" si="6"/>
        <v>875692.8989361702</v>
      </c>
      <c r="E30" s="5">
        <f t="shared" si="6"/>
        <v>875692.8989361702</v>
      </c>
      <c r="F30" s="5">
        <f t="shared" si="6"/>
        <v>875692.8989361702</v>
      </c>
      <c r="G30" s="5">
        <f t="shared" si="6"/>
        <v>875692.8989361702</v>
      </c>
      <c r="H30" s="5">
        <f t="shared" si="6"/>
        <v>875692.8989361702</v>
      </c>
      <c r="I30" s="5">
        <f t="shared" si="6"/>
        <v>875692.8989361702</v>
      </c>
      <c r="J30" s="5">
        <f t="shared" si="6"/>
        <v>875692.8989361702</v>
      </c>
      <c r="K30" s="5">
        <f t="shared" si="6"/>
        <v>875692.8989361702</v>
      </c>
      <c r="L30" s="5">
        <f t="shared" si="6"/>
        <v>875692.8989361702</v>
      </c>
      <c r="M30" s="5">
        <f t="shared" si="6"/>
        <v>875692.8989361702</v>
      </c>
      <c r="N30" s="5">
        <f t="shared" si="6"/>
        <v>875692.8989361702</v>
      </c>
      <c r="O30" s="5">
        <f t="shared" si="6"/>
        <v>875692.8989361702</v>
      </c>
      <c r="P30" s="5">
        <f t="shared" si="6"/>
        <v>875692.8989361702</v>
      </c>
    </row>
    <row r="31" ht="13.5" thickBot="1"/>
    <row r="32" spans="1:2" ht="13.5" thickBot="1">
      <c r="A32" s="18" t="s">
        <v>106</v>
      </c>
      <c r="B32" s="19">
        <f>IRR(B30:P30)</f>
        <v>0.43505940747797717</v>
      </c>
    </row>
    <row r="34" spans="1:16" ht="12.75">
      <c r="A34" t="s">
        <v>104</v>
      </c>
      <c r="B34" s="5">
        <f>B26</f>
        <v>-2000000</v>
      </c>
      <c r="C34" s="5">
        <f>C26-C24-C25</f>
        <v>725692.8989361702</v>
      </c>
      <c r="D34" s="5">
        <f aca="true" t="shared" si="7" ref="D34:P34">D26-D24-D25</f>
        <v>725692.8989361702</v>
      </c>
      <c r="E34" s="5">
        <f t="shared" si="7"/>
        <v>725692.8989361702</v>
      </c>
      <c r="F34" s="5">
        <f t="shared" si="7"/>
        <v>725692.8989361702</v>
      </c>
      <c r="G34" s="5">
        <f t="shared" si="7"/>
        <v>725692.8989361702</v>
      </c>
      <c r="H34" s="5">
        <f t="shared" si="7"/>
        <v>725692.8989361702</v>
      </c>
      <c r="I34" s="5">
        <f t="shared" si="7"/>
        <v>725692.8989361702</v>
      </c>
      <c r="J34" s="5">
        <f t="shared" si="7"/>
        <v>725692.8989361702</v>
      </c>
      <c r="K34" s="5">
        <f t="shared" si="7"/>
        <v>725692.8989361702</v>
      </c>
      <c r="L34" s="5">
        <f t="shared" si="7"/>
        <v>725692.8989361702</v>
      </c>
      <c r="M34" s="5">
        <f t="shared" si="7"/>
        <v>725692.8989361702</v>
      </c>
      <c r="N34" s="5">
        <f t="shared" si="7"/>
        <v>725692.8989361702</v>
      </c>
      <c r="O34" s="5">
        <f t="shared" si="7"/>
        <v>725692.8989361702</v>
      </c>
      <c r="P34" s="5">
        <f t="shared" si="7"/>
        <v>725692.8989361702</v>
      </c>
    </row>
    <row r="35" ht="13.5" thickBot="1"/>
    <row r="36" spans="1:2" ht="13.5" thickBot="1">
      <c r="A36" s="18" t="s">
        <v>107</v>
      </c>
      <c r="B36" s="19">
        <f>IRR(B34:P34)</f>
        <v>0.3578361979585834</v>
      </c>
    </row>
    <row r="38" spans="1:6" ht="12.75">
      <c r="A38" s="193">
        <f>IF('ERR &amp; Sensitivity Analysis'!$I$10="N","Note: Current calculations are based on user input and are not the original MCC estimates.",IF('ERR &amp; Sensitivity Analysis'!$I$11="N","Note: Current calculations are based on user input and are not the original MCC estimates.",0))</f>
        <v>0</v>
      </c>
      <c r="B38" s="193"/>
      <c r="C38" s="193"/>
      <c r="D38" s="193"/>
      <c r="E38" s="193"/>
      <c r="F38" s="193"/>
    </row>
  </sheetData>
  <mergeCells count="2">
    <mergeCell ref="G1:J1"/>
    <mergeCell ref="A38:F38"/>
  </mergeCells>
  <conditionalFormatting sqref="A38">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JFK School of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Steve Anderson</dc:creator>
  <cp:keywords/>
  <dc:description>Created on 08/24/07 by renaming "ERR for GDF v2.0.LOW.xls"</dc:description>
  <cp:lastModifiedBy>defuser</cp:lastModifiedBy>
  <cp:lastPrinted>2005-04-28T15:26:36Z</cp:lastPrinted>
  <dcterms:created xsi:type="dcterms:W3CDTF">2005-04-03T19:32:49Z</dcterms:created>
  <dcterms:modified xsi:type="dcterms:W3CDTF">2008-04-16T17:35:47Z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