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80" windowHeight="5925" activeTab="0"/>
  </bookViews>
  <sheets>
    <sheet name="tenyear.his (98)" sheetId="1" r:id="rId1"/>
  </sheets>
  <definedNames>
    <definedName name="_1989">'tenyear.his (98)'!$O$9:$AA$933</definedName>
    <definedName name="_xlnm.Print_Area" localSheetId="0">'tenyear.his (98)'!$A$1:$AP$926</definedName>
    <definedName name="_xlnm.Print_Titles" localSheetId="0">'tenyear.his (98)'!$A:$B,'tenyear.his (98)'!$6:$8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POB</author>
    <author>Office of Budget</author>
    <author>Jan Smith</author>
  </authors>
  <commentList>
    <comment ref="A9" authorId="0">
      <text>
        <r>
          <rPr>
            <sz val="9"/>
            <rFont val="Geneva"/>
            <family val="0"/>
          </rPr>
          <t xml:space="preserve"> </t>
        </r>
      </text>
    </comment>
    <comment ref="A18" authorId="0">
      <text>
        <r>
          <rPr>
            <sz val="9"/>
            <rFont val="Geneva"/>
            <family val="0"/>
          </rPr>
          <t>Account created in 1990 appropriations.  Renamed from Wildland Fire Management in 1995 and merged into consolidated Wildland Fire Mgmt account in 1996</t>
        </r>
      </text>
    </comment>
    <comment ref="A19" authorId="0">
      <text>
        <r>
          <rPr>
            <sz val="9"/>
            <rFont val="Geneva"/>
            <family val="0"/>
          </rPr>
          <t xml:space="preserve"> Renamed from wildland fire operation in 1995</t>
        </r>
      </text>
    </comment>
    <comment ref="P25" authorId="0">
      <text>
        <r>
          <rPr>
            <sz val="9"/>
            <rFont val="Geneva"/>
            <family val="0"/>
          </rPr>
          <t>includes "excess receipts" appropriation</t>
        </r>
      </text>
    </comment>
    <comment ref="Q25" authorId="0">
      <text>
        <r>
          <rPr>
            <sz val="9"/>
            <rFont val="Geneva"/>
            <family val="0"/>
          </rPr>
          <t>includes "excess receipts" appropriation</t>
        </r>
      </text>
    </comment>
    <comment ref="A71" authorId="0">
      <text>
        <r>
          <rPr>
            <sz val="9"/>
            <rFont val="Geneva"/>
            <family val="0"/>
          </rPr>
          <t>Renamed from leasing and royalty management</t>
        </r>
      </text>
    </comment>
    <comment ref="A74" authorId="0">
      <text>
        <r>
          <rPr>
            <sz val="9"/>
            <rFont val="Geneva"/>
            <family val="0"/>
          </rPr>
          <t>Renamed from: Payments to States from receipts under Mineral Leasing Act</t>
        </r>
      </text>
    </comment>
    <comment ref="A78" authorId="0">
      <text>
        <r>
          <rPr>
            <sz val="9"/>
            <rFont val="Geneva"/>
            <family val="0"/>
          </rPr>
          <t>Renamed from: Payments to States from receipts under Mineral Leasing Act</t>
        </r>
      </text>
    </comment>
    <comment ref="A85" authorId="0">
      <text>
        <r>
          <rPr>
            <sz val="9"/>
            <rFont val="Geneva"/>
            <family val="0"/>
          </rPr>
          <t>Renamed from: Payments to States from receipts under Mineral Leasing Act 1992 budget</t>
        </r>
      </text>
    </comment>
    <comment ref="V204" authorId="0">
      <text>
        <r>
          <rPr>
            <sz val="9"/>
            <rFont val="Geneva"/>
            <family val="0"/>
          </rPr>
          <t xml:space="preserve"> NBS -- 143 million and BOM mineral information incorporated in 1996</t>
        </r>
      </text>
    </comment>
    <comment ref="R215" authorId="0">
      <text>
        <r>
          <rPr>
            <sz val="9"/>
            <rFont val="Geneva"/>
            <family val="0"/>
          </rPr>
          <t>OMB classified as a definite permanent in FY 91</t>
        </r>
      </text>
    </comment>
    <comment ref="A298" authorId="0">
      <text>
        <r>
          <rPr>
            <sz val="9"/>
            <rFont val="Geneva"/>
            <family val="0"/>
          </rPr>
          <t>This account was redefined in the 1999 budget to exclude Federal Aid in Wildlife Restoration and include O&amp;M of quarters, sales, and Lahontin Valley.</t>
        </r>
      </text>
    </comment>
    <comment ref="Z117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68,000 Emergency Suppl. That's not shown in Appendix A
</t>
        </r>
      </text>
    </comment>
    <comment ref="Z693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>Includes 68,000 Emergency Suppl. That's not shown in Appendix A</t>
        </r>
        <r>
          <rPr>
            <b/>
            <sz val="9"/>
            <rFont val="Geneva"/>
            <family val="0"/>
          </rPr>
          <t xml:space="preserve">
</t>
        </r>
        <r>
          <rPr>
            <sz val="9"/>
            <rFont val="Geneva"/>
            <family val="0"/>
          </rPr>
          <t xml:space="preserve">
</t>
        </r>
      </text>
    </comment>
    <comment ref="Z756" authorId="1">
      <text>
        <r>
          <rPr>
            <b/>
            <sz val="9"/>
            <rFont val="Geneva"/>
            <family val="0"/>
          </rPr>
          <t xml:space="preserve">POB:  </t>
        </r>
        <r>
          <rPr>
            <sz val="9"/>
            <rFont val="Geneva"/>
            <family val="0"/>
          </rPr>
          <t xml:space="preserve">Includes 68,000 Emergency Suppl. That's not shown in Appendix A
</t>
        </r>
      </text>
    </comment>
    <comment ref="Z705" authorId="1">
      <text>
        <r>
          <rPr>
            <b/>
            <sz val="9"/>
            <rFont val="Geneva"/>
            <family val="0"/>
          </rPr>
          <t xml:space="preserve">POB:  </t>
        </r>
        <r>
          <rPr>
            <sz val="9"/>
            <rFont val="Geneva"/>
            <family val="0"/>
          </rPr>
          <t xml:space="preserve">Includes 116,500 for Priority Land Acquisition and Maintenance
</t>
        </r>
      </text>
    </comment>
    <comment ref="AA24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Additional funds to be allocated to this account from Priority Lands account in OS, includes 4.3 from section 349 and 5M from Consolid for Steens Mtn
Catherine 10/15/01 changed from 56,545.</t>
        </r>
      </text>
    </comment>
    <comment ref="AA262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Funds will be allocated here from Title VIII funds</t>
        </r>
      </text>
    </comment>
    <comment ref="AA338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New account created by taking Park Police out of ONPS</t>
        </r>
      </text>
    </comment>
    <comment ref="Z340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Account reactivated for FY 2001.  FY 2000 amount originally appropriated in NR&amp;P</t>
        </r>
      </text>
    </comment>
    <comment ref="AA348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Will receive additional funds from Title VIII unallocated funds. Includes 50M for stateside Title VIII includes 55.075 from Title VIII</t>
        </r>
      </text>
    </comment>
    <comment ref="AA105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12,600 for PA acide mine drainage</t>
        </r>
      </text>
    </comment>
    <comment ref="Z20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200M supplemental </t>
        </r>
      </text>
    </comment>
    <comment ref="Z24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2M supplemental for Douglas tract and 30.25 from title VI</t>
        </r>
      </text>
    </comment>
    <comment ref="Z104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9,821k for WV program.  Takes out est Civ Pen and uses actual
</t>
        </r>
      </text>
    </comment>
    <comment ref="Z405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supp 8,982 for NM pueblos Impacted by fire</t>
        </r>
      </text>
    </comment>
    <comment ref="AA15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17,172 in Title V emergency and 2,500 for Omnibus appropriations for Ft Irwin planning.
Also, this amout includes mining law collections.</t>
        </r>
      </text>
    </comment>
    <comment ref="AA258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Title V emergency 1500k and 5000k for Salmon restoration in Maine and 500 for WA salmon research</t>
        </r>
      </text>
    </comment>
    <comment ref="AA261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8500 Title V emergency funds</t>
        </r>
      </text>
    </comment>
    <comment ref="AA342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5,300 for Title V emegency approp and in omnibus 1500 for Stones R. battlefield; 2000 for Millennium park; and 10m transfer for Constitution ctr and 5M transfer for Ft Baker</t>
        </r>
      </text>
    </comment>
    <comment ref="AA405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title V for Yakima signal rd</t>
        </r>
      </text>
    </comment>
    <comment ref="AA579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cobell litigation funds in Title V</t>
        </r>
      </text>
    </comment>
    <comment ref="AA265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78M from Title VIII</t>
        </r>
      </text>
    </comment>
    <comment ref="AA268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20M from Title VIII</t>
        </r>
      </text>
    </comment>
    <comment ref="AA277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half in Title VIII half in omnibus bill</t>
        </r>
      </text>
    </comment>
    <comment ref="AA340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20M from Title VIII</t>
        </r>
      </text>
    </comment>
    <comment ref="AA341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15M from Title VIII and 100 for Masillon heritage foundation</t>
        </r>
      </text>
    </comment>
    <comment ref="AA23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50M from Title VIII</t>
        </r>
      </text>
    </comment>
    <comment ref="AA20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353740 in emergency funds in Title IV</t>
        </r>
      </text>
    </comment>
    <comment ref="Z128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$600,000 supp funds</t>
        </r>
      </text>
    </comment>
    <comment ref="AA271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funds from omnibus bill for great apes</t>
        </r>
      </text>
    </comment>
    <comment ref="AA337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100k for arlington boathouse study and 5000 transfer for Minuteman site.</t>
        </r>
      </text>
    </comment>
    <comment ref="AA339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500 for Constitution Ctr and 1100 for historic newbridge in omnibus bill</t>
        </r>
      </text>
    </comment>
    <comment ref="Z469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for comparability, these funds are shown in the bureau land acq accounts.  They were transferred by reimb. Agreement.</t>
        </r>
      </text>
    </comment>
    <comment ref="Z262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10.175 from title VI</t>
        </r>
      </text>
    </comment>
    <comment ref="Z348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 76.075 from Title VI less 15M that went to const (elwha 10, maint 5)</t>
        </r>
      </text>
    </comment>
    <comment ref="Z342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15M from Title VI and 4.974M for Ft Baker</t>
        </r>
      </text>
    </comment>
    <comment ref="Z502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includes am samoa loan scored at 3.097</t>
        </r>
      </text>
    </comment>
    <comment ref="AA32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Receipts reclassified as discretionary -- now account nets to $0
</t>
        </r>
      </text>
    </comment>
    <comment ref="Z158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Changed to zero as per Glenna's direction</t>
        </r>
      </text>
    </comment>
    <comment ref="Z162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Changed to zero as per Glenna's direction.</t>
        </r>
      </text>
    </comment>
    <comment ref="AA158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Changed to zero as per Glenna's direction.</t>
        </r>
      </text>
    </comment>
    <comment ref="AB32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charlie had 7,484, the conf report says we asked for 8,000.</t>
        </r>
      </text>
    </comment>
    <comment ref="AA146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Bureau tot for current on BAL is 746,545</t>
        </r>
      </text>
    </comment>
    <comment ref="Z161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Transferred from COE</t>
        </r>
      </text>
    </comment>
    <comment ref="AA161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Transferred from COE</t>
        </r>
      </text>
    </comment>
    <comment ref="AB277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FY02 approp rescinded $25m of FY 01 Title 8 BA
</t>
        </r>
      </text>
    </comment>
    <comment ref="AA278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Funded from commerce approp bill
</t>
        </r>
      </text>
    </comment>
    <comment ref="AA16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conservation spending new account. Non-add in 2001, roled into MLR dollars.</t>
        </r>
      </text>
    </comment>
    <comment ref="AA259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new conservation spending account. Non- add in 2001, roled into Resource Management dollars.</t>
        </r>
      </text>
    </comment>
    <comment ref="AA345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new account for conservation spending Non-add in 2001, roled into NPS construction.</t>
        </r>
      </text>
    </comment>
    <comment ref="AA101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Actual Civ penalties in hidden row below</t>
        </r>
      </text>
    </comment>
    <comment ref="X469" authorId="1">
      <text>
        <r>
          <rPr>
            <b/>
            <sz val="9"/>
            <rFont val="Geneva"/>
            <family val="0"/>
          </rPr>
          <t>POB:</t>
        </r>
        <r>
          <rPr>
            <sz val="9"/>
            <rFont val="Geneva"/>
            <family val="0"/>
          </rPr>
          <t xml:space="preserve">
for comparability, these funds are shown in the bureau land acq accounts.  They were transferred by reimb. Agreement.</t>
        </r>
      </text>
    </comment>
    <comment ref="U8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Amounts include rescission of BA and py balances (now) so doesn't equal App A</t>
        </r>
      </text>
    </comment>
    <comment ref="X8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App A did not include the Title 5 $532m (Hill didn't want to skew numbers)
</t>
        </r>
      </text>
    </comment>
    <comment ref="Z337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App A forgot the OMB drug transfer</t>
        </r>
      </text>
    </comment>
    <comment ref="Z339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App A forgot the transfer out to the OKC Memeorial
</t>
        </r>
      </text>
    </comment>
    <comment ref="W387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App a wrong.  This matches Pauls actuals
</t>
        </r>
      </text>
    </comment>
    <comment ref="AA374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 App A only includes receipts--forgot the contract auth BA.  MAX include the +861 and -861 liquidating in 02</t>
        </r>
      </text>
    </comment>
    <comment ref="X342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$20m from $532m title V</t>
        </r>
      </text>
    </comment>
    <comment ref="X348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Includes $107.065 from Title V.  We decided to put funds where used.
</t>
        </r>
      </text>
    </comment>
    <comment ref="X24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Includes $310.240m from title V</t>
        </r>
      </text>
    </comment>
    <comment ref="X262" authorId="2">
      <text>
        <r>
          <rPr>
            <b/>
            <sz val="9"/>
            <rFont val="Geneva"/>
            <family val="0"/>
          </rPr>
          <t>Office of Budget:</t>
        </r>
        <r>
          <rPr>
            <sz val="9"/>
            <rFont val="Geneva"/>
            <family val="0"/>
          </rPr>
          <t xml:space="preserve">
includes $94.695m from title V</t>
        </r>
      </text>
    </comment>
    <comment ref="AD8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april, 2003
PL 108-7, 1117 Stat.11 includes .0065 across the board recission</t>
        </r>
      </text>
    </comment>
    <comment ref="AD20" authorId="2">
      <text>
        <r>
          <rPr>
            <b/>
            <sz val="11"/>
            <rFont val="Tahoma"/>
            <family val="2"/>
          </rPr>
          <t>Office of Budget:</t>
        </r>
        <r>
          <rPr>
            <sz val="11"/>
            <rFont val="Tahoma"/>
            <family val="2"/>
          </rPr>
          <t xml:space="preserve">
Includes 189m for 02 fire season transfers (total transfers $240m)  not subject to ATB</t>
        </r>
      </text>
    </comment>
    <comment ref="A33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OMB and Hill reclassifed Serv Charge receipts as discretionary in Fall of 2001
</t>
        </r>
      </text>
    </comment>
    <comment ref="AD106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sec 153</t>
        </r>
      </text>
    </comment>
    <comment ref="AB1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includes $13.358m in MLAP not offset by collections</t>
        </r>
      </text>
    </comment>
    <comment ref="AB20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inlcudes $54m in released cont emerg +16562 in fire transfers from FWS. Exludes 223m in unoblg bal transfers</t>
        </r>
      </text>
    </comment>
    <comment ref="AB8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there was a travel/admin cost rescission affecting some accounts</t>
        </r>
      </text>
    </comment>
    <comment ref="AB21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Corps transfer</t>
        </r>
      </text>
    </comment>
    <comment ref="AB104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+34 actual civil penalties -travel/adm</t>
        </r>
      </text>
    </comment>
    <comment ref="AB117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in 2002, UMWA returned $23.3m of unused funds as offsetting collections</t>
        </r>
      </text>
    </comment>
    <comment ref="AB128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+30.3 supp+7m supp+200m terminal lake transfer+800transfer-285 trav/admin</t>
        </r>
      </text>
    </comment>
    <comment ref="AC128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includes sept budget amendment (net increase for sumner peck)</t>
        </r>
      </text>
    </comment>
    <comment ref="AB261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BA transferred to fire
</t>
        </r>
      </text>
    </comment>
    <comment ref="AB262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BA transfer to fire</t>
        </r>
      </text>
    </comment>
    <comment ref="AC26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2.1m sept budget amdmt for PA Ave</t>
        </r>
      </text>
    </comment>
    <comment ref="AC342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Sept budget amendment for PA Ave
</t>
        </r>
      </text>
    </comment>
    <comment ref="AD337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includes $1.764m (gross before ATB) for reapprop African Amer Museum sec 137</t>
        </r>
      </text>
    </comment>
    <comment ref="AB40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plus reapprop of expiring balances - San Carlos Irrig rescission - travel/admin rescission</t>
        </r>
      </text>
    </comment>
    <comment ref="AC40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$2m Sept Budget Amdmt for PA Ave.
</t>
        </r>
      </text>
    </comment>
    <comment ref="AE40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$2m Sept Budget Amdmt for PA Ave.
</t>
        </r>
      </text>
    </comment>
    <comment ref="AC464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includes estimated +568 from OIG transfer of self gov overhead audit functions</t>
        </r>
      </text>
    </comment>
    <comment ref="AB502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FEMA transfer
</t>
        </r>
      </text>
    </comment>
    <comment ref="AE514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weird proposal for renogiation of compacts</t>
        </r>
      </text>
    </comment>
    <comment ref="AC560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transfer to DM for overhead audit function
</t>
        </r>
      </text>
    </comment>
    <comment ref="AB596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Increase due to correct A-11 reporting of investments - must report every transaction as receipt and outlay</t>
        </r>
      </text>
    </comment>
    <comment ref="AB597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increase due to same as above</t>
        </r>
      </text>
    </comment>
    <comment ref="AE516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Includes $19m in net legislative proposal
</t>
        </r>
      </text>
    </comment>
    <comment ref="AD931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hard entered Shivwitz in Indian Settlements acct</t>
        </r>
      </text>
    </comment>
    <comment ref="AA932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added in USPP
</t>
        </r>
      </text>
    </comment>
    <comment ref="AD258" authorId="2">
      <text>
        <r>
          <rPr>
            <b/>
            <sz val="11"/>
            <rFont val="Tahoma"/>
            <family val="2"/>
          </rPr>
          <t>Office of Budget:</t>
        </r>
        <r>
          <rPr>
            <sz val="11"/>
            <rFont val="Tahoma"/>
            <family val="2"/>
          </rPr>
          <t xml:space="preserve">
Includes transfers from DoD for Vieques and Niassa $15m.  Also 5m supp</t>
        </r>
      </text>
    </comment>
    <comment ref="AD405" authorId="2">
      <text>
        <r>
          <rPr>
            <b/>
            <sz val="11"/>
            <rFont val="Tahoma"/>
            <family val="2"/>
          </rPr>
          <t>Office of Budget:</t>
        </r>
        <r>
          <rPr>
            <sz val="11"/>
            <rFont val="Tahoma"/>
            <family val="2"/>
          </rPr>
          <t xml:space="preserve">
+9.690 in reappropriations
</t>
        </r>
      </text>
    </comment>
    <comment ref="AH8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april, 2003
PL 108-7, 1117 Stat.11 includes .0065 across the board recission</t>
        </r>
      </text>
    </comment>
    <comment ref="AH40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$2m Sept Budget Amdmt for PA Ave.
</t>
        </r>
      </text>
    </comment>
    <comment ref="AF40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$2m Sept Budget Amdmt for PA Ave.
</t>
        </r>
      </text>
    </comment>
    <comment ref="AI40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$2m Sept Budget Amdmt for PA Ave.
</t>
        </r>
      </text>
    </comment>
    <comment ref="AL8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Includes only certain supps as detailed in 2007 budget highlites</t>
        </r>
      </text>
    </comment>
    <comment ref="AG8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 xml:space="preserve">Matches Appendix A in 06 Highlites
</t>
        </r>
      </text>
    </comment>
    <comment ref="A475" authorId="2">
      <text>
        <r>
          <rPr>
            <b/>
            <sz val="12"/>
            <rFont val="Tahoma"/>
            <family val="2"/>
          </rPr>
          <t>Office of Budget:</t>
        </r>
        <r>
          <rPr>
            <sz val="12"/>
            <rFont val="Tahoma"/>
            <family val="2"/>
          </rPr>
          <t xml:space="preserve">
Why no
 PY BA entry?</t>
        </r>
      </text>
    </comment>
    <comment ref="AM40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$2m Sept Budget Amdmt for PA Ave.
</t>
        </r>
      </text>
    </comment>
    <comment ref="AJ8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includes all supps and transfers</t>
        </r>
      </text>
    </comment>
    <comment ref="AI8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As reported in 2006 Budget highlites</t>
        </r>
      </text>
    </comment>
    <comment ref="AJ717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+1 for MK Appendix A </t>
        </r>
      </text>
    </comment>
    <comment ref="AJ719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-1 for MK Appendix A</t>
        </r>
      </text>
    </comment>
    <comment ref="AJ748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+1 for MK Appendix A
</t>
        </r>
      </text>
    </comment>
    <comment ref="AJ895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-1 tp macth Appendix A
</t>
        </r>
      </text>
    </comment>
    <comment ref="AN40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$2m Sept Budget Amdmt for PA Ave.
</t>
        </r>
      </text>
    </comment>
    <comment ref="AP40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$2m Sept Budget Amdmt for PA Ave.
</t>
        </r>
      </text>
    </comment>
    <comment ref="AK717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+1 for MK Appendix A </t>
        </r>
      </text>
    </comment>
    <comment ref="AK719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-1 for MK Appendix A</t>
        </r>
      </text>
    </comment>
    <comment ref="AK748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+1 for MK Appendix A
</t>
        </r>
      </text>
    </comment>
    <comment ref="AK895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-1 tp macth Appendix A
</t>
        </r>
      </text>
    </comment>
    <comment ref="AK436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Highlites wrong
</t>
        </r>
      </text>
    </comment>
    <comment ref="AL436" authorId="3">
      <text>
        <r>
          <rPr>
            <b/>
            <sz val="8"/>
            <rFont val="Tahoma"/>
            <family val="0"/>
          </rPr>
          <t>Jan Smith:</t>
        </r>
        <r>
          <rPr>
            <sz val="8"/>
            <rFont val="Tahoma"/>
            <family val="0"/>
          </rPr>
          <t xml:space="preserve">
FIX later
</t>
        </r>
      </text>
    </comment>
    <comment ref="AO405" authorId="2">
      <text>
        <r>
          <rPr>
            <b/>
            <sz val="8"/>
            <rFont val="Tahoma"/>
            <family val="0"/>
          </rPr>
          <t>Office of Budget:</t>
        </r>
        <r>
          <rPr>
            <sz val="8"/>
            <rFont val="Tahoma"/>
            <family val="0"/>
          </rPr>
          <t xml:space="preserve">
less $2m Sept Budget Amdmt for PA Ave.
</t>
        </r>
      </text>
    </comment>
  </commentList>
</comments>
</file>

<file path=xl/sharedStrings.xml><?xml version="1.0" encoding="utf-8"?>
<sst xmlns="http://schemas.openxmlformats.org/spreadsheetml/2006/main" count="1840" uniqueCount="470">
  <si>
    <t xml:space="preserve">    Coastal Impact Assistance</t>
  </si>
  <si>
    <t xml:space="preserve">  Spectrum Relocation activities, W&amp;R transfer in from OMB…..</t>
  </si>
  <si>
    <t>[31237]</t>
  </si>
  <si>
    <t xml:space="preserve">  AML transfer to Combined Benefits Fund........</t>
  </si>
  <si>
    <t>*  FY 1998 and 2000 amounts include Title 5 and 6 funds distributed to the bureau from the Department's Priority Federal land acquisition account as follows: Title V-A319$94.695m and Title 6-$10.175m.</t>
  </si>
  <si>
    <t>*  FY 1998 and 2000 amounts include Title 5 and 6 funds distributed to the bureau from the Department's Priority Federal land acquisition account as follows: Title V-$20m to construction; $107.065m to land acquisition and Title 6-$15m to construction and $61.075m. to land acquisition.</t>
  </si>
  <si>
    <t>Departmental Management</t>
  </si>
  <si>
    <t>Insular Affairs</t>
  </si>
  <si>
    <t>account was located in</t>
  </si>
  <si>
    <t xml:space="preserve">      Total, Permanent Appropriations.............</t>
  </si>
  <si>
    <t xml:space="preserve">      Total, Permanent Authority..................</t>
  </si>
  <si>
    <t xml:space="preserve">  National recreation and preservation............</t>
  </si>
  <si>
    <t xml:space="preserve">  Road construction...............................</t>
  </si>
  <si>
    <t xml:space="preserve">  Office of the Solicitor..........................</t>
  </si>
  <si>
    <t xml:space="preserve">      Total, Permanent Funds................</t>
  </si>
  <si>
    <t xml:space="preserve">  Donations and contributed funds</t>
  </si>
  <si>
    <t xml:space="preserve">      Total, National Biological Service..............</t>
  </si>
  <si>
    <t xml:space="preserve">        &amp; allied purposes</t>
  </si>
  <si>
    <t xml:space="preserve">    National Forest fund, payments to states</t>
  </si>
  <si>
    <t>[102,730]</t>
  </si>
  <si>
    <t xml:space="preserve">      Total, GEOLOGICAL SURVEY....................</t>
  </si>
  <si>
    <t>BUREAU OF MINES</t>
  </si>
  <si>
    <t xml:space="preserve">  Navajo rehabilitation fund</t>
  </si>
  <si>
    <t xml:space="preserve">  White Earth settlement fund</t>
  </si>
  <si>
    <t xml:space="preserve">  offsetting receipts</t>
  </si>
  <si>
    <t>see Dept Mgt</t>
  </si>
  <si>
    <t>merged in Other</t>
  </si>
  <si>
    <t>(See BLM)</t>
  </si>
  <si>
    <t>(enacted in BIA Settlements)</t>
  </si>
  <si>
    <t>Deflator, copy in from most current (base = 1985)</t>
  </si>
  <si>
    <t>For Graphics</t>
  </si>
  <si>
    <t>w/ 04 amendment</t>
  </si>
  <si>
    <t xml:space="preserve">  National Passport program</t>
  </si>
  <si>
    <t xml:space="preserve">  Recreation fee permanent appropriations (lrg items as non-add for info)........…</t>
  </si>
  <si>
    <t>[124856]</t>
  </si>
  <si>
    <t>[16846]</t>
  </si>
  <si>
    <t>[28865]</t>
  </si>
  <si>
    <t>[25121]</t>
  </si>
  <si>
    <t>[25305]</t>
  </si>
  <si>
    <t>[103,730]</t>
  </si>
  <si>
    <t>Enacted</t>
  </si>
  <si>
    <t>Actual</t>
  </si>
  <si>
    <t>w/ Amendments</t>
  </si>
  <si>
    <t xml:space="preserve"> See DM - proposed there in 2006</t>
  </si>
  <si>
    <t>[122,730]</t>
  </si>
  <si>
    <t xml:space="preserve">  State and tribal wildlife grants</t>
  </si>
  <si>
    <t>[27785]</t>
  </si>
  <si>
    <t>[31224]</t>
  </si>
  <si>
    <t xml:space="preserve">  Central Hazardous Materials Fund........................</t>
  </si>
  <si>
    <t>proposed in DM in 06</t>
  </si>
  <si>
    <t xml:space="preserve">  Special Foreign Currency .......................</t>
  </si>
  <si>
    <t xml:space="preserve">  Indian Arts &amp; Crafts Board (transfer in 05)</t>
  </si>
  <si>
    <t>[37]</t>
  </si>
  <si>
    <t xml:space="preserve">    Geothermal Revenues, Payments to Counties</t>
  </si>
  <si>
    <t>Permanent Contract Authority .....................</t>
  </si>
  <si>
    <t>Office of Surface Mining .........................</t>
  </si>
  <si>
    <t>Bureau of Reclamation ............................</t>
  </si>
  <si>
    <t xml:space="preserve">  Emergency fund....................................................</t>
  </si>
  <si>
    <t xml:space="preserve">  Federal aid in wildlife restoration</t>
  </si>
  <si>
    <t xml:space="preserve">  Contributed funds.(BR)...........................</t>
  </si>
  <si>
    <t xml:space="preserve">  Service charges, deposits, and forfeitures......</t>
  </si>
  <si>
    <t xml:space="preserve">  Regulation and technology.......................</t>
  </si>
  <si>
    <t xml:space="preserve">  Abandoned mine reclamation fund.................</t>
  </si>
  <si>
    <t>FY 1995 amounts includes rescissions of BA and py balances, PL 104-19 (OMB scoirng rule).</t>
  </si>
  <si>
    <t>FY 1998 shows the Title 5 funding ($532m) distributed to the bureaus</t>
  </si>
  <si>
    <t>FY 2000 shows the Title 5 funding ($116.5m) distributed to the bureaus</t>
  </si>
  <si>
    <t>FY 2002 includes emergency supplmental funding for counter-terrorism activities, PL 106-117.</t>
  </si>
  <si>
    <t xml:space="preserve">FY 1998 and 2000 amounts appropriated in Title 5 and 6 funds are shown in the bureau accounts.  </t>
  </si>
  <si>
    <t>[532,000]</t>
  </si>
  <si>
    <t xml:space="preserve">  Loan program subsidy re-estimate..........</t>
  </si>
  <si>
    <t xml:space="preserve">  Coop endangered species conservation fund</t>
  </si>
  <si>
    <t xml:space="preserve">  Multinational species conservation fund</t>
  </si>
  <si>
    <t xml:space="preserve">  Wildlife conservation and appreciation fund</t>
  </si>
  <si>
    <t xml:space="preserve">  Commercial salmon fishery capacity reduction</t>
  </si>
  <si>
    <t>Current Trusts....................................</t>
  </si>
  <si>
    <t xml:space="preserve">      Total, DEPARTMENTAL MANAGEMENT</t>
  </si>
  <si>
    <t>INSULAR AFFAIRS</t>
  </si>
  <si>
    <t>Construction Funding -- NPS, FWS, BLM, BIA</t>
  </si>
  <si>
    <t>OFFICE OF WATER RESEARCH AND TECHNOLOGY</t>
  </si>
  <si>
    <t>Combined with the Bureau of Reclamation and</t>
  </si>
  <si>
    <t>-----------</t>
  </si>
  <si>
    <t xml:space="preserve"> the Office of the Secretary</t>
  </si>
  <si>
    <t>OFFICE OF SPECIAL TRUSTEE</t>
  </si>
  <si>
    <t xml:space="preserve"> FOR AMERICAN INDIANS</t>
  </si>
  <si>
    <t xml:space="preserve">  Planning, devlpmnt, &amp; opn of recreatn facilities</t>
  </si>
  <si>
    <t xml:space="preserve">  Fee revenues....................................</t>
  </si>
  <si>
    <t>*  FY 1998 and 2000 amounts include Title 5 and 6 funds distributed to the bureau from the Department's Priority Federal land acquisition account as follows: Title V-$310.240m and Title 6-$30.250m.</t>
  </si>
  <si>
    <t xml:space="preserve">      Total, OFFICE OF SURFACE MINING..............</t>
  </si>
  <si>
    <t xml:space="preserve">  Forest ecosystem health and recovery</t>
  </si>
  <si>
    <t xml:space="preserve">  Permanent operating funds</t>
  </si>
  <si>
    <t xml:space="preserve">  Miscellaneous permanent payment accounts</t>
  </si>
  <si>
    <t xml:space="preserve">  Concessions improvement accounts</t>
  </si>
  <si>
    <t xml:space="preserve">  Operation and maintenance.......................</t>
  </si>
  <si>
    <t xml:space="preserve">      Total, OFFICE OF INSPECTOR GENERAL..........</t>
  </si>
  <si>
    <t xml:space="preserve">  Upper Colorado River storage project............</t>
  </si>
  <si>
    <t xml:space="preserve">  Central Valley Project Restoration Fund</t>
  </si>
  <si>
    <t xml:space="preserve">  Colorado River dam fund, Boulder Canyon project.</t>
  </si>
  <si>
    <t xml:space="preserve"> --Total Current Authority by Bureau --</t>
  </si>
  <si>
    <t xml:space="preserve">      Total, Current Authority [without fire accounts]...............</t>
  </si>
  <si>
    <t>Request</t>
  </si>
  <si>
    <t>BUREAU OF LAND MANAGEMENT</t>
  </si>
  <si>
    <t>Current Authority</t>
  </si>
  <si>
    <t>Definite Appropriations:</t>
  </si>
  <si>
    <t xml:space="preserve">  Land and water conservation fund................</t>
  </si>
  <si>
    <t xml:space="preserve">  Historic preservation fund......................</t>
  </si>
  <si>
    <t xml:space="preserve">  Landowner incentive program</t>
  </si>
  <si>
    <t xml:space="preserve">  Private stewardship grants program</t>
  </si>
  <si>
    <t xml:space="preserve">  Neotropical migratory birds conservation fund</t>
  </si>
  <si>
    <t>Office of Water Research and Technology ..........</t>
  </si>
  <si>
    <t xml:space="preserve">  Visitor facilities fund.........................</t>
  </si>
  <si>
    <t xml:space="preserve">   Ill. &amp; Mich. canal</t>
  </si>
  <si>
    <t xml:space="preserve">      Total, HERITAGE CONS. &amp; RECREATION SERVICE..</t>
  </si>
  <si>
    <t xml:space="preserve">  Management of lands and resources...............</t>
  </si>
  <si>
    <t xml:space="preserve">  Acquisition, construction and maintenance.......</t>
  </si>
  <si>
    <t xml:space="preserve">  Fire Protection</t>
  </si>
  <si>
    <t>[114,748]</t>
  </si>
  <si>
    <t xml:space="preserve">  Emergency DOI firefighting fund</t>
  </si>
  <si>
    <t>[120,945]</t>
  </si>
  <si>
    <t>DEPARTMENT TOTAL (Interior &amp; Rel. Ag'y Approp.)</t>
  </si>
  <si>
    <t xml:space="preserve">  Oregon and California grant lands...............</t>
  </si>
  <si>
    <t xml:space="preserve">  Park concessions franchise fees</t>
  </si>
  <si>
    <t xml:space="preserve">  Alaska Native fund..............................</t>
  </si>
  <si>
    <t xml:space="preserve">  Departmental operations.........................</t>
  </si>
  <si>
    <t xml:space="preserve">  Management of Federal lands for subsistence uses......…</t>
  </si>
  <si>
    <t>(FORMERLY TERRITORIAL AND INTERNATIONAL AFFAIRS)</t>
  </si>
  <si>
    <t xml:space="preserve">  Trust territory of the Pacific islands..........</t>
  </si>
  <si>
    <t xml:space="preserve">  Payment for trust accounting deficiencies</t>
  </si>
  <si>
    <t xml:space="preserve">  Miscellaneous Indian trust payment</t>
  </si>
  <si>
    <t xml:space="preserve"> Transferred to Department of Labor</t>
  </si>
  <si>
    <t>OFFICE OF SURFACE MINING RECLAMATION AND ENFORCEMENT</t>
  </si>
  <si>
    <t>Current Appropriations ............................</t>
  </si>
  <si>
    <t>U.S. FISH AND WILDLIFE SERVICE</t>
  </si>
  <si>
    <t>MINERALS MANAGEMENT SERVICE</t>
  </si>
  <si>
    <t xml:space="preserve">  Royalty and offshore minerals management..................</t>
  </si>
  <si>
    <t xml:space="preserve">  Technical assistance of Indian enterprises.....</t>
  </si>
  <si>
    <t xml:space="preserve">  Range improvements..............................</t>
  </si>
  <si>
    <t xml:space="preserve">  Office of Inspector General.....................</t>
  </si>
  <si>
    <t xml:space="preserve">  CRDF, Boulder Canyon proj. (WAPA transfer)</t>
  </si>
  <si>
    <t xml:space="preserve">  Construction management.........................</t>
  </si>
  <si>
    <t xml:space="preserve">  Wildland fire management</t>
  </si>
  <si>
    <t xml:space="preserve">  Payment in lieu of taxes.......................</t>
  </si>
  <si>
    <t xml:space="preserve">  Construction [and access].........................</t>
  </si>
  <si>
    <t xml:space="preserve">  Resource management contingent emergency funds</t>
  </si>
  <si>
    <t xml:space="preserve">  Cooperative endangered species conservation fund</t>
  </si>
  <si>
    <t xml:space="preserve">  Lahontan V. &amp; Pyramid Lake fish &amp; wildlife fund</t>
  </si>
  <si>
    <t xml:space="preserve">  Park Police Pension annuitant benefits</t>
  </si>
  <si>
    <t xml:space="preserve">  Historic preservation fund contingent supp. funds</t>
  </si>
  <si>
    <t xml:space="preserve">     Infrastructure improvement............…(merged in 2002)</t>
  </si>
  <si>
    <t>(in MSCF)</t>
  </si>
  <si>
    <t>[49,890]</t>
  </si>
  <si>
    <t xml:space="preserve">  Construction (trust fund).......................</t>
  </si>
  <si>
    <t xml:space="preserve">      Total, Current Trust Funds..................</t>
  </si>
  <si>
    <t>[28,000]</t>
  </si>
  <si>
    <t>[9,857]</t>
  </si>
  <si>
    <t>[12,500]</t>
  </si>
  <si>
    <t xml:space="preserve">  TOTAL ..........................................</t>
  </si>
  <si>
    <t>[24,945]</t>
  </si>
  <si>
    <t xml:space="preserve">       ROMM, offset..........................................</t>
  </si>
  <si>
    <t xml:space="preserve">  Loan program liquidating account ....................................</t>
  </si>
  <si>
    <t xml:space="preserve">  Road construction (appropriation to liquidate contract authority)...............................</t>
  </si>
  <si>
    <t>Transferred to Department of Labor</t>
  </si>
  <si>
    <t xml:space="preserve">      Total, MINING ENFORCEMENT &amp; SAFETY ADMIN....</t>
  </si>
  <si>
    <t xml:space="preserve">  Operations and maint. of quarters (combined).....................</t>
  </si>
  <si>
    <t>CENTRAL UTAH PROJECT COMPLETION ACT</t>
  </si>
  <si>
    <t>[100,230]</t>
  </si>
  <si>
    <t xml:space="preserve">      Total, Permanent Contract Authority.........</t>
  </si>
  <si>
    <t xml:space="preserve">      Total, FISH AND WILDLIFE SERVICE............</t>
  </si>
  <si>
    <t>NATIONAL BIOLOGICAL SERVICE</t>
  </si>
  <si>
    <t xml:space="preserve">  Exploration of nat'l petroleum reserve in Alaska</t>
  </si>
  <si>
    <t xml:space="preserve">  Working Capital Fund............</t>
  </si>
  <si>
    <t xml:space="preserve">  Other permanent appropriations...........</t>
  </si>
  <si>
    <t>Restructured permanent accounts</t>
  </si>
  <si>
    <t>presentation for FY 2000 P.B.</t>
  </si>
  <si>
    <t>(see OST)</t>
  </si>
  <si>
    <t>(Formed from merging Asian and Af. Elephant, Rhino and Tiger funds.)</t>
  </si>
  <si>
    <t xml:space="preserve">  Development and opn. of recreation facilities...</t>
  </si>
  <si>
    <t xml:space="preserve">  National wildlife refuge fund...................</t>
  </si>
  <si>
    <t xml:space="preserve">  Rhinoceros and tiger conservation fund</t>
  </si>
  <si>
    <t>(see above)</t>
  </si>
  <si>
    <t>(In Misc. P.)</t>
  </si>
  <si>
    <t xml:space="preserve">      Total, BUREAU OF INDIAN AFFAIRS.............</t>
  </si>
  <si>
    <t xml:space="preserve">  Office of the Special Trustee for Amer. Indians</t>
  </si>
  <si>
    <t xml:space="preserve">  Miscellaneous permanents</t>
  </si>
  <si>
    <t>(Merges Tribal economic recovery fund and Cochiti wetfields solution accts.)</t>
  </si>
  <si>
    <t xml:space="preserve">      Total, OFFICE OF SPECIAL TRUSTEE</t>
  </si>
  <si>
    <t>NATIONAL INDIAN GAMING COMMISSION</t>
  </si>
  <si>
    <t>Office of the Solicitor ..........................</t>
  </si>
  <si>
    <t>Office of Inspector General ......................</t>
  </si>
  <si>
    <t>Office of Special Trustee for American Indians</t>
  </si>
  <si>
    <t>National Indian Gaming Commission.................</t>
  </si>
  <si>
    <t>Mining Enforcement and Safety Administration .....</t>
  </si>
  <si>
    <t>Heritage Conservation and Recreation Service .....</t>
  </si>
  <si>
    <t xml:space="preserve">  Colorado River Basin project....................</t>
  </si>
  <si>
    <t>NATURAL RESOURCES DAMAGE ASSESSMENT AND RESTORATION</t>
  </si>
  <si>
    <t>(see BIA)</t>
  </si>
  <si>
    <t>Central Utah Project Completion Act</t>
  </si>
  <si>
    <t xml:space="preserve">      Total, Current Authority ...................</t>
  </si>
  <si>
    <t xml:space="preserve">      (Total without Bureau of Reclamation and Central Utah Project Completion Act) ......</t>
  </si>
  <si>
    <t>--Permanent Authority--</t>
  </si>
  <si>
    <t>Departmental Management ..........................</t>
  </si>
  <si>
    <t xml:space="preserve">      Total, Permanent Authority .................</t>
  </si>
  <si>
    <t>Current Appropriations ...........................</t>
  </si>
  <si>
    <t xml:space="preserve">     Subtotal, Current Authority</t>
  </si>
  <si>
    <t xml:space="preserve">     Subtotal, Permanent Authority</t>
  </si>
  <si>
    <t>GRAND TOTAL.......................................</t>
  </si>
  <si>
    <t>[71,675]</t>
  </si>
  <si>
    <t>[100,000]</t>
  </si>
  <si>
    <t>[124,000]</t>
  </si>
  <si>
    <t xml:space="preserve">  Migratory bird conservation account.............</t>
  </si>
  <si>
    <t xml:space="preserve">  North American wetlands conservation fund</t>
  </si>
  <si>
    <t xml:space="preserve">  Rewards and operations</t>
  </si>
  <si>
    <t>(see below)</t>
  </si>
  <si>
    <t xml:space="preserve">  Subtotal Current Appropriations</t>
  </si>
  <si>
    <t xml:space="preserve">  Subtotal Permanent Appropriations</t>
  </si>
  <si>
    <t xml:space="preserve">  Preservation of Historic Properties.............</t>
  </si>
  <si>
    <t xml:space="preserve">  John F. Kennedy Center for the Performing Arts..</t>
  </si>
  <si>
    <t>Trans. from DOI</t>
  </si>
  <si>
    <t xml:space="preserve">  Total ..........................................</t>
  </si>
  <si>
    <t xml:space="preserve">      Total, BUREAU OF LAND MANAGEMENT.............</t>
  </si>
  <si>
    <t>Fish and Wildlife Service ........................</t>
  </si>
  <si>
    <t xml:space="preserve">  Contributed funds...............................</t>
  </si>
  <si>
    <t xml:space="preserve">      Total, Permanent Trust Funds.................</t>
  </si>
  <si>
    <t>[2000]</t>
  </si>
  <si>
    <t xml:space="preserve">  Urban park and recreation fund…(non-add in 2000)</t>
  </si>
  <si>
    <t xml:space="preserve">  Working capital fund............................</t>
  </si>
  <si>
    <t xml:space="preserve">  National Indian Gaming Commission..................</t>
  </si>
  <si>
    <t xml:space="preserve">      Total, NATIONAL INDIAN GAMING COMMISSION..............</t>
  </si>
  <si>
    <t>OFFICE OF THE SOLICITOR</t>
  </si>
  <si>
    <t>National Biological Service</t>
  </si>
  <si>
    <t>National Park Service ............................</t>
  </si>
  <si>
    <t>Bureau of Indian Affairs .........................</t>
  </si>
  <si>
    <t xml:space="preserve">  King Cove road and airstrip...........…</t>
  </si>
  <si>
    <t>FISH AND WILDLIFE SERVICE</t>
  </si>
  <si>
    <t>ACCOUNTS</t>
  </si>
  <si>
    <t xml:space="preserve">  1977 </t>
  </si>
  <si>
    <t xml:space="preserve">  1978 </t>
  </si>
  <si>
    <t xml:space="preserve">  1979 </t>
  </si>
  <si>
    <t xml:space="preserve">  1980 </t>
  </si>
  <si>
    <t xml:space="preserve">  1981 </t>
  </si>
  <si>
    <t xml:space="preserve">  1982 </t>
  </si>
  <si>
    <t xml:space="preserve">  1983 </t>
  </si>
  <si>
    <t xml:space="preserve">  1984 </t>
  </si>
  <si>
    <t xml:space="preserve">  1985 </t>
  </si>
  <si>
    <t xml:space="preserve">  1986 </t>
  </si>
  <si>
    <t xml:space="preserve">  1987 </t>
  </si>
  <si>
    <t xml:space="preserve">  1988 </t>
  </si>
  <si>
    <t xml:space="preserve"> 1989</t>
  </si>
  <si>
    <t> 1990</t>
  </si>
  <si>
    <t> 1991</t>
  </si>
  <si>
    <t> 1992</t>
  </si>
  <si>
    <t> 1994</t>
  </si>
  <si>
    <t xml:space="preserve">      Total, Permanent Trust Funds................</t>
  </si>
  <si>
    <t xml:space="preserve">      Total, OFFICE OF THE SOLICITOR..............</t>
  </si>
  <si>
    <t>OFFICE OF INSPECTOR GENERAL</t>
  </si>
  <si>
    <t xml:space="preserve">      Total, MINERALS MANAGEMENT SERVICE..........</t>
  </si>
  <si>
    <t>OFFICE OF SURFACE MINING</t>
  </si>
  <si>
    <t>RECLAMATION AND ENFORCEMENT</t>
  </si>
  <si>
    <t xml:space="preserve">    Mineral leasing and associated payments...........................</t>
  </si>
  <si>
    <t xml:space="preserve">  Water  and related Resources.....................</t>
  </si>
  <si>
    <t xml:space="preserve">  Policy and administration (nee Gen. Adm. Exp.)</t>
  </si>
  <si>
    <t xml:space="preserve">  California bay-delta</t>
  </si>
  <si>
    <t xml:space="preserve">  Contingent emergency funds (92 drought supp)</t>
  </si>
  <si>
    <t xml:space="preserve">  Loan program liquidating account.......…</t>
  </si>
  <si>
    <t xml:space="preserve">  Sport fish restoration..........................</t>
  </si>
  <si>
    <t xml:space="preserve">  Dutch John expenditures</t>
  </si>
  <si>
    <t xml:space="preserve">  Natural res. damage assessment and restoration fund</t>
  </si>
  <si>
    <t xml:space="preserve">  Lahontan Valley &amp; Pyramid Lake fish &amp; wildlife fund</t>
  </si>
  <si>
    <t xml:space="preserve">  Indian land &amp; water claim set. &amp; misc. payments to Indians</t>
  </si>
  <si>
    <t>(de-authorized)</t>
  </si>
  <si>
    <t>Permanent Appropriations .........................</t>
  </si>
  <si>
    <t>Permanent Trusts .................................</t>
  </si>
  <si>
    <t xml:space="preserve"> Combined with the Bureau of Reclamation and</t>
  </si>
  <si>
    <t xml:space="preserve">   the Office of the Secretary</t>
  </si>
  <si>
    <t xml:space="preserve">  Operation of Indian programs....................</t>
  </si>
  <si>
    <t xml:space="preserve">      Total, OFFICE OF WATER RESEARCH &amp; TECHNOLOGY</t>
  </si>
  <si>
    <t xml:space="preserve">  Payment to tribal economic recovery fund</t>
  </si>
  <si>
    <t xml:space="preserve">  Tribal economic recovery fund</t>
  </si>
  <si>
    <t>Transfer to OST 1997</t>
  </si>
  <si>
    <t xml:space="preserve">  Lower Colorado R. basin development fund..........</t>
  </si>
  <si>
    <t xml:space="preserve">  Upper Colorado R. basin fund</t>
  </si>
  <si>
    <t xml:space="preserve">  San Gabriel basin restoration fund</t>
  </si>
  <si>
    <t xml:space="preserve">  Central Valley Project restoration fund (donations)</t>
  </si>
  <si>
    <t>MINING ENFORCEMENT AND SAFETY ADMINISTRATION</t>
  </si>
  <si>
    <t>(moved to Dep't offices)</t>
  </si>
  <si>
    <t>ownership of asset.)</t>
  </si>
  <si>
    <t>Display of BLM Permanent Accounts Revised</t>
  </si>
  <si>
    <t xml:space="preserve">  Payments from proceeds, sale of water...........</t>
  </si>
  <si>
    <t xml:space="preserve">  Miscellaneous permanent appropriations..........</t>
  </si>
  <si>
    <t xml:space="preserve">  Cook Inlet Region Inc. property</t>
  </si>
  <si>
    <t xml:space="preserve">  Reclamation trust funds.........................</t>
  </si>
  <si>
    <t xml:space="preserve">  Resource management.............................</t>
  </si>
  <si>
    <t xml:space="preserve">  Indian direct loan program default payment</t>
  </si>
  <si>
    <t xml:space="preserve">  Working capital fund........................</t>
  </si>
  <si>
    <t>for Y2K ---&gt;</t>
  </si>
  <si>
    <t xml:space="preserve">  Priority Fed. lands acquisitions and exchanges...........…</t>
  </si>
  <si>
    <t xml:space="preserve">      Total, Natural Res. Damage Assess. &amp; Rest.</t>
  </si>
  <si>
    <t xml:space="preserve">  NRDAR fund</t>
  </si>
  <si>
    <t xml:space="preserve">      </t>
  </si>
  <si>
    <t>(Reflects move of accnt's out</t>
  </si>
  <si>
    <t>of budget, reflecting Indian</t>
  </si>
  <si>
    <t xml:space="preserve">  Loan program account..................................</t>
  </si>
  <si>
    <t xml:space="preserve">  Recreational fish and wildlife facilities.......</t>
  </si>
  <si>
    <t xml:space="preserve">  Colorado River Basin salinity control projects.. </t>
  </si>
  <si>
    <t xml:space="preserve">  Drought emergency assistance....................</t>
  </si>
  <si>
    <t xml:space="preserve">  Construction program............................</t>
  </si>
  <si>
    <t xml:space="preserve">  Construction and rehabilitation.................</t>
  </si>
  <si>
    <t>Until FY 1999 this</t>
  </si>
  <si>
    <t xml:space="preserve">   </t>
  </si>
  <si>
    <t>Current Appropriations.....................................</t>
  </si>
  <si>
    <t>OFFICE OF SPECIAL TRUSTEE FOR AMER. INDIANS</t>
  </si>
  <si>
    <t xml:space="preserve">  L&amp;W rights settlements fund &amp; misc. payments</t>
  </si>
  <si>
    <t xml:space="preserve">  Jefferson nat'l expansion memorial commission...</t>
  </si>
  <si>
    <t xml:space="preserve">  Micronesian claims fund, TTPI...................</t>
  </si>
  <si>
    <t xml:space="preserve">  Payments to U.S. territories, fiscal assistance.</t>
  </si>
  <si>
    <t xml:space="preserve">      Total, Permanent Contract Authority..........</t>
  </si>
  <si>
    <t xml:space="preserve">      Total, Permanent Appropriations..............</t>
  </si>
  <si>
    <t>Trust Funds:</t>
  </si>
  <si>
    <t>Geological Survey ................................</t>
  </si>
  <si>
    <t>Bureau of Mines ..................................</t>
  </si>
  <si>
    <t xml:space="preserve">  Eastern Indian land claims settlement fund......</t>
  </si>
  <si>
    <t>Current Trusts ...................................</t>
  </si>
  <si>
    <t>Land Acquisition</t>
  </si>
  <si>
    <t>Land Management Operations</t>
  </si>
  <si>
    <t>Indian Programs</t>
  </si>
  <si>
    <t>Current Contract Authority........................</t>
  </si>
  <si>
    <t xml:space="preserve">  Central hazardous materials fund</t>
  </si>
  <si>
    <t xml:space="preserve">  Land acquisition  *................................</t>
  </si>
  <si>
    <t xml:space="preserve">  Federal aid to wildlife .........</t>
  </si>
  <si>
    <t xml:space="preserve">  Land acquisition and state assistance</t>
  </si>
  <si>
    <t xml:space="preserve">  Conservation grants and planning assistance  *</t>
  </si>
  <si>
    <t xml:space="preserve">  Construction  *....................................</t>
  </si>
  <si>
    <t xml:space="preserve">  ONPS (from forfeitures)</t>
  </si>
  <si>
    <t xml:space="preserve">  Construction (from forfeitures)</t>
  </si>
  <si>
    <t xml:space="preserve">  Recreational fee demonstration program</t>
  </si>
  <si>
    <t>*functions merged with USGS</t>
  </si>
  <si>
    <t>(see multinational species)</t>
  </si>
  <si>
    <t>(Offsetting collection.)</t>
  </si>
  <si>
    <t xml:space="preserve">  Cooperative fund (Papago).......................</t>
  </si>
  <si>
    <t xml:space="preserve">  Indian direct loan subsidies..........................</t>
  </si>
  <si>
    <t xml:space="preserve">  Indian guaranteed loan subsidies.............................</t>
  </si>
  <si>
    <t xml:space="preserve">  Indian direct loan program account</t>
  </si>
  <si>
    <t xml:space="preserve">  Indian land consolidation pilot</t>
  </si>
  <si>
    <t>[41,000]</t>
  </si>
  <si>
    <t xml:space="preserve">    Mineral Leasing and Associated Payments...........................</t>
  </si>
  <si>
    <t xml:space="preserve">      Total, Current Appropriations................</t>
  </si>
  <si>
    <t xml:space="preserve">    Oil spill research ..........................</t>
  </si>
  <si>
    <t xml:space="preserve">    Leases of lands acq. for flood cont., navig., </t>
  </si>
  <si>
    <t>Note: December 2001 OMB and Hill scorekeepers reclassified the Service Charges</t>
  </si>
  <si>
    <t>receipts from mandatory to discretionary; reducing net discretionary scoring.</t>
  </si>
  <si>
    <t xml:space="preserve">  United States Park Police...........</t>
  </si>
  <si>
    <t xml:space="preserve"> [72,105]</t>
  </si>
  <si>
    <t>[107,410]</t>
  </si>
  <si>
    <t xml:space="preserve">  Compact of free association.....................</t>
  </si>
  <si>
    <t xml:space="preserve">  Internal revenue collections for the Virgin Is..</t>
  </si>
  <si>
    <t xml:space="preserve">  Oil spill emergency fund</t>
  </si>
  <si>
    <t xml:space="preserve">  Misc. trust funds (partial transfer to OST '97).......................</t>
  </si>
  <si>
    <t xml:space="preserve">  Operation and maintenance of quarters</t>
  </si>
  <si>
    <t xml:space="preserve"> </t>
  </si>
  <si>
    <t xml:space="preserve">  Youth Conservation Corps........................</t>
  </si>
  <si>
    <t xml:space="preserve">  Everglades watershed protection (farm bill)</t>
  </si>
  <si>
    <t xml:space="preserve">  Everglades restoration account (farm bill)</t>
  </si>
  <si>
    <t>DEPARTMENT OF THE INTERIOR -- 10-YEAR ACCOUNTS HISTORY</t>
  </si>
  <si>
    <t xml:space="preserve">  </t>
  </si>
  <si>
    <t>BUREAUS/OFFICES</t>
  </si>
  <si>
    <t>NATIONAL PARK SERVICE</t>
  </si>
  <si>
    <t xml:space="preserve">  Operation of the national park system...........</t>
  </si>
  <si>
    <t xml:space="preserve">  Research, inventories and surveys..........</t>
  </si>
  <si>
    <t xml:space="preserve">  Construction....................................</t>
  </si>
  <si>
    <t xml:space="preserve">      Total, BUREAU OF RECLAMATION.................</t>
  </si>
  <si>
    <t xml:space="preserve">      Total, CENTRAL UTAH PROJECT</t>
  </si>
  <si>
    <t xml:space="preserve">          COMPLETION ACT</t>
  </si>
  <si>
    <t>GEOLOGICAL SURVEY</t>
  </si>
  <si>
    <t xml:space="preserve">  Surveys, investigations and research............</t>
  </si>
  <si>
    <t xml:space="preserve">  Indian loan guaranty and insurance fund.........</t>
  </si>
  <si>
    <t xml:space="preserve">  Indian guaranteed loan program account</t>
  </si>
  <si>
    <t xml:space="preserve">      Total, Permanent Authority...................</t>
  </si>
  <si>
    <t xml:space="preserve">  Pmt to Utah Paiute econ &amp; tribal gov't fund.....</t>
  </si>
  <si>
    <t xml:space="preserve">  Payment to the Alaska Native escrow account.....</t>
  </si>
  <si>
    <t xml:space="preserve">  Pmt to White Earth econ dev &amp; tribal gov't fund.</t>
  </si>
  <si>
    <t xml:space="preserve">  Pmt to the Navajo rehabilitation trust fund</t>
  </si>
  <si>
    <t xml:space="preserve">  Operations and maintenance of quarters (BR).....................</t>
  </si>
  <si>
    <t xml:space="preserve">  Operations and maintenance of quarters.....................</t>
  </si>
  <si>
    <t>DEPARTMENT OF THE INTERIOR</t>
  </si>
  <si>
    <t> - Total Budget Authority -</t>
  </si>
  <si>
    <t>Bureau of Land Management ........................</t>
  </si>
  <si>
    <t>Minerals Management Service ......................</t>
  </si>
  <si>
    <t>DEPARTMENTAL OFFICES</t>
  </si>
  <si>
    <t>DEPARTMENTAL MANAGEMENT</t>
  </si>
  <si>
    <t xml:space="preserve">  Salaries and expenses...........................</t>
  </si>
  <si>
    <t xml:space="preserve">  Guam power liquidating account</t>
  </si>
  <si>
    <t xml:space="preserve">      Total, INSULAR AFFAIRS</t>
  </si>
  <si>
    <t>[116,500]</t>
  </si>
  <si>
    <t>(was reported as misc. perms. up to 1999 BY)</t>
  </si>
  <si>
    <t xml:space="preserve">  Special acquisition of lands and minerals.......</t>
  </si>
  <si>
    <t>Indefinite Appropriations:</t>
  </si>
  <si>
    <t>Current Contract Authority .......................</t>
  </si>
  <si>
    <t xml:space="preserve">  Assistance to territories...................</t>
  </si>
  <si>
    <t xml:space="preserve">      Total, Current Trust Funds .................</t>
  </si>
  <si>
    <t>Contract Authority:</t>
  </si>
  <si>
    <t xml:space="preserve">      Total, Current Contract Authority............</t>
  </si>
  <si>
    <t>===========</t>
  </si>
  <si>
    <t xml:space="preserve">      Total, Current Authority.....................</t>
  </si>
  <si>
    <t>Permanent Authority</t>
  </si>
  <si>
    <t xml:space="preserve">  Operation and maintenance of quarters...........</t>
  </si>
  <si>
    <t xml:space="preserve">      Total, DEPARTMENT OF THE INTERIOR ..........</t>
  </si>
  <si>
    <t>Insular Affairs ............</t>
  </si>
  <si>
    <t xml:space="preserve">  Payments to Papago trust and cooperative fund...</t>
  </si>
  <si>
    <t xml:space="preserve">  Take pride in America gifts and bequests</t>
  </si>
  <si>
    <t xml:space="preserve">      Total, NATIONAL PARK SERVICE................</t>
  </si>
  <si>
    <t>BUREAU OF INDIAN AFFAIRS</t>
  </si>
  <si>
    <t xml:space="preserve">  Mines and minerals..............................</t>
  </si>
  <si>
    <t xml:space="preserve">      Total, Current Appropriations...............</t>
  </si>
  <si>
    <t xml:space="preserve">      Total, Current Authority....................</t>
  </si>
  <si>
    <t>* Largely with functions going to DOE.</t>
  </si>
  <si>
    <t xml:space="preserve">      Total, BUREAU OF MINES......................</t>
  </si>
  <si>
    <t>HERITAGE CONSERVATION AND RECREATION SERVICE</t>
  </si>
  <si>
    <t>Combined with the National Park Service</t>
  </si>
  <si>
    <t xml:space="preserve">  Urban park and recreation grants................</t>
  </si>
  <si>
    <t xml:space="preserve">  Donations.......................................</t>
  </si>
  <si>
    <t xml:space="preserve">  African Elephant conservation fund</t>
  </si>
  <si>
    <t>Rec fee: FY 01&amp;02 includes Zion contract authority [+861 &amp; -861 respectively]</t>
  </si>
  <si>
    <t>This change is retroactive and so the change has been made back to all py.</t>
  </si>
  <si>
    <t>Natural Resource Damage Assessment &amp; Resto.</t>
  </si>
  <si>
    <t>NATURAL RESOURCE DAMAGE ASSESS. &amp; REST.</t>
  </si>
  <si>
    <t xml:space="preserve">  Payment to Tribe, Lower Brule Trust Fund..........…</t>
  </si>
  <si>
    <t>FYI:  Actual Civil penalties from 6655s (in 000s)</t>
  </si>
  <si>
    <t>All but CY and BY reflect actual indefinite civil penalty collections.</t>
  </si>
  <si>
    <t xml:space="preserve">      Total, Current Appropriations, Federal Funds</t>
  </si>
  <si>
    <t>Trust funds:</t>
  </si>
  <si>
    <t xml:space="preserve">  Miscellaneous trust funds.......................</t>
  </si>
  <si>
    <t>[31,000]</t>
  </si>
  <si>
    <t>[47,000]</t>
  </si>
  <si>
    <t>[12,000]</t>
  </si>
  <si>
    <t xml:space="preserve">  Misc. trust funds..................</t>
  </si>
  <si>
    <t xml:space="preserve">  Tribal trust fund................</t>
  </si>
  <si>
    <t xml:space="preserve">  General investigations..........................</t>
  </si>
  <si>
    <t xml:space="preserve">  Indian loan guarantee and insurance fund, liquidating</t>
  </si>
  <si>
    <t xml:space="preserve">  Indian loan guarantee default payment</t>
  </si>
  <si>
    <t xml:space="preserve">  Revolving fund for loans, liquidating</t>
  </si>
  <si>
    <t xml:space="preserve">  Tribal special funds</t>
  </si>
  <si>
    <t>FWS.</t>
  </si>
  <si>
    <t>BUREAU OF RECLAMATION</t>
  </si>
  <si>
    <t xml:space="preserve">    Central Utah project completion act</t>
  </si>
  <si>
    <t xml:space="preserve">    Utah reclamation mitigation and conservation</t>
  </si>
  <si>
    <t xml:space="preserve">  Contributed funds (combined).....................</t>
  </si>
  <si>
    <t>[22,143]</t>
  </si>
  <si>
    <t xml:space="preserve">      Total, Current Contract Authority...........</t>
  </si>
  <si>
    <t xml:space="preserve">  Commemorative activities fund...................</t>
  </si>
  <si>
    <t xml:space="preserve">  Fee collection support</t>
  </si>
  <si>
    <t xml:space="preserve">  NRDAR fund........</t>
  </si>
  <si>
    <t xml:space="preserve">  Litter prevention and cleanup...................</t>
  </si>
  <si>
    <t xml:space="preserve">  Barrow area gas opn, exploration &amp; development..</t>
  </si>
  <si>
    <t>Cont Res</t>
  </si>
  <si>
    <t>PB Request</t>
  </si>
  <si>
    <t>Pres Budget</t>
  </si>
  <si>
    <t>[128,730]</t>
  </si>
  <si>
    <t>[135730]</t>
  </si>
  <si>
    <t xml:space="preserve">    Payments to UMWA from Treasury</t>
  </si>
  <si>
    <t xml:space="preserve">    Abandoned mine reclamation fund (UMWA)</t>
  </si>
  <si>
    <t xml:space="preserve">    Payments to States in lieu of coal fees</t>
  </si>
  <si>
    <t xml:space="preserve">    Abandoned mine reclamation fund (Grants)</t>
  </si>
  <si>
    <t xml:space="preserve">  San Joqquin Restoration Fund…..</t>
  </si>
  <si>
    <t xml:space="preserve">  FLREA (was Rec fee demo)</t>
  </si>
  <si>
    <t xml:space="preserve">  Centennial Challenge Matching Fund…..</t>
  </si>
  <si>
    <t>FIX 06 WHITE EARTH LATER; ITS 2774</t>
  </si>
  <si>
    <t>Subtotal, Discretionary Authority --Interior and Related Agencies</t>
  </si>
  <si>
    <t>GRAND TOTAL, INTERIOR and RELATED</t>
  </si>
  <si>
    <t xml:space="preserve">Enacted </t>
  </si>
  <si>
    <t>Current Appropriations ALL DOI ...........................</t>
  </si>
  <si>
    <t>as of 6/07 with supps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</si>
</sst>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;;;General&quot;...............................................................................&quot;"/>
    <numFmt numFmtId="166" formatCode="#,##0&quot;*&quot;;\(#,##0\)"/>
    <numFmt numFmtId="167" formatCode="#,##0&quot;*&quot;;#,##0"/>
    <numFmt numFmtId="168" formatCode="\(#,##0\);#,##0"/>
    <numFmt numFmtId="169" formatCode="#,##0&quot;*&quot;;#,##0\ "/>
    <numFmt numFmtId="170" formatCode="#,##0\ ;\(#,##0\);0;General*."/>
    <numFmt numFmtId="171" formatCode=";;;General&quot;...........................&quot;"/>
    <numFmt numFmtId="172" formatCode=";;;General&quot;......................................................................&quot;"/>
    <numFmt numFmtId="173" formatCode=";;;General&quot;.&quot;"/>
    <numFmt numFmtId="174" formatCode="&quot;[&quot;#,##0&quot;]&quot;;&quot;[&quot;\(#,##0\)&quot;]&quot;"/>
    <numFmt numFmtId="175" formatCode="#,##0&quot;†&quot;;\(#,##0\)"/>
    <numFmt numFmtId="176" formatCode="#,##0;\(#,##0\)"/>
    <numFmt numFmtId="177" formatCode="#,##0.000"/>
    <numFmt numFmtId="178" formatCode="#,##0.0000"/>
    <numFmt numFmtId="179" formatCode="0.0000"/>
    <numFmt numFmtId="180" formatCode="#,##0.0"/>
    <numFmt numFmtId="181" formatCode="0.000"/>
    <numFmt numFmtId="182" formatCode="0.000000"/>
  </numFmts>
  <fonts count="3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sz val="12"/>
      <name val="Helv"/>
      <family val="0"/>
    </font>
    <font>
      <sz val="9"/>
      <name val="Geneva"/>
      <family val="0"/>
    </font>
    <font>
      <b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sz val="12"/>
      <color indexed="9"/>
      <name val="Helv"/>
      <family val="0"/>
    </font>
    <font>
      <sz val="9"/>
      <color indexed="10"/>
      <name val="Helv"/>
      <family val="0"/>
    </font>
    <font>
      <i/>
      <sz val="10"/>
      <name val="Helv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sz val="11"/>
      <name val="Tahoma"/>
      <family val="2"/>
    </font>
    <font>
      <sz val="11"/>
      <name val="Palatino"/>
      <family val="0"/>
    </font>
    <font>
      <b/>
      <sz val="12"/>
      <name val="Tahoma"/>
      <family val="2"/>
    </font>
    <font>
      <sz val="12"/>
      <name val="Tahoma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9"/>
      <color indexed="10"/>
      <name val="Helv"/>
      <family val="0"/>
    </font>
    <font>
      <i/>
      <sz val="12"/>
      <name val="Helv"/>
      <family val="0"/>
    </font>
    <font>
      <i/>
      <sz val="9"/>
      <name val="Helv"/>
      <family val="0"/>
    </font>
    <font>
      <b/>
      <sz val="8"/>
      <name val="Genev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164" fontId="7" fillId="0" borderId="0" xfId="0" applyNumberFormat="1" applyFont="1" applyAlignment="1">
      <alignment horizontal="fill"/>
    </xf>
    <xf numFmtId="164" fontId="7" fillId="0" borderId="2" xfId="0" applyNumberFormat="1" applyFont="1" applyBorder="1" applyAlignment="1">
      <alignment horizontal="fill"/>
    </xf>
    <xf numFmtId="164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/>
    </xf>
    <xf numFmtId="164" fontId="7" fillId="0" borderId="2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0" borderId="2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4" fontId="7" fillId="0" borderId="3" xfId="0" applyNumberFormat="1" applyFont="1" applyBorder="1" applyAlignment="1">
      <alignment/>
    </xf>
    <xf numFmtId="4" fontId="7" fillId="0" borderId="0" xfId="15" applyFont="1" applyAlignment="1">
      <alignment horizontal="left"/>
    </xf>
    <xf numFmtId="170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4" fontId="12" fillId="0" borderId="0" xfId="0" applyNumberFormat="1" applyFont="1" applyBorder="1" applyAlignment="1">
      <alignment horizontal="centerContinuous"/>
    </xf>
    <xf numFmtId="164" fontId="1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Border="1" applyAlignment="1">
      <alignment horizontal="left"/>
    </xf>
    <xf numFmtId="169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/>
    </xf>
    <xf numFmtId="164" fontId="7" fillId="0" borderId="0" xfId="0" applyNumberFormat="1" applyFont="1" applyAlignment="1">
      <alignment horizontal="right" wrapText="1"/>
    </xf>
    <xf numFmtId="164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fill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3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/>
    </xf>
    <xf numFmtId="174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164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164" fontId="7" fillId="2" borderId="0" xfId="0" applyNumberFormat="1" applyFont="1" applyFill="1" applyAlignment="1">
      <alignment/>
    </xf>
    <xf numFmtId="165" fontId="7" fillId="0" borderId="0" xfId="0" applyNumberFormat="1" applyFont="1" applyAlignment="1" quotePrefix="1">
      <alignment horizontal="left"/>
    </xf>
    <xf numFmtId="164" fontId="15" fillId="0" borderId="0" xfId="0" applyNumberFormat="1" applyFont="1" applyAlignment="1">
      <alignment horizontal="fill"/>
    </xf>
    <xf numFmtId="164" fontId="15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/>
    </xf>
    <xf numFmtId="164" fontId="7" fillId="2" borderId="1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9" fontId="7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76" fontId="12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78" fontId="12" fillId="0" borderId="0" xfId="15" applyNumberFormat="1" applyFont="1" applyAlignment="1">
      <alignment/>
    </xf>
    <xf numFmtId="1" fontId="7" fillId="0" borderId="0" xfId="0" applyNumberFormat="1" applyFont="1" applyBorder="1" applyAlignment="1">
      <alignment horizontal="center"/>
    </xf>
    <xf numFmtId="179" fontId="4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 quotePrefix="1">
      <alignment/>
    </xf>
    <xf numFmtId="164" fontId="10" fillId="0" borderId="0" xfId="0" applyNumberFormat="1" applyFont="1" applyAlignment="1" quotePrefix="1">
      <alignment/>
    </xf>
    <xf numFmtId="164" fontId="21" fillId="0" borderId="0" xfId="0" applyNumberFormat="1" applyFont="1" applyAlignment="1">
      <alignment/>
    </xf>
    <xf numFmtId="164" fontId="4" fillId="0" borderId="0" xfId="0" applyNumberFormat="1" applyFont="1" applyAlignment="1" quotePrefix="1">
      <alignment/>
    </xf>
    <xf numFmtId="165" fontId="7" fillId="0" borderId="1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/>
    </xf>
    <xf numFmtId="164" fontId="12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 quotePrefix="1">
      <alignment/>
    </xf>
    <xf numFmtId="164" fontId="7" fillId="0" borderId="1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3" xfId="0" applyNumberFormat="1" applyFont="1" applyFill="1" applyBorder="1" applyAlignment="1">
      <alignment/>
    </xf>
    <xf numFmtId="174" fontId="7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/>
    </xf>
    <xf numFmtId="164" fontId="7" fillId="0" borderId="2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right"/>
    </xf>
    <xf numFmtId="164" fontId="4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7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right" wrapText="1"/>
    </xf>
    <xf numFmtId="164" fontId="26" fillId="0" borderId="0" xfId="0" applyNumberFormat="1" applyFont="1" applyAlignment="1">
      <alignment/>
    </xf>
    <xf numFmtId="164" fontId="27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164" fontId="12" fillId="0" borderId="2" xfId="0" applyNumberFormat="1" applyFont="1" applyBorder="1" applyAlignment="1">
      <alignment/>
    </xf>
    <xf numFmtId="164" fontId="12" fillId="0" borderId="2" xfId="0" applyNumberFormat="1" applyFont="1" applyFill="1" applyBorder="1" applyAlignment="1">
      <alignment/>
    </xf>
    <xf numFmtId="164" fontId="27" fillId="0" borderId="0" xfId="0" applyNumberFormat="1" applyFont="1" applyAlignment="1">
      <alignment horizontal="left"/>
    </xf>
    <xf numFmtId="164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8"/>
  <sheetViews>
    <sheetView showGridLines="0" tabSelected="1" showOutlineSymbols="0" zoomScaleSheetLayoutView="75" workbookViewId="0" topLeftCell="A1">
      <pane xSplit="2" ySplit="9" topLeftCell="X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9.00390625" defaultRowHeight="12.75" outlineLevelRow="1"/>
  <cols>
    <col min="1" max="1" width="47.625" style="2" customWidth="1"/>
    <col min="2" max="2" width="1.75390625" style="2" customWidth="1"/>
    <col min="3" max="3" width="11.875" style="2" hidden="1" customWidth="1"/>
    <col min="4" max="4" width="12.125" style="2" hidden="1" customWidth="1"/>
    <col min="5" max="5" width="12.25390625" style="2" hidden="1" customWidth="1"/>
    <col min="6" max="7" width="11.75390625" style="2" hidden="1" customWidth="1"/>
    <col min="8" max="9" width="11.875" style="2" hidden="1" customWidth="1"/>
    <col min="10" max="10" width="12.125" style="2" hidden="1" customWidth="1"/>
    <col min="11" max="16" width="12.00390625" style="2" hidden="1" customWidth="1"/>
    <col min="17" max="23" width="14.75390625" style="2" hidden="1" customWidth="1"/>
    <col min="24" max="37" width="14.75390625" style="2" customWidth="1"/>
    <col min="38" max="42" width="14.75390625" style="100" customWidth="1"/>
    <col min="43" max="16384" width="14.75390625" style="2" customWidth="1"/>
  </cols>
  <sheetData>
    <row r="1" spans="1:5" ht="12.75" customHeight="1">
      <c r="A1" s="1"/>
      <c r="B1" s="1" t="s">
        <v>357</v>
      </c>
      <c r="E1" s="3"/>
    </row>
    <row r="2" spans="1:11" ht="12.75" customHeight="1">
      <c r="A2" s="1"/>
      <c r="B2" s="1" t="s">
        <v>357</v>
      </c>
      <c r="E2" s="3"/>
      <c r="K2" s="4"/>
    </row>
    <row r="3" spans="1:11" ht="12">
      <c r="A3" s="1"/>
      <c r="B3" s="1" t="s">
        <v>357</v>
      </c>
      <c r="E3" s="3"/>
      <c r="K3" s="4"/>
    </row>
    <row r="4" spans="2:27" ht="18">
      <c r="B4" s="5" t="s">
        <v>357</v>
      </c>
      <c r="C4" s="5"/>
      <c r="D4" s="5"/>
      <c r="E4" s="6"/>
      <c r="F4" s="5"/>
      <c r="G4" s="5"/>
      <c r="H4" s="5"/>
      <c r="I4" s="5"/>
      <c r="J4" s="5"/>
      <c r="K4" s="7"/>
      <c r="L4" s="12"/>
      <c r="M4" s="13"/>
      <c r="N4" s="13"/>
      <c r="O4" s="13"/>
      <c r="R4" s="9" t="s">
        <v>361</v>
      </c>
      <c r="S4" s="5"/>
      <c r="T4" s="5"/>
      <c r="U4" s="5"/>
      <c r="V4" s="5"/>
      <c r="W4" s="79"/>
      <c r="X4" s="5"/>
      <c r="Y4" s="5"/>
      <c r="Z4" s="5"/>
      <c r="AA4" s="5"/>
    </row>
    <row r="5" spans="1:42" ht="12.75" customHeight="1">
      <c r="A5" s="4"/>
      <c r="B5" s="5" t="s">
        <v>357</v>
      </c>
      <c r="C5" s="5"/>
      <c r="D5" s="5"/>
      <c r="E5" s="6"/>
      <c r="F5" s="5"/>
      <c r="G5" s="5"/>
      <c r="H5" s="5"/>
      <c r="I5" s="5"/>
      <c r="J5" s="5"/>
      <c r="K5" s="7"/>
      <c r="L5" s="5"/>
      <c r="M5" s="13"/>
      <c r="N5" s="13"/>
      <c r="O5" s="1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F5" s="82"/>
      <c r="AG5" s="82"/>
      <c r="AH5" s="82"/>
      <c r="AI5" s="82"/>
      <c r="AJ5" s="82"/>
      <c r="AK5" s="82"/>
      <c r="AL5" s="101"/>
      <c r="AM5" s="101"/>
      <c r="AN5" s="101"/>
      <c r="AO5" s="101"/>
      <c r="AP5" s="101"/>
    </row>
    <row r="6" spans="1:42" ht="12.75" customHeight="1">
      <c r="A6" s="14"/>
      <c r="B6" s="15" t="s">
        <v>357</v>
      </c>
      <c r="C6" s="16"/>
      <c r="D6" s="16"/>
      <c r="E6" s="16" t="s">
        <v>357</v>
      </c>
      <c r="F6" s="17" t="s">
        <v>362</v>
      </c>
      <c r="G6" s="16"/>
      <c r="H6" s="16"/>
      <c r="I6" s="17"/>
      <c r="J6" s="16"/>
      <c r="K6" s="18"/>
      <c r="L6" s="19"/>
      <c r="M6" s="20"/>
      <c r="N6" s="20"/>
      <c r="O6" s="21"/>
      <c r="P6" s="20"/>
      <c r="Q6" s="20"/>
      <c r="R6" s="18"/>
      <c r="S6" s="22"/>
      <c r="T6" s="23"/>
      <c r="U6" s="22"/>
      <c r="V6" s="24"/>
      <c r="W6" s="22"/>
      <c r="X6" s="24"/>
      <c r="Y6" s="67"/>
      <c r="AA6" s="71"/>
      <c r="AB6" s="32"/>
      <c r="AC6" s="32"/>
      <c r="AD6" s="32"/>
      <c r="AE6" s="83"/>
      <c r="AF6" s="69"/>
      <c r="AG6" s="69"/>
      <c r="AH6" s="69"/>
      <c r="AI6" s="69"/>
      <c r="AJ6" s="69"/>
      <c r="AK6" s="69"/>
      <c r="AL6" s="102"/>
      <c r="AM6" s="102"/>
      <c r="AN6" s="102"/>
      <c r="AO6" s="102"/>
      <c r="AP6" s="102"/>
    </row>
    <row r="7" spans="1:42" ht="15.75" customHeight="1">
      <c r="A7" s="10" t="s">
        <v>363</v>
      </c>
      <c r="B7" s="15" t="s">
        <v>357</v>
      </c>
      <c r="C7" s="15"/>
      <c r="D7" s="25"/>
      <c r="E7" s="25"/>
      <c r="F7" s="25"/>
      <c r="G7" s="25"/>
      <c r="H7" s="25"/>
      <c r="I7" s="25"/>
      <c r="J7" s="25"/>
      <c r="K7" s="26"/>
      <c r="L7" s="25"/>
      <c r="M7" s="27"/>
      <c r="N7" s="27"/>
      <c r="O7" s="25"/>
      <c r="P7" s="26" t="s">
        <v>357</v>
      </c>
      <c r="Q7" s="26" t="s">
        <v>357</v>
      </c>
      <c r="R7" s="28"/>
      <c r="S7" s="29"/>
      <c r="T7" s="30"/>
      <c r="U7" s="29"/>
      <c r="V7" s="29"/>
      <c r="W7" s="29"/>
      <c r="X7" s="29"/>
      <c r="Y7" s="68"/>
      <c r="Z7" s="68"/>
      <c r="AA7" s="30"/>
      <c r="AB7" s="29"/>
      <c r="AC7" s="82">
        <v>2003</v>
      </c>
      <c r="AD7" s="82"/>
      <c r="AE7" s="82">
        <v>2004</v>
      </c>
      <c r="AF7" s="82">
        <v>2004</v>
      </c>
      <c r="AG7" s="82"/>
      <c r="AH7" s="82">
        <v>2005</v>
      </c>
      <c r="AI7" s="82">
        <v>2005</v>
      </c>
      <c r="AJ7" s="82"/>
      <c r="AK7" s="82">
        <v>2006</v>
      </c>
      <c r="AL7" s="101"/>
      <c r="AM7" s="101">
        <v>2007</v>
      </c>
      <c r="AN7" s="101">
        <v>2007</v>
      </c>
      <c r="AO7" s="101">
        <v>2007</v>
      </c>
      <c r="AP7" s="101">
        <v>2008</v>
      </c>
    </row>
    <row r="8" spans="1:42" ht="33.75" customHeight="1">
      <c r="A8" s="31" t="s">
        <v>233</v>
      </c>
      <c r="B8" s="15" t="s">
        <v>357</v>
      </c>
      <c r="C8" s="31" t="s">
        <v>234</v>
      </c>
      <c r="D8" s="31" t="s">
        <v>235</v>
      </c>
      <c r="E8" s="31" t="s">
        <v>236</v>
      </c>
      <c r="F8" s="31" t="s">
        <v>237</v>
      </c>
      <c r="G8" s="31" t="s">
        <v>238</v>
      </c>
      <c r="H8" s="31" t="s">
        <v>239</v>
      </c>
      <c r="I8" s="31" t="s">
        <v>240</v>
      </c>
      <c r="J8" s="31" t="s">
        <v>241</v>
      </c>
      <c r="K8" s="31" t="s">
        <v>242</v>
      </c>
      <c r="L8" s="31" t="s">
        <v>243</v>
      </c>
      <c r="M8" s="31" t="s">
        <v>244</v>
      </c>
      <c r="N8" s="31" t="s">
        <v>245</v>
      </c>
      <c r="O8" s="31" t="s">
        <v>246</v>
      </c>
      <c r="P8" s="31" t="s">
        <v>247</v>
      </c>
      <c r="Q8" s="31" t="s">
        <v>248</v>
      </c>
      <c r="R8" s="31" t="s">
        <v>249</v>
      </c>
      <c r="S8" s="32">
        <v>1993</v>
      </c>
      <c r="T8" s="31" t="s">
        <v>250</v>
      </c>
      <c r="U8" s="33">
        <v>1995</v>
      </c>
      <c r="V8" s="33">
        <v>1996</v>
      </c>
      <c r="W8" s="33">
        <v>1997</v>
      </c>
      <c r="X8" s="33">
        <v>1998</v>
      </c>
      <c r="Y8" s="69">
        <v>1999</v>
      </c>
      <c r="Z8" s="69">
        <v>2000</v>
      </c>
      <c r="AA8" s="69">
        <v>2001</v>
      </c>
      <c r="AB8" s="69">
        <v>2002</v>
      </c>
      <c r="AC8" s="69" t="s">
        <v>99</v>
      </c>
      <c r="AD8" s="69">
        <v>2003</v>
      </c>
      <c r="AE8" s="69" t="s">
        <v>99</v>
      </c>
      <c r="AF8" s="69" t="s">
        <v>40</v>
      </c>
      <c r="AG8" s="69">
        <v>2004</v>
      </c>
      <c r="AH8" s="69" t="s">
        <v>99</v>
      </c>
      <c r="AI8" s="69" t="s">
        <v>40</v>
      </c>
      <c r="AJ8" s="69">
        <v>2005</v>
      </c>
      <c r="AK8" s="69" t="s">
        <v>41</v>
      </c>
      <c r="AL8" s="122">
        <v>2006</v>
      </c>
      <c r="AM8" s="102" t="s">
        <v>453</v>
      </c>
      <c r="AN8" s="102" t="s">
        <v>452</v>
      </c>
      <c r="AO8" s="102" t="s">
        <v>467</v>
      </c>
      <c r="AP8" s="102" t="s">
        <v>454</v>
      </c>
    </row>
    <row r="9" spans="1:42" ht="15.75">
      <c r="A9" s="14"/>
      <c r="B9" s="15" t="s">
        <v>357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H9" s="95" t="s">
        <v>42</v>
      </c>
      <c r="AI9" s="95"/>
      <c r="AJ9" s="95"/>
      <c r="AK9" s="95"/>
      <c r="AL9" s="103"/>
      <c r="AM9" s="103"/>
      <c r="AN9" s="103"/>
      <c r="AO9" s="100" t="s">
        <v>469</v>
      </c>
      <c r="AP9" s="103"/>
    </row>
    <row r="10" spans="1:27" ht="15.75">
      <c r="A10" s="34" t="s">
        <v>100</v>
      </c>
      <c r="B10" s="15" t="s">
        <v>357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15.75">
      <c r="A11" s="14"/>
      <c r="B11" s="15" t="s">
        <v>357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15.75">
      <c r="A12" s="10" t="s">
        <v>101</v>
      </c>
      <c r="B12" s="15" t="s">
        <v>357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5.75">
      <c r="A13" s="14"/>
      <c r="B13" s="15" t="s">
        <v>357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15.75">
      <c r="A14" s="15" t="s">
        <v>102</v>
      </c>
      <c r="B14" s="15" t="s">
        <v>357</v>
      </c>
      <c r="C14" s="14"/>
      <c r="D14" s="14"/>
      <c r="E14" s="14"/>
      <c r="F14" s="14"/>
      <c r="G14" s="14"/>
      <c r="H14" s="14"/>
      <c r="I14" s="14"/>
      <c r="J14" s="14"/>
      <c r="K14" s="15" t="s">
        <v>307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42" ht="15.75">
      <c r="A15" s="35" t="s">
        <v>112</v>
      </c>
      <c r="B15" s="15" t="s">
        <v>357</v>
      </c>
      <c r="C15" s="14">
        <v>278977</v>
      </c>
      <c r="D15" s="14">
        <v>306955</v>
      </c>
      <c r="E15" s="14">
        <v>342695</v>
      </c>
      <c r="F15" s="14">
        <v>353459</v>
      </c>
      <c r="G15" s="14">
        <v>406621</v>
      </c>
      <c r="H15" s="14">
        <v>414269</v>
      </c>
      <c r="I15" s="14">
        <v>383849</v>
      </c>
      <c r="J15" s="14">
        <v>411336</v>
      </c>
      <c r="K15" s="14">
        <v>455453</v>
      </c>
      <c r="L15" s="14">
        <v>379139</v>
      </c>
      <c r="M15" s="14">
        <v>469696</v>
      </c>
      <c r="N15" s="14">
        <v>467105</v>
      </c>
      <c r="O15" s="14">
        <v>524395</v>
      </c>
      <c r="P15" s="14">
        <v>435914</v>
      </c>
      <c r="Q15" s="14">
        <v>497485</v>
      </c>
      <c r="R15" s="14">
        <v>532349</v>
      </c>
      <c r="S15" s="14">
        <v>540246</v>
      </c>
      <c r="T15" s="14">
        <v>600060</v>
      </c>
      <c r="U15" s="14">
        <v>595525</v>
      </c>
      <c r="V15" s="14">
        <v>566537</v>
      </c>
      <c r="W15" s="14">
        <v>575664</v>
      </c>
      <c r="X15" s="14">
        <v>582082</v>
      </c>
      <c r="Y15" s="14">
        <v>611517</v>
      </c>
      <c r="Z15" s="14">
        <v>669132</v>
      </c>
      <c r="AA15" s="14">
        <f>729405+25000-1660+3000+9996</f>
        <v>765741</v>
      </c>
      <c r="AB15" s="14">
        <v>788027</v>
      </c>
      <c r="AC15" s="14">
        <v>812990</v>
      </c>
      <c r="AD15" s="14">
        <v>826478</v>
      </c>
      <c r="AE15" s="14">
        <v>828079</v>
      </c>
      <c r="AF15" s="94">
        <v>839843.442</v>
      </c>
      <c r="AG15" s="14">
        <v>855266</v>
      </c>
      <c r="AH15" s="14">
        <v>837462</v>
      </c>
      <c r="AI15" s="14">
        <v>836826</v>
      </c>
      <c r="AJ15" s="14">
        <v>844326</v>
      </c>
      <c r="AK15" s="14">
        <v>847632</v>
      </c>
      <c r="AL15" s="14">
        <v>847632</v>
      </c>
      <c r="AM15" s="14">
        <v>863244</v>
      </c>
      <c r="AN15" s="14">
        <v>839689</v>
      </c>
      <c r="AO15" s="70">
        <v>866911</v>
      </c>
      <c r="AP15" s="14">
        <v>879438</v>
      </c>
    </row>
    <row r="16" spans="1:42" ht="15.75">
      <c r="A16" s="35" t="s">
        <v>147</v>
      </c>
      <c r="B16" s="1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36" t="s">
        <v>156</v>
      </c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70"/>
      <c r="AP16" s="14"/>
    </row>
    <row r="17" spans="1:42" ht="15.75" hidden="1" outlineLevel="1">
      <c r="A17" s="35" t="s">
        <v>113</v>
      </c>
      <c r="B17" s="15" t="s">
        <v>357</v>
      </c>
      <c r="C17" s="14">
        <v>10760</v>
      </c>
      <c r="D17" s="14">
        <v>18707</v>
      </c>
      <c r="E17" s="14">
        <v>19011</v>
      </c>
      <c r="F17" s="14">
        <v>16343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70"/>
      <c r="AP17" s="14"/>
    </row>
    <row r="18" spans="1:42" ht="15.75" hidden="1">
      <c r="A18" s="35" t="s">
        <v>114</v>
      </c>
      <c r="B18" s="15" t="s">
        <v>357</v>
      </c>
      <c r="C18" s="14"/>
      <c r="D18" s="14"/>
      <c r="E18" s="14"/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265442</v>
      </c>
      <c r="Q18" s="14">
        <v>172878</v>
      </c>
      <c r="R18" s="14">
        <v>115492</v>
      </c>
      <c r="S18" s="14">
        <v>118296</v>
      </c>
      <c r="T18" s="36">
        <v>117143</v>
      </c>
      <c r="U18" s="36" t="s">
        <v>115</v>
      </c>
      <c r="V18" s="14"/>
      <c r="W18" s="14"/>
      <c r="X18" s="14"/>
      <c r="Y18" s="14"/>
      <c r="Z18" s="14"/>
      <c r="AA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70"/>
      <c r="AP18" s="14"/>
    </row>
    <row r="19" spans="1:42" ht="15.75" hidden="1">
      <c r="A19" s="35" t="s">
        <v>116</v>
      </c>
      <c r="B19" s="15" t="s">
        <v>357</v>
      </c>
      <c r="C19" s="14"/>
      <c r="D19" s="14"/>
      <c r="E19" s="14"/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99598</v>
      </c>
      <c r="S19" s="14">
        <v>112674</v>
      </c>
      <c r="T19" s="36">
        <v>116674</v>
      </c>
      <c r="U19" s="36" t="s">
        <v>117</v>
      </c>
      <c r="V19" s="14"/>
      <c r="W19" s="14"/>
      <c r="X19" s="14"/>
      <c r="Y19" s="14"/>
      <c r="Z19" s="14"/>
      <c r="AA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70"/>
      <c r="AP19" s="14"/>
    </row>
    <row r="20" spans="1:42" ht="15.75">
      <c r="A20" s="35" t="s">
        <v>139</v>
      </c>
      <c r="B20" s="15" t="s">
        <v>357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235693</v>
      </c>
      <c r="V20" s="14">
        <v>286912</v>
      </c>
      <c r="W20" s="14">
        <v>302042</v>
      </c>
      <c r="X20" s="14">
        <v>280103</v>
      </c>
      <c r="Y20" s="14">
        <v>336730</v>
      </c>
      <c r="Z20" s="14">
        <f>290957+200000</f>
        <v>490957</v>
      </c>
      <c r="AA20" s="14">
        <f>425513+453740+100000-2154</f>
        <v>977099</v>
      </c>
      <c r="AB20" s="14">
        <f>624421+54000+16562</f>
        <v>694983</v>
      </c>
      <c r="AC20" s="14">
        <v>653754</v>
      </c>
      <c r="AD20" s="14">
        <f>843406-4254+36000</f>
        <v>875152</v>
      </c>
      <c r="AE20" s="14">
        <v>698725</v>
      </c>
      <c r="AF20" s="94">
        <v>783592.9</v>
      </c>
      <c r="AG20" s="14">
        <v>891493</v>
      </c>
      <c r="AH20" s="14">
        <v>743099</v>
      </c>
      <c r="AI20" s="14">
        <v>831295</v>
      </c>
      <c r="AJ20" s="14">
        <v>831295</v>
      </c>
      <c r="AK20" s="14">
        <v>952652</v>
      </c>
      <c r="AL20" s="14">
        <v>856652</v>
      </c>
      <c r="AM20" s="14">
        <v>769560</v>
      </c>
      <c r="AN20" s="14">
        <v>769253</v>
      </c>
      <c r="AO20" s="70">
        <f>758355+95000</f>
        <v>853355</v>
      </c>
      <c r="AP20" s="14">
        <v>801849</v>
      </c>
    </row>
    <row r="21" spans="1:42" ht="15.75">
      <c r="A21" s="35" t="s">
        <v>325</v>
      </c>
      <c r="B21" s="15" t="s">
        <v>357</v>
      </c>
      <c r="C21" s="14"/>
      <c r="D21" s="14"/>
      <c r="E21" s="14"/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/>
      <c r="R21" s="14"/>
      <c r="S21" s="14"/>
      <c r="T21" s="14"/>
      <c r="U21" s="14">
        <v>13409</v>
      </c>
      <c r="V21" s="14">
        <v>10000</v>
      </c>
      <c r="W21" s="14">
        <v>12000</v>
      </c>
      <c r="X21" s="14">
        <v>12000</v>
      </c>
      <c r="Y21" s="14">
        <v>10000</v>
      </c>
      <c r="Z21" s="14">
        <v>9955</v>
      </c>
      <c r="AA21" s="14">
        <v>9978</v>
      </c>
      <c r="AB21" s="14">
        <f>9978-300</f>
        <v>9678</v>
      </c>
      <c r="AC21" s="14">
        <v>9978</v>
      </c>
      <c r="AD21" s="14">
        <v>9913</v>
      </c>
      <c r="AE21" s="14">
        <v>9978</v>
      </c>
      <c r="AF21" s="94">
        <v>9855.052221492</v>
      </c>
      <c r="AG21" s="14" t="s">
        <v>43</v>
      </c>
      <c r="AH21" s="14"/>
      <c r="AI21" s="14"/>
      <c r="AJ21" s="14"/>
      <c r="AK21" s="14"/>
      <c r="AL21" s="14"/>
      <c r="AM21" s="14"/>
      <c r="AN21" s="14"/>
      <c r="AO21" s="70"/>
      <c r="AP21" s="14"/>
    </row>
    <row r="22" spans="1:42" ht="15.75" collapsed="1">
      <c r="A22" s="35" t="s">
        <v>141</v>
      </c>
      <c r="B22" s="15" t="s">
        <v>357</v>
      </c>
      <c r="C22" s="14">
        <v>0</v>
      </c>
      <c r="D22" s="14">
        <v>0</v>
      </c>
      <c r="E22" s="14">
        <v>0</v>
      </c>
      <c r="F22" s="14">
        <v>0</v>
      </c>
      <c r="G22" s="14">
        <v>14768</v>
      </c>
      <c r="H22" s="14">
        <v>12211</v>
      </c>
      <c r="I22" s="14">
        <v>1743</v>
      </c>
      <c r="J22" s="14">
        <v>3070</v>
      </c>
      <c r="K22" s="14">
        <v>2028</v>
      </c>
      <c r="L22" s="14">
        <v>8535</v>
      </c>
      <c r="M22" s="14">
        <v>2800</v>
      </c>
      <c r="N22" s="14">
        <v>2930</v>
      </c>
      <c r="O22" s="14">
        <v>6607</v>
      </c>
      <c r="P22" s="14">
        <v>10706</v>
      </c>
      <c r="Q22" s="14">
        <v>15305</v>
      </c>
      <c r="R22" s="14">
        <v>14138</v>
      </c>
      <c r="S22" s="14">
        <v>15676</v>
      </c>
      <c r="T22" s="14">
        <v>10467</v>
      </c>
      <c r="U22" s="14">
        <f>12068-900</f>
        <v>11168</v>
      </c>
      <c r="V22" s="14">
        <v>8115</v>
      </c>
      <c r="W22" s="14">
        <v>9129</v>
      </c>
      <c r="X22" s="14">
        <v>5091</v>
      </c>
      <c r="Y22" s="14">
        <v>10997</v>
      </c>
      <c r="Z22" s="14">
        <v>10846</v>
      </c>
      <c r="AA22" s="14">
        <v>16823</v>
      </c>
      <c r="AB22" s="14">
        <v>13076</v>
      </c>
      <c r="AC22" s="14">
        <v>10976</v>
      </c>
      <c r="AD22" s="14">
        <v>11898</v>
      </c>
      <c r="AE22" s="14">
        <v>10976</v>
      </c>
      <c r="AF22" s="14">
        <v>13803.789</v>
      </c>
      <c r="AG22" s="14">
        <v>13804</v>
      </c>
      <c r="AH22" s="14">
        <v>6476</v>
      </c>
      <c r="AI22" s="14">
        <v>11340</v>
      </c>
      <c r="AJ22" s="14">
        <v>10340</v>
      </c>
      <c r="AK22" s="14">
        <v>9750</v>
      </c>
      <c r="AL22" s="14">
        <v>11750</v>
      </c>
      <c r="AM22" s="14">
        <v>6476</v>
      </c>
      <c r="AN22" s="14">
        <v>11476</v>
      </c>
      <c r="AO22" s="70">
        <v>11751</v>
      </c>
      <c r="AP22" s="14">
        <v>6476</v>
      </c>
    </row>
    <row r="23" spans="1:42" ht="15.75">
      <c r="A23" s="35" t="s">
        <v>140</v>
      </c>
      <c r="B23" s="15" t="s">
        <v>357</v>
      </c>
      <c r="C23" s="14">
        <v>100000</v>
      </c>
      <c r="D23" s="14">
        <v>100000</v>
      </c>
      <c r="E23" s="14">
        <v>105000</v>
      </c>
      <c r="F23" s="14">
        <v>108000</v>
      </c>
      <c r="G23" s="14">
        <v>103000</v>
      </c>
      <c r="H23" s="14">
        <v>95520</v>
      </c>
      <c r="I23" s="14">
        <v>96320</v>
      </c>
      <c r="J23" s="14">
        <v>105000</v>
      </c>
      <c r="K23" s="14">
        <v>102900</v>
      </c>
      <c r="L23" s="14">
        <v>99882</v>
      </c>
      <c r="M23" s="14">
        <v>105000</v>
      </c>
      <c r="N23" s="14">
        <v>105000</v>
      </c>
      <c r="O23" s="14">
        <v>105000</v>
      </c>
      <c r="P23" s="14">
        <v>105000</v>
      </c>
      <c r="Q23" s="14">
        <v>104448</v>
      </c>
      <c r="R23" s="14">
        <v>103677</v>
      </c>
      <c r="S23" s="14">
        <v>104108</v>
      </c>
      <c r="T23" s="14">
        <v>104108</v>
      </c>
      <c r="U23" s="14">
        <v>101409</v>
      </c>
      <c r="V23" s="14">
        <v>113500</v>
      </c>
      <c r="W23" s="14">
        <v>113500</v>
      </c>
      <c r="X23" s="14">
        <v>120000</v>
      </c>
      <c r="Y23" s="14">
        <v>124923</v>
      </c>
      <c r="Z23" s="14">
        <v>134385</v>
      </c>
      <c r="AA23" s="14">
        <f>200000-440</f>
        <v>199560</v>
      </c>
      <c r="AB23" s="14">
        <f>210000-1</f>
        <v>209999</v>
      </c>
      <c r="AC23" s="14">
        <v>165000</v>
      </c>
      <c r="AD23" s="14">
        <v>218570</v>
      </c>
      <c r="AE23" s="14" t="s">
        <v>25</v>
      </c>
      <c r="AF23" s="14" t="s">
        <v>25</v>
      </c>
      <c r="AG23" s="14"/>
      <c r="AH23" s="14"/>
      <c r="AI23" s="14"/>
      <c r="AJ23" s="14"/>
      <c r="AK23" s="14"/>
      <c r="AL23" s="14"/>
      <c r="AM23" s="14"/>
      <c r="AN23" s="14"/>
      <c r="AO23" s="70"/>
      <c r="AP23" s="14"/>
    </row>
    <row r="24" spans="1:42" ht="15.75">
      <c r="A24" s="35" t="s">
        <v>326</v>
      </c>
      <c r="B24" s="15" t="s">
        <v>357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3712</v>
      </c>
      <c r="I24" s="14">
        <v>117</v>
      </c>
      <c r="J24" s="14">
        <v>4201</v>
      </c>
      <c r="K24" s="14">
        <v>4695</v>
      </c>
      <c r="L24" s="14">
        <v>2188</v>
      </c>
      <c r="M24" s="14">
        <v>6220</v>
      </c>
      <c r="N24" s="14">
        <v>5205</v>
      </c>
      <c r="O24" s="14">
        <v>13153</v>
      </c>
      <c r="P24" s="14">
        <v>15373</v>
      </c>
      <c r="Q24" s="14">
        <v>15072</v>
      </c>
      <c r="R24" s="14">
        <v>25498</v>
      </c>
      <c r="S24" s="14">
        <v>27796</v>
      </c>
      <c r="T24" s="14">
        <v>12122</v>
      </c>
      <c r="U24" s="14">
        <f>14757-1497</f>
        <v>13260</v>
      </c>
      <c r="V24" s="14">
        <v>14100</v>
      </c>
      <c r="W24" s="14">
        <v>10410</v>
      </c>
      <c r="X24" s="14">
        <f>11200+310240</f>
        <v>321440</v>
      </c>
      <c r="Y24" s="14">
        <v>14591</v>
      </c>
      <c r="Z24" s="14">
        <f>15500+2000+30250</f>
        <v>47750</v>
      </c>
      <c r="AA24" s="14">
        <f>56670-125</f>
        <v>56545</v>
      </c>
      <c r="AB24" s="14">
        <f>49920-6</f>
        <v>49914</v>
      </c>
      <c r="AC24" s="14">
        <v>44686</v>
      </c>
      <c r="AD24" s="14">
        <v>33233</v>
      </c>
      <c r="AE24" s="14">
        <v>23686</v>
      </c>
      <c r="AF24" s="14">
        <v>18370.813</v>
      </c>
      <c r="AG24" s="14">
        <v>18371</v>
      </c>
      <c r="AH24" s="14">
        <v>24000</v>
      </c>
      <c r="AI24" s="14">
        <v>11192</v>
      </c>
      <c r="AJ24" s="14">
        <v>11192</v>
      </c>
      <c r="AK24" s="14">
        <v>5621</v>
      </c>
      <c r="AL24" s="14">
        <v>8621</v>
      </c>
      <c r="AM24" s="14">
        <v>8767</v>
      </c>
      <c r="AN24" s="14">
        <v>3067</v>
      </c>
      <c r="AO24" s="70">
        <v>8634</v>
      </c>
      <c r="AP24" s="14">
        <v>1619</v>
      </c>
    </row>
    <row r="25" spans="1:42" ht="15.75">
      <c r="A25" s="35" t="s">
        <v>119</v>
      </c>
      <c r="B25" s="15" t="s">
        <v>357</v>
      </c>
      <c r="C25" s="14">
        <v>53023</v>
      </c>
      <c r="D25" s="14">
        <v>0</v>
      </c>
      <c r="E25" s="14">
        <v>0</v>
      </c>
      <c r="F25" s="14">
        <v>0</v>
      </c>
      <c r="G25" s="14">
        <v>0</v>
      </c>
      <c r="H25" s="14">
        <v>52788</v>
      </c>
      <c r="I25" s="14">
        <v>57620</v>
      </c>
      <c r="J25" s="14">
        <v>48536</v>
      </c>
      <c r="K25" s="14">
        <v>56939</v>
      </c>
      <c r="L25" s="14">
        <v>53379</v>
      </c>
      <c r="M25" s="14">
        <v>55818</v>
      </c>
      <c r="N25" s="14">
        <v>58475</v>
      </c>
      <c r="O25" s="14">
        <v>60000</v>
      </c>
      <c r="P25" s="14">
        <v>94040</v>
      </c>
      <c r="Q25" s="14">
        <v>84032</v>
      </c>
      <c r="R25" s="14">
        <v>89137</v>
      </c>
      <c r="S25" s="14">
        <v>82415</v>
      </c>
      <c r="T25" s="14">
        <v>87852</v>
      </c>
      <c r="U25" s="14">
        <v>97254</v>
      </c>
      <c r="V25" s="14">
        <v>132295</v>
      </c>
      <c r="W25" s="14">
        <v>98612</v>
      </c>
      <c r="X25" s="14">
        <v>98906</v>
      </c>
      <c r="Y25" s="14">
        <v>96733</v>
      </c>
      <c r="Z25" s="14">
        <v>98669</v>
      </c>
      <c r="AA25" s="14">
        <f>104267-229</f>
        <v>104038</v>
      </c>
      <c r="AB25" s="14">
        <f>105165-133</f>
        <v>105032</v>
      </c>
      <c r="AC25" s="14">
        <v>105633</v>
      </c>
      <c r="AD25" s="14">
        <v>105046</v>
      </c>
      <c r="AE25" s="14">
        <v>106672</v>
      </c>
      <c r="AF25" s="14">
        <v>105357.6</v>
      </c>
      <c r="AG25" s="14">
        <v>105358</v>
      </c>
      <c r="AH25" s="14">
        <v>116058</v>
      </c>
      <c r="AI25" s="14">
        <v>107497</v>
      </c>
      <c r="AJ25" s="14">
        <v>107497</v>
      </c>
      <c r="AK25" s="14">
        <v>108451</v>
      </c>
      <c r="AL25" s="70">
        <v>108451</v>
      </c>
      <c r="AM25" s="70">
        <v>112408</v>
      </c>
      <c r="AN25" s="70">
        <v>108333</v>
      </c>
      <c r="AO25" s="70">
        <v>108991</v>
      </c>
      <c r="AP25" s="70">
        <v>110242</v>
      </c>
    </row>
    <row r="26" spans="1:42" ht="15.75" hidden="1" outlineLevel="1">
      <c r="A26" s="35" t="s">
        <v>224</v>
      </c>
      <c r="B26" s="15" t="s">
        <v>357</v>
      </c>
      <c r="C26" s="14">
        <v>0</v>
      </c>
      <c r="D26" s="14">
        <v>2000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C26" s="14"/>
      <c r="AD26" s="14"/>
      <c r="AE26" s="14"/>
      <c r="AF26" s="14"/>
      <c r="AG26" s="14"/>
      <c r="AH26" s="14"/>
      <c r="AI26" s="14"/>
      <c r="AJ26" s="14"/>
      <c r="AK26" s="14"/>
      <c r="AL26" s="70"/>
      <c r="AM26" s="70"/>
      <c r="AN26" s="70"/>
      <c r="AO26" s="70"/>
      <c r="AP26" s="70"/>
    </row>
    <row r="27" spans="1:42" ht="15.75" hidden="1" collapsed="1">
      <c r="A27" s="35" t="s">
        <v>393</v>
      </c>
      <c r="B27" s="15" t="s">
        <v>357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14700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/>
      <c r="Z27" s="14"/>
      <c r="AA27" s="14"/>
      <c r="AC27" s="14"/>
      <c r="AD27" s="14"/>
      <c r="AE27" s="14"/>
      <c r="AF27" s="14"/>
      <c r="AG27" s="14"/>
      <c r="AH27" s="14"/>
      <c r="AI27" s="14"/>
      <c r="AJ27" s="14"/>
      <c r="AK27" s="14"/>
      <c r="AL27" s="70"/>
      <c r="AM27" s="70"/>
      <c r="AN27" s="70"/>
      <c r="AO27" s="70"/>
      <c r="AP27" s="70"/>
    </row>
    <row r="28" spans="1:42" ht="15.75" hidden="1">
      <c r="A28" s="35" t="s">
        <v>88</v>
      </c>
      <c r="B28" s="15" t="s">
        <v>357</v>
      </c>
      <c r="C28" s="14"/>
      <c r="D28" s="14"/>
      <c r="E28" s="14"/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/>
      <c r="R28" s="14"/>
      <c r="S28" s="14">
        <v>991</v>
      </c>
      <c r="T28" s="37">
        <v>1500</v>
      </c>
      <c r="U28" s="14"/>
      <c r="V28" s="14"/>
      <c r="W28" s="14"/>
      <c r="X28" s="14"/>
      <c r="Y28" s="14"/>
      <c r="Z28" s="14"/>
      <c r="AA28" s="14"/>
      <c r="AC28" s="14"/>
      <c r="AD28" s="14"/>
      <c r="AE28" s="14"/>
      <c r="AF28" s="14"/>
      <c r="AG28" s="14"/>
      <c r="AH28" s="14"/>
      <c r="AI28" s="14"/>
      <c r="AJ28" s="14"/>
      <c r="AK28" s="14"/>
      <c r="AL28" s="70"/>
      <c r="AM28" s="70"/>
      <c r="AN28" s="70"/>
      <c r="AO28" s="70"/>
      <c r="AP28" s="70"/>
    </row>
    <row r="29" spans="1:42" ht="15.75">
      <c r="A29" s="15" t="s">
        <v>394</v>
      </c>
      <c r="B29" s="15" t="s">
        <v>357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C29" s="14"/>
      <c r="AD29" s="14"/>
      <c r="AE29" s="14"/>
      <c r="AF29" s="14"/>
      <c r="AG29" s="14"/>
      <c r="AH29" s="14"/>
      <c r="AI29" s="14"/>
      <c r="AJ29" s="14"/>
      <c r="AK29" s="14"/>
      <c r="AL29" s="70"/>
      <c r="AM29" s="70"/>
      <c r="AN29" s="70"/>
      <c r="AO29" s="70"/>
      <c r="AP29" s="70"/>
    </row>
    <row r="30" spans="1:42" ht="15.75" hidden="1" outlineLevel="1">
      <c r="A30" s="35" t="s">
        <v>119</v>
      </c>
      <c r="B30" s="15" t="s">
        <v>357</v>
      </c>
      <c r="C30" s="14">
        <v>0</v>
      </c>
      <c r="D30" s="14">
        <v>43145</v>
      </c>
      <c r="E30" s="14">
        <v>48387</v>
      </c>
      <c r="F30" s="14">
        <v>48804</v>
      </c>
      <c r="G30" s="14">
        <v>48478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C30" s="14"/>
      <c r="AD30" s="14"/>
      <c r="AE30" s="14"/>
      <c r="AF30" s="14"/>
      <c r="AG30" s="14"/>
      <c r="AH30" s="14"/>
      <c r="AI30" s="14"/>
      <c r="AJ30" s="14"/>
      <c r="AK30" s="14"/>
      <c r="AL30" s="70"/>
      <c r="AM30" s="70"/>
      <c r="AN30" s="70"/>
      <c r="AO30" s="70"/>
      <c r="AP30" s="70"/>
    </row>
    <row r="31" spans="1:42" ht="15.75" collapsed="1">
      <c r="A31" s="35" t="s">
        <v>135</v>
      </c>
      <c r="B31" s="15" t="s">
        <v>357</v>
      </c>
      <c r="C31" s="14">
        <v>7472</v>
      </c>
      <c r="D31" s="14">
        <v>9172</v>
      </c>
      <c r="E31" s="14">
        <v>8665</v>
      </c>
      <c r="F31" s="14">
        <v>10620</v>
      </c>
      <c r="G31" s="14">
        <v>13117</v>
      </c>
      <c r="H31" s="14">
        <v>13226</v>
      </c>
      <c r="I31" s="14">
        <v>11200</v>
      </c>
      <c r="J31" s="14">
        <v>10000</v>
      </c>
      <c r="K31" s="14">
        <v>10000</v>
      </c>
      <c r="L31" s="14">
        <v>9570</v>
      </c>
      <c r="M31" s="14">
        <v>9253</v>
      </c>
      <c r="N31" s="14">
        <v>8506</v>
      </c>
      <c r="O31" s="14">
        <v>8506</v>
      </c>
      <c r="P31" s="14">
        <v>9404</v>
      </c>
      <c r="Q31" s="14">
        <v>10306</v>
      </c>
      <c r="R31" s="14">
        <v>10687</v>
      </c>
      <c r="S31" s="14">
        <v>10747</v>
      </c>
      <c r="T31" s="14">
        <v>10025</v>
      </c>
      <c r="U31" s="14">
        <v>10350</v>
      </c>
      <c r="V31" s="72">
        <v>9252</v>
      </c>
      <c r="W31" s="14">
        <v>9113</v>
      </c>
      <c r="X31" s="14">
        <v>9113</v>
      </c>
      <c r="Y31" s="14">
        <v>9905</v>
      </c>
      <c r="Z31" s="14">
        <v>10000</v>
      </c>
      <c r="AA31" s="14">
        <v>10000</v>
      </c>
      <c r="AB31" s="14">
        <v>10000</v>
      </c>
      <c r="AC31" s="14">
        <v>10000</v>
      </c>
      <c r="AD31" s="14">
        <v>10000</v>
      </c>
      <c r="AE31" s="14">
        <v>10000</v>
      </c>
      <c r="AF31" s="14">
        <v>10000</v>
      </c>
      <c r="AG31" s="14">
        <v>10000</v>
      </c>
      <c r="AH31" s="14">
        <v>10000</v>
      </c>
      <c r="AI31" s="14">
        <v>10000</v>
      </c>
      <c r="AJ31" s="14">
        <v>10000</v>
      </c>
      <c r="AK31" s="14">
        <v>10000</v>
      </c>
      <c r="AL31" s="70">
        <v>10000</v>
      </c>
      <c r="AM31" s="70">
        <v>0</v>
      </c>
      <c r="AN31" s="70">
        <v>10000</v>
      </c>
      <c r="AO31" s="70">
        <v>10000</v>
      </c>
      <c r="AP31" s="70">
        <v>0</v>
      </c>
    </row>
    <row r="32" spans="1:42" ht="15.75">
      <c r="A32" s="35" t="s">
        <v>60</v>
      </c>
      <c r="B32" s="15" t="s">
        <v>357</v>
      </c>
      <c r="C32" s="14">
        <v>149</v>
      </c>
      <c r="D32" s="14">
        <v>9975</v>
      </c>
      <c r="E32" s="14">
        <v>5664</v>
      </c>
      <c r="F32" s="14">
        <v>6102</v>
      </c>
      <c r="G32" s="14">
        <v>8296</v>
      </c>
      <c r="H32" s="14">
        <v>6341</v>
      </c>
      <c r="I32" s="14">
        <v>5357</v>
      </c>
      <c r="J32" s="14">
        <v>3860</v>
      </c>
      <c r="K32" s="14">
        <v>5230</v>
      </c>
      <c r="L32" s="14">
        <v>4998</v>
      </c>
      <c r="M32" s="14">
        <v>4885</v>
      </c>
      <c r="N32" s="14">
        <v>7693</v>
      </c>
      <c r="O32" s="14">
        <v>7203</v>
      </c>
      <c r="P32" s="14">
        <v>7906</v>
      </c>
      <c r="Q32" s="14">
        <v>8263</v>
      </c>
      <c r="R32" s="14">
        <v>9468</v>
      </c>
      <c r="S32" s="14">
        <v>9557</v>
      </c>
      <c r="T32" s="14">
        <v>9690</v>
      </c>
      <c r="U32" s="14">
        <v>9349</v>
      </c>
      <c r="V32" s="72">
        <v>9147</v>
      </c>
      <c r="W32" s="14">
        <v>9065</v>
      </c>
      <c r="X32" s="14">
        <v>12411</v>
      </c>
      <c r="Y32" s="14">
        <v>8055</v>
      </c>
      <c r="Z32" s="14">
        <v>13253</v>
      </c>
      <c r="AA32" s="72">
        <v>17162</v>
      </c>
      <c r="AB32" s="72">
        <v>17834</v>
      </c>
      <c r="AC32" s="14">
        <v>7900</v>
      </c>
      <c r="AD32" s="14">
        <v>15881</v>
      </c>
      <c r="AE32" s="14">
        <v>20490</v>
      </c>
      <c r="AF32" s="14">
        <v>19490</v>
      </c>
      <c r="AG32" s="14">
        <v>16490</v>
      </c>
      <c r="AH32" s="14">
        <v>24490</v>
      </c>
      <c r="AI32" s="14">
        <v>20055</v>
      </c>
      <c r="AJ32" s="14">
        <v>19786</v>
      </c>
      <c r="AK32" s="14">
        <v>26963</v>
      </c>
      <c r="AL32" s="70">
        <v>25483</v>
      </c>
      <c r="AM32" s="70">
        <v>25483</v>
      </c>
      <c r="AN32" s="70">
        <v>24905</v>
      </c>
      <c r="AO32" s="70">
        <v>24905</v>
      </c>
      <c r="AP32" s="70">
        <v>25483</v>
      </c>
    </row>
    <row r="33" spans="1:42" s="13" customFormat="1" ht="15.75">
      <c r="A33" s="35" t="s">
        <v>24</v>
      </c>
      <c r="B33" s="15" t="s">
        <v>357</v>
      </c>
      <c r="C33" s="22"/>
      <c r="D33" s="22"/>
      <c r="E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76"/>
      <c r="W33" s="22"/>
      <c r="X33" s="22"/>
      <c r="Y33" s="22"/>
      <c r="Z33" s="22"/>
      <c r="AA33" s="22"/>
      <c r="AB33" s="16">
        <f>-AB32</f>
        <v>-17834</v>
      </c>
      <c r="AC33" s="16">
        <v>-7900</v>
      </c>
      <c r="AD33" s="16">
        <f>+AD32*-1</f>
        <v>-15881</v>
      </c>
      <c r="AE33" s="16">
        <v>-20490</v>
      </c>
      <c r="AF33" s="16">
        <v>-19490</v>
      </c>
      <c r="AG33" s="16">
        <f>-AG32</f>
        <v>-16490</v>
      </c>
      <c r="AH33" s="16">
        <v>-24490</v>
      </c>
      <c r="AI33" s="16">
        <f aca="true" t="shared" si="0" ref="AI33:AP33">-AI32</f>
        <v>-20055</v>
      </c>
      <c r="AJ33" s="16">
        <f t="shared" si="0"/>
        <v>-19786</v>
      </c>
      <c r="AK33" s="16">
        <f>-AK32</f>
        <v>-26963</v>
      </c>
      <c r="AL33" s="104">
        <f t="shared" si="0"/>
        <v>-25483</v>
      </c>
      <c r="AM33" s="104">
        <f t="shared" si="0"/>
        <v>-25483</v>
      </c>
      <c r="AN33" s="104">
        <f t="shared" si="0"/>
        <v>-24905</v>
      </c>
      <c r="AO33" s="104">
        <f t="shared" si="0"/>
        <v>-24905</v>
      </c>
      <c r="AP33" s="104">
        <f t="shared" si="0"/>
        <v>-25483</v>
      </c>
    </row>
    <row r="34" spans="1:42" ht="15.75">
      <c r="A34" s="35" t="s">
        <v>427</v>
      </c>
      <c r="B34" s="15" t="s">
        <v>357</v>
      </c>
      <c r="C34" s="14">
        <f aca="true" t="shared" si="1" ref="C34:N34">SUM(C15:C33)</f>
        <v>450381</v>
      </c>
      <c r="D34" s="14">
        <f t="shared" si="1"/>
        <v>489954</v>
      </c>
      <c r="E34" s="14">
        <f t="shared" si="1"/>
        <v>529422</v>
      </c>
      <c r="F34" s="38">
        <f t="shared" si="1"/>
        <v>543328</v>
      </c>
      <c r="G34" s="38">
        <f t="shared" si="1"/>
        <v>594280</v>
      </c>
      <c r="H34" s="38">
        <f t="shared" si="1"/>
        <v>598067</v>
      </c>
      <c r="I34" s="38">
        <f t="shared" si="1"/>
        <v>556206</v>
      </c>
      <c r="J34" s="38">
        <f t="shared" si="1"/>
        <v>586003</v>
      </c>
      <c r="K34" s="14">
        <f t="shared" si="1"/>
        <v>651945</v>
      </c>
      <c r="L34" s="14">
        <f t="shared" si="1"/>
        <v>557691</v>
      </c>
      <c r="M34" s="14">
        <f t="shared" si="1"/>
        <v>653672</v>
      </c>
      <c r="N34" s="14">
        <f t="shared" si="1"/>
        <v>654914</v>
      </c>
      <c r="O34" s="14">
        <f>SUM(O15:O32)</f>
        <v>724864</v>
      </c>
      <c r="P34" s="14">
        <f>SUM(P15:P32)</f>
        <v>943785</v>
      </c>
      <c r="Q34" s="14">
        <f>SUM(Q15:Q32)</f>
        <v>907789</v>
      </c>
      <c r="R34" s="14">
        <f>SUM(R15:R32)-2*R35</f>
        <v>1000044</v>
      </c>
      <c r="S34" s="14">
        <f>SUM(S15:S33)</f>
        <v>1022506</v>
      </c>
      <c r="T34" s="14">
        <f>SUM(T15:T33)-T28</f>
        <v>1068141</v>
      </c>
      <c r="U34" s="14">
        <f>SUM(U15:U33)</f>
        <v>1087417</v>
      </c>
      <c r="V34" s="72">
        <f aca="true" t="shared" si="2" ref="V34:AG34">(SUM(V15:V33))</f>
        <v>1149858</v>
      </c>
      <c r="W34" s="14">
        <f t="shared" si="2"/>
        <v>1139535</v>
      </c>
      <c r="X34" s="14">
        <f t="shared" si="2"/>
        <v>1441146</v>
      </c>
      <c r="Y34" s="14">
        <f t="shared" si="2"/>
        <v>1223451</v>
      </c>
      <c r="Z34" s="14">
        <f t="shared" si="2"/>
        <v>1484947</v>
      </c>
      <c r="AA34" s="14">
        <f t="shared" si="2"/>
        <v>2156946</v>
      </c>
      <c r="AB34" s="14">
        <f t="shared" si="2"/>
        <v>1880709</v>
      </c>
      <c r="AC34" s="14">
        <f t="shared" si="2"/>
        <v>1813017</v>
      </c>
      <c r="AD34" s="14">
        <f t="shared" si="2"/>
        <v>2090290</v>
      </c>
      <c r="AE34" s="14">
        <f t="shared" si="2"/>
        <v>1688116</v>
      </c>
      <c r="AF34" s="14">
        <f t="shared" si="2"/>
        <v>1780823.5962214924</v>
      </c>
      <c r="AG34" s="14">
        <f t="shared" si="2"/>
        <v>1894292</v>
      </c>
      <c r="AH34" s="14">
        <f aca="true" t="shared" si="3" ref="AH34:AP34">(SUM(AH15:AH33))</f>
        <v>1737095</v>
      </c>
      <c r="AI34" s="14">
        <f t="shared" si="3"/>
        <v>1808150</v>
      </c>
      <c r="AJ34" s="14">
        <f t="shared" si="3"/>
        <v>1814650</v>
      </c>
      <c r="AK34" s="14">
        <f t="shared" si="3"/>
        <v>1934106</v>
      </c>
      <c r="AL34" s="70">
        <f t="shared" si="3"/>
        <v>1843106</v>
      </c>
      <c r="AM34" s="70">
        <f t="shared" si="3"/>
        <v>1760455</v>
      </c>
      <c r="AN34" s="70">
        <f t="shared" si="3"/>
        <v>1741818</v>
      </c>
      <c r="AO34" s="70">
        <f t="shared" si="3"/>
        <v>1859642</v>
      </c>
      <c r="AP34" s="70">
        <f t="shared" si="3"/>
        <v>1799624</v>
      </c>
    </row>
    <row r="35" spans="1:27" ht="15.75">
      <c r="A35" s="14"/>
      <c r="B35" s="1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36"/>
      <c r="Q35" s="36"/>
      <c r="R35" s="14"/>
      <c r="S35" s="14"/>
      <c r="T35" s="14"/>
      <c r="U35" s="14"/>
      <c r="V35" s="72"/>
      <c r="W35" s="14"/>
      <c r="X35" s="14"/>
      <c r="Y35" s="14"/>
      <c r="Z35" s="14"/>
      <c r="AA35" s="14"/>
    </row>
    <row r="36" spans="1:27" ht="15.75">
      <c r="A36" s="15" t="s">
        <v>428</v>
      </c>
      <c r="B36" s="15" t="s">
        <v>357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72"/>
      <c r="W36" s="14"/>
      <c r="X36" s="14"/>
      <c r="Y36" s="14"/>
      <c r="Z36" s="14"/>
      <c r="AA36" s="14"/>
    </row>
    <row r="37" spans="1:42" ht="15.75">
      <c r="A37" s="35" t="s">
        <v>429</v>
      </c>
      <c r="B37" s="15" t="s">
        <v>357</v>
      </c>
      <c r="C37" s="16">
        <v>100</v>
      </c>
      <c r="D37" s="16">
        <v>100</v>
      </c>
      <c r="E37" s="16">
        <v>100</v>
      </c>
      <c r="F37" s="16">
        <v>100</v>
      </c>
      <c r="G37" s="16">
        <v>100</v>
      </c>
      <c r="H37" s="16">
        <v>-19</v>
      </c>
      <c r="I37" s="16">
        <v>11</v>
      </c>
      <c r="J37" s="16">
        <v>1</v>
      </c>
      <c r="K37" s="16">
        <v>0</v>
      </c>
      <c r="L37" s="16">
        <v>0</v>
      </c>
      <c r="M37" s="16">
        <v>3</v>
      </c>
      <c r="N37" s="16">
        <v>3453</v>
      </c>
      <c r="O37" s="16">
        <v>3871</v>
      </c>
      <c r="P37" s="16">
        <v>7071</v>
      </c>
      <c r="Q37" s="16">
        <v>4869</v>
      </c>
      <c r="R37" s="16">
        <v>7767</v>
      </c>
      <c r="S37" s="16">
        <v>7280</v>
      </c>
      <c r="T37" s="16">
        <v>7633</v>
      </c>
      <c r="U37" s="16">
        <v>6955</v>
      </c>
      <c r="V37" s="77">
        <v>6997</v>
      </c>
      <c r="W37" s="16">
        <v>10970</v>
      </c>
      <c r="X37" s="16">
        <v>9592</v>
      </c>
      <c r="Y37" s="16">
        <v>11793</v>
      </c>
      <c r="Z37" s="77">
        <v>12371</v>
      </c>
      <c r="AA37" s="16">
        <v>9542</v>
      </c>
      <c r="AB37" s="77">
        <v>12371</v>
      </c>
      <c r="AC37" s="77">
        <f>12405</f>
        <v>12405</v>
      </c>
      <c r="AD37" s="77">
        <f>14787</f>
        <v>14787</v>
      </c>
      <c r="AE37" s="77">
        <v>12405</v>
      </c>
      <c r="AF37" s="77">
        <v>12405</v>
      </c>
      <c r="AG37" s="77">
        <v>16426</v>
      </c>
      <c r="AH37" s="77">
        <v>12405</v>
      </c>
      <c r="AI37" s="77">
        <v>12405</v>
      </c>
      <c r="AJ37" s="77">
        <v>15447</v>
      </c>
      <c r="AK37" s="77">
        <v>15447</v>
      </c>
      <c r="AL37" s="104">
        <v>15447</v>
      </c>
      <c r="AM37" s="104">
        <v>12405</v>
      </c>
      <c r="AN37" s="104">
        <v>12405</v>
      </c>
      <c r="AO37" s="104">
        <v>12405</v>
      </c>
      <c r="AP37" s="104">
        <v>12405</v>
      </c>
    </row>
    <row r="38" spans="1:42" ht="15.75">
      <c r="A38" s="35" t="s">
        <v>397</v>
      </c>
      <c r="B38" s="15" t="s">
        <v>357</v>
      </c>
      <c r="C38" s="14">
        <f aca="true" t="shared" si="4" ref="C38:U38">C37</f>
        <v>100</v>
      </c>
      <c r="D38" s="14">
        <f t="shared" si="4"/>
        <v>100</v>
      </c>
      <c r="E38" s="14">
        <f t="shared" si="4"/>
        <v>100</v>
      </c>
      <c r="F38" s="14">
        <f t="shared" si="4"/>
        <v>100</v>
      </c>
      <c r="G38" s="14">
        <f t="shared" si="4"/>
        <v>100</v>
      </c>
      <c r="H38" s="14">
        <f t="shared" si="4"/>
        <v>-19</v>
      </c>
      <c r="I38" s="14">
        <f t="shared" si="4"/>
        <v>11</v>
      </c>
      <c r="J38" s="14">
        <f t="shared" si="4"/>
        <v>1</v>
      </c>
      <c r="K38" s="14">
        <f t="shared" si="4"/>
        <v>0</v>
      </c>
      <c r="L38" s="14">
        <f t="shared" si="4"/>
        <v>0</v>
      </c>
      <c r="M38" s="14">
        <f t="shared" si="4"/>
        <v>3</v>
      </c>
      <c r="N38" s="14">
        <f t="shared" si="4"/>
        <v>3453</v>
      </c>
      <c r="O38" s="14">
        <f t="shared" si="4"/>
        <v>3871</v>
      </c>
      <c r="P38" s="14">
        <f t="shared" si="4"/>
        <v>7071</v>
      </c>
      <c r="Q38" s="14">
        <f t="shared" si="4"/>
        <v>4869</v>
      </c>
      <c r="R38" s="14">
        <f t="shared" si="4"/>
        <v>7767</v>
      </c>
      <c r="S38" s="14">
        <f t="shared" si="4"/>
        <v>7280</v>
      </c>
      <c r="T38" s="39">
        <f t="shared" si="4"/>
        <v>7633</v>
      </c>
      <c r="U38" s="14">
        <f t="shared" si="4"/>
        <v>6955</v>
      </c>
      <c r="V38" s="14">
        <f aca="true" t="shared" si="5" ref="V38:AG38">(V37)</f>
        <v>6997</v>
      </c>
      <c r="W38" s="14">
        <f t="shared" si="5"/>
        <v>10970</v>
      </c>
      <c r="X38" s="14">
        <f t="shared" si="5"/>
        <v>9592</v>
      </c>
      <c r="Y38" s="14">
        <f t="shared" si="5"/>
        <v>11793</v>
      </c>
      <c r="Z38" s="14">
        <f t="shared" si="5"/>
        <v>12371</v>
      </c>
      <c r="AA38" s="14">
        <f t="shared" si="5"/>
        <v>9542</v>
      </c>
      <c r="AB38" s="14">
        <f t="shared" si="5"/>
        <v>12371</v>
      </c>
      <c r="AC38" s="14">
        <f t="shared" si="5"/>
        <v>12405</v>
      </c>
      <c r="AD38" s="14">
        <f t="shared" si="5"/>
        <v>14787</v>
      </c>
      <c r="AE38" s="14">
        <f t="shared" si="5"/>
        <v>12405</v>
      </c>
      <c r="AF38" s="14">
        <f t="shared" si="5"/>
        <v>12405</v>
      </c>
      <c r="AG38" s="14">
        <f t="shared" si="5"/>
        <v>16426</v>
      </c>
      <c r="AH38" s="14">
        <f aca="true" t="shared" si="6" ref="AH38:AP38">(AH37)</f>
        <v>12405</v>
      </c>
      <c r="AI38" s="14">
        <f t="shared" si="6"/>
        <v>12405</v>
      </c>
      <c r="AJ38" s="14">
        <f t="shared" si="6"/>
        <v>15447</v>
      </c>
      <c r="AK38" s="14">
        <f t="shared" si="6"/>
        <v>15447</v>
      </c>
      <c r="AL38" s="70">
        <f t="shared" si="6"/>
        <v>15447</v>
      </c>
      <c r="AM38" s="70">
        <f t="shared" si="6"/>
        <v>12405</v>
      </c>
      <c r="AN38" s="70">
        <f t="shared" si="6"/>
        <v>12405</v>
      </c>
      <c r="AO38" s="70">
        <f t="shared" si="6"/>
        <v>12405</v>
      </c>
      <c r="AP38" s="70">
        <f t="shared" si="6"/>
        <v>12405</v>
      </c>
    </row>
    <row r="39" spans="1:27" ht="15.75" outlineLevel="1">
      <c r="A39" s="14"/>
      <c r="B39" s="15" t="s">
        <v>357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5.75" hidden="1" outlineLevel="1">
      <c r="A40" s="15" t="s">
        <v>398</v>
      </c>
      <c r="B40" s="15" t="s">
        <v>357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42" ht="15.75" hidden="1" outlineLevel="1">
      <c r="A41" s="35" t="s">
        <v>113</v>
      </c>
      <c r="B41" s="15" t="s">
        <v>357</v>
      </c>
      <c r="C41" s="14">
        <v>-13900</v>
      </c>
      <c r="D41" s="14">
        <v>0</v>
      </c>
      <c r="E41" s="14">
        <v>0</v>
      </c>
      <c r="F41" s="14">
        <v>0</v>
      </c>
      <c r="G41" s="14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/>
      <c r="S41" s="16"/>
      <c r="T41" s="16">
        <f>T40</f>
        <v>0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04"/>
      <c r="AM41" s="104"/>
      <c r="AN41" s="104"/>
      <c r="AO41" s="104"/>
      <c r="AP41" s="104"/>
    </row>
    <row r="42" spans="1:42" ht="15.75" hidden="1" outlineLevel="1">
      <c r="A42" s="35" t="s">
        <v>399</v>
      </c>
      <c r="B42" s="15" t="s">
        <v>357</v>
      </c>
      <c r="C42" s="14">
        <f aca="true" t="shared" si="7" ref="C42:N42">C41</f>
        <v>-13900</v>
      </c>
      <c r="D42" s="14">
        <f t="shared" si="7"/>
        <v>0</v>
      </c>
      <c r="E42" s="14">
        <f t="shared" si="7"/>
        <v>0</v>
      </c>
      <c r="F42" s="14">
        <f t="shared" si="7"/>
        <v>0</v>
      </c>
      <c r="G42" s="14">
        <f t="shared" si="7"/>
        <v>0</v>
      </c>
      <c r="H42" s="39">
        <f t="shared" si="7"/>
        <v>0</v>
      </c>
      <c r="I42" s="39">
        <f t="shared" si="7"/>
        <v>0</v>
      </c>
      <c r="J42" s="39">
        <f t="shared" si="7"/>
        <v>0</v>
      </c>
      <c r="K42" s="39">
        <f t="shared" si="7"/>
        <v>0</v>
      </c>
      <c r="L42" s="39">
        <f t="shared" si="7"/>
        <v>0</v>
      </c>
      <c r="M42" s="39">
        <f t="shared" si="7"/>
        <v>0</v>
      </c>
      <c r="N42" s="39">
        <f t="shared" si="7"/>
        <v>0</v>
      </c>
      <c r="O42" s="39">
        <v>0</v>
      </c>
      <c r="P42" s="39">
        <f>P41</f>
        <v>0</v>
      </c>
      <c r="Q42" s="39">
        <f>Q41</f>
        <v>0</v>
      </c>
      <c r="R42" s="39">
        <f>R41</f>
        <v>0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105"/>
      <c r="AM42" s="105"/>
      <c r="AN42" s="105"/>
      <c r="AO42" s="105"/>
      <c r="AP42" s="105"/>
    </row>
    <row r="43" spans="1:42" ht="15.75">
      <c r="A43" s="35" t="s">
        <v>401</v>
      </c>
      <c r="B43" s="15" t="s">
        <v>357</v>
      </c>
      <c r="C43" s="43">
        <f aca="true" t="shared" si="8" ref="C43:Q43">C34+C38+C42</f>
        <v>436581</v>
      </c>
      <c r="D43" s="43">
        <f t="shared" si="8"/>
        <v>490054</v>
      </c>
      <c r="E43" s="43">
        <f t="shared" si="8"/>
        <v>529522</v>
      </c>
      <c r="F43" s="43">
        <f t="shared" si="8"/>
        <v>543428</v>
      </c>
      <c r="G43" s="43">
        <f t="shared" si="8"/>
        <v>594380</v>
      </c>
      <c r="H43" s="43">
        <f t="shared" si="8"/>
        <v>598048</v>
      </c>
      <c r="I43" s="43">
        <f t="shared" si="8"/>
        <v>556217</v>
      </c>
      <c r="J43" s="43">
        <f t="shared" si="8"/>
        <v>586004</v>
      </c>
      <c r="K43" s="43">
        <f t="shared" si="8"/>
        <v>651945</v>
      </c>
      <c r="L43" s="43">
        <f t="shared" si="8"/>
        <v>557691</v>
      </c>
      <c r="M43" s="43">
        <f t="shared" si="8"/>
        <v>653675</v>
      </c>
      <c r="N43" s="43">
        <f t="shared" si="8"/>
        <v>658367</v>
      </c>
      <c r="O43" s="43">
        <f t="shared" si="8"/>
        <v>728735</v>
      </c>
      <c r="P43" s="43">
        <f t="shared" si="8"/>
        <v>950856</v>
      </c>
      <c r="Q43" s="43">
        <f t="shared" si="8"/>
        <v>912658</v>
      </c>
      <c r="R43" s="43">
        <f>R34+R38+R42+R35</f>
        <v>1007811</v>
      </c>
      <c r="S43" s="43">
        <f>S34+S38+S42+S35</f>
        <v>1029786</v>
      </c>
      <c r="T43" s="43">
        <f>T34+T38+T42+T35</f>
        <v>1075774</v>
      </c>
      <c r="U43" s="43">
        <f>U34+U38+U42+U35</f>
        <v>1094372</v>
      </c>
      <c r="V43" s="43">
        <f aca="true" t="shared" si="9" ref="V43:AG43">(V34+V38+V42+V35)</f>
        <v>1156855</v>
      </c>
      <c r="W43" s="43">
        <f t="shared" si="9"/>
        <v>1150505</v>
      </c>
      <c r="X43" s="43">
        <f t="shared" si="9"/>
        <v>1450738</v>
      </c>
      <c r="Y43" s="43">
        <f t="shared" si="9"/>
        <v>1235244</v>
      </c>
      <c r="Z43" s="43">
        <f t="shared" si="9"/>
        <v>1497318</v>
      </c>
      <c r="AA43" s="43">
        <f t="shared" si="9"/>
        <v>2166488</v>
      </c>
      <c r="AB43" s="43">
        <f t="shared" si="9"/>
        <v>1893080</v>
      </c>
      <c r="AC43" s="43">
        <f t="shared" si="9"/>
        <v>1825422</v>
      </c>
      <c r="AD43" s="43">
        <f t="shared" si="9"/>
        <v>2105077</v>
      </c>
      <c r="AE43" s="43">
        <f t="shared" si="9"/>
        <v>1700521</v>
      </c>
      <c r="AF43" s="43">
        <f t="shared" si="9"/>
        <v>1793228.5962214924</v>
      </c>
      <c r="AG43" s="43">
        <f t="shared" si="9"/>
        <v>1910718</v>
      </c>
      <c r="AH43" s="43">
        <f aca="true" t="shared" si="10" ref="AH43:AP43">(AH34+AH38+AH42+AH35)</f>
        <v>1749500</v>
      </c>
      <c r="AI43" s="43">
        <f t="shared" si="10"/>
        <v>1820555</v>
      </c>
      <c r="AJ43" s="43">
        <f t="shared" si="10"/>
        <v>1830097</v>
      </c>
      <c r="AK43" s="43">
        <f t="shared" si="10"/>
        <v>1949553</v>
      </c>
      <c r="AL43" s="106">
        <f t="shared" si="10"/>
        <v>1858553</v>
      </c>
      <c r="AM43" s="106">
        <f t="shared" si="10"/>
        <v>1772860</v>
      </c>
      <c r="AN43" s="106">
        <f t="shared" si="10"/>
        <v>1754223</v>
      </c>
      <c r="AO43" s="106">
        <f t="shared" si="10"/>
        <v>1872047</v>
      </c>
      <c r="AP43" s="106">
        <f t="shared" si="10"/>
        <v>1812029</v>
      </c>
    </row>
    <row r="44" spans="1:42" ht="15.75">
      <c r="A44" s="66" t="s">
        <v>98</v>
      </c>
      <c r="B44" s="66" t="s">
        <v>357</v>
      </c>
      <c r="C44" s="37">
        <f aca="true" t="shared" si="11" ref="C44:T44">C43-C18-C19-C20</f>
        <v>436581</v>
      </c>
      <c r="D44" s="37">
        <f t="shared" si="11"/>
        <v>490054</v>
      </c>
      <c r="E44" s="37">
        <f t="shared" si="11"/>
        <v>529522</v>
      </c>
      <c r="F44" s="37">
        <f t="shared" si="11"/>
        <v>543428</v>
      </c>
      <c r="G44" s="37">
        <f t="shared" si="11"/>
        <v>594380</v>
      </c>
      <c r="H44" s="37">
        <f t="shared" si="11"/>
        <v>598048</v>
      </c>
      <c r="I44" s="37">
        <f t="shared" si="11"/>
        <v>556217</v>
      </c>
      <c r="J44" s="37">
        <f t="shared" si="11"/>
        <v>586004</v>
      </c>
      <c r="K44" s="37">
        <f t="shared" si="11"/>
        <v>651945</v>
      </c>
      <c r="L44" s="37">
        <f t="shared" si="11"/>
        <v>557691</v>
      </c>
      <c r="M44" s="37">
        <f t="shared" si="11"/>
        <v>653675</v>
      </c>
      <c r="N44" s="37">
        <f t="shared" si="11"/>
        <v>658367</v>
      </c>
      <c r="O44" s="37">
        <f t="shared" si="11"/>
        <v>728735</v>
      </c>
      <c r="P44" s="37">
        <f t="shared" si="11"/>
        <v>685414</v>
      </c>
      <c r="Q44" s="37">
        <f t="shared" si="11"/>
        <v>739780</v>
      </c>
      <c r="R44" s="37">
        <f t="shared" si="11"/>
        <v>792721</v>
      </c>
      <c r="S44" s="37">
        <f t="shared" si="11"/>
        <v>798816</v>
      </c>
      <c r="T44" s="37">
        <f t="shared" si="11"/>
        <v>841957</v>
      </c>
      <c r="U44" s="37">
        <f>U43-SUM(U18)-SUM(U19)-SUM(U20)</f>
        <v>858679</v>
      </c>
      <c r="V44" s="37">
        <f aca="true" t="shared" si="12" ref="V44:AG44">V43-V18-V19-V20</f>
        <v>869943</v>
      </c>
      <c r="W44" s="37">
        <f t="shared" si="12"/>
        <v>848463</v>
      </c>
      <c r="X44" s="37">
        <f t="shared" si="12"/>
        <v>1170635</v>
      </c>
      <c r="Y44" s="37">
        <f t="shared" si="12"/>
        <v>898514</v>
      </c>
      <c r="Z44" s="37">
        <f t="shared" si="12"/>
        <v>1006361</v>
      </c>
      <c r="AA44" s="37">
        <f t="shared" si="12"/>
        <v>1189389</v>
      </c>
      <c r="AB44" s="37">
        <f t="shared" si="12"/>
        <v>1198097</v>
      </c>
      <c r="AC44" s="37">
        <f t="shared" si="12"/>
        <v>1171668</v>
      </c>
      <c r="AD44" s="37">
        <f t="shared" si="12"/>
        <v>1229925</v>
      </c>
      <c r="AE44" s="37">
        <f t="shared" si="12"/>
        <v>1001796</v>
      </c>
      <c r="AF44" s="37">
        <f t="shared" si="12"/>
        <v>1009635.6962214924</v>
      </c>
      <c r="AG44" s="37">
        <f t="shared" si="12"/>
        <v>1019225</v>
      </c>
      <c r="AH44" s="37">
        <f aca="true" t="shared" si="13" ref="AH44:AP44">AH43-AH18-AH19-AH20</f>
        <v>1006401</v>
      </c>
      <c r="AI44" s="37">
        <f t="shared" si="13"/>
        <v>989260</v>
      </c>
      <c r="AJ44" s="37">
        <f t="shared" si="13"/>
        <v>998802</v>
      </c>
      <c r="AK44" s="37">
        <f t="shared" si="13"/>
        <v>996901</v>
      </c>
      <c r="AL44" s="107">
        <f t="shared" si="13"/>
        <v>1001901</v>
      </c>
      <c r="AM44" s="107">
        <f t="shared" si="13"/>
        <v>1003300</v>
      </c>
      <c r="AN44" s="107">
        <f t="shared" si="13"/>
        <v>984970</v>
      </c>
      <c r="AO44" s="107">
        <f t="shared" si="13"/>
        <v>1018692</v>
      </c>
      <c r="AP44" s="107">
        <f t="shared" si="13"/>
        <v>1010180</v>
      </c>
    </row>
    <row r="45" spans="1:42" s="86" customFormat="1" ht="15.75">
      <c r="A45" s="78" t="s">
        <v>86</v>
      </c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108"/>
      <c r="AM45" s="108"/>
      <c r="AN45" s="108"/>
      <c r="AO45" s="108"/>
      <c r="AP45" s="108"/>
    </row>
    <row r="46" spans="1:30" ht="15.75">
      <c r="A46" s="10" t="s">
        <v>402</v>
      </c>
      <c r="B46" s="15" t="s">
        <v>357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C46" s="14"/>
      <c r="AD46" s="14"/>
    </row>
    <row r="47" spans="1:30" ht="15.75">
      <c r="A47" s="14"/>
      <c r="B47" s="15" t="s">
        <v>357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C47" s="14"/>
      <c r="AD47" s="14"/>
    </row>
    <row r="48" spans="1:30" ht="15.75">
      <c r="A48" s="15" t="s">
        <v>394</v>
      </c>
      <c r="B48" s="15" t="s">
        <v>357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C48" s="14"/>
      <c r="AD48" s="14"/>
    </row>
    <row r="49" spans="1:30" ht="15.75" hidden="1">
      <c r="A49" s="35" t="s">
        <v>403</v>
      </c>
      <c r="B49" s="15" t="s">
        <v>357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340</v>
      </c>
      <c r="M49" s="14">
        <v>194</v>
      </c>
      <c r="N49" s="14">
        <v>214</v>
      </c>
      <c r="O49" s="14">
        <v>225</v>
      </c>
      <c r="P49" s="14">
        <v>255</v>
      </c>
      <c r="Q49" s="14">
        <v>270</v>
      </c>
      <c r="R49" s="14">
        <v>247</v>
      </c>
      <c r="S49" s="14" t="s">
        <v>285</v>
      </c>
      <c r="T49" s="14"/>
      <c r="U49" s="14"/>
      <c r="V49" s="14"/>
      <c r="W49" s="14"/>
      <c r="X49" s="14"/>
      <c r="Y49" s="14"/>
      <c r="Z49" s="14"/>
      <c r="AA49" s="14"/>
      <c r="AC49" s="14"/>
      <c r="AD49" s="14"/>
    </row>
    <row r="50" spans="1:30" ht="15.75" hidden="1">
      <c r="A50" s="35" t="s">
        <v>286</v>
      </c>
      <c r="B50" s="15" t="s">
        <v>357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2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 t="s">
        <v>285</v>
      </c>
      <c r="T50" s="14"/>
      <c r="U50" s="14"/>
      <c r="V50" s="14"/>
      <c r="W50" s="14"/>
      <c r="X50" s="14"/>
      <c r="Y50" s="14"/>
      <c r="Z50" s="14"/>
      <c r="AA50" s="14"/>
      <c r="AC50" s="14"/>
      <c r="AD50" s="14"/>
    </row>
    <row r="51" spans="1:30" ht="15.75" hidden="1">
      <c r="A51" s="35" t="s">
        <v>287</v>
      </c>
      <c r="B51" s="15" t="s">
        <v>357</v>
      </c>
      <c r="C51" s="14">
        <v>140461</v>
      </c>
      <c r="D51" s="14">
        <v>289807</v>
      </c>
      <c r="E51" s="14">
        <v>302806</v>
      </c>
      <c r="F51" s="14">
        <v>373959</v>
      </c>
      <c r="G51" s="14">
        <v>440066</v>
      </c>
      <c r="H51" s="14">
        <v>641407</v>
      </c>
      <c r="I51" s="14">
        <v>584412</v>
      </c>
      <c r="J51" s="14">
        <v>65612</v>
      </c>
      <c r="K51" s="14">
        <v>140951</v>
      </c>
      <c r="L51" s="14">
        <v>91093</v>
      </c>
      <c r="M51" s="14">
        <v>8467</v>
      </c>
      <c r="N51" s="14">
        <v>182611</v>
      </c>
      <c r="O51" s="14">
        <v>123073</v>
      </c>
      <c r="P51" s="14">
        <v>120824</v>
      </c>
      <c r="Q51" s="14">
        <v>118522</v>
      </c>
      <c r="R51" s="14">
        <v>100262</v>
      </c>
      <c r="S51" s="14" t="s">
        <v>285</v>
      </c>
      <c r="T51" s="14"/>
      <c r="U51" s="14"/>
      <c r="V51" s="14"/>
      <c r="W51" s="14"/>
      <c r="X51" s="14"/>
      <c r="Y51" s="14"/>
      <c r="Z51" s="14"/>
      <c r="AA51" s="14"/>
      <c r="AC51" s="14"/>
      <c r="AD51" s="14"/>
    </row>
    <row r="52" spans="1:30" ht="15.75" hidden="1">
      <c r="A52" s="35" t="s">
        <v>288</v>
      </c>
      <c r="B52" s="15" t="s">
        <v>357</v>
      </c>
      <c r="C52" s="14"/>
      <c r="D52" s="14"/>
      <c r="E52" s="14"/>
      <c r="F52" s="14"/>
      <c r="G52" s="14"/>
      <c r="H52" s="14"/>
      <c r="I52" s="14"/>
      <c r="J52" s="14"/>
      <c r="K52" s="14" t="s">
        <v>362</v>
      </c>
      <c r="L52" s="14"/>
      <c r="M52" s="14"/>
      <c r="N52" s="14"/>
      <c r="O52" s="14">
        <v>0</v>
      </c>
      <c r="P52" s="14">
        <v>150825</v>
      </c>
      <c r="Q52" s="14">
        <v>4518</v>
      </c>
      <c r="R52" s="14">
        <v>437</v>
      </c>
      <c r="S52" s="14" t="s">
        <v>285</v>
      </c>
      <c r="T52" s="14"/>
      <c r="U52" s="14"/>
      <c r="V52" s="14"/>
      <c r="W52" s="14"/>
      <c r="X52" s="14"/>
      <c r="Y52" s="14"/>
      <c r="Z52" s="14"/>
      <c r="AA52" s="14"/>
      <c r="AC52" s="14"/>
      <c r="AD52" s="14"/>
    </row>
    <row r="53" spans="1:30" ht="15.75" hidden="1">
      <c r="A53" s="41" t="s">
        <v>393</v>
      </c>
      <c r="B53" s="15" t="s">
        <v>357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15400</v>
      </c>
      <c r="K53" s="39">
        <v>3042</v>
      </c>
      <c r="L53" s="39">
        <v>1088</v>
      </c>
      <c r="M53" s="39">
        <v>603</v>
      </c>
      <c r="N53" s="39">
        <v>0</v>
      </c>
      <c r="O53" s="39">
        <v>5482</v>
      </c>
      <c r="P53" s="39">
        <v>1377</v>
      </c>
      <c r="Q53" s="39">
        <v>56</v>
      </c>
      <c r="R53" s="39">
        <v>0</v>
      </c>
      <c r="S53" s="14" t="s">
        <v>285</v>
      </c>
      <c r="T53" s="39"/>
      <c r="U53" s="39"/>
      <c r="V53" s="39"/>
      <c r="W53" s="39"/>
      <c r="X53" s="39"/>
      <c r="Y53" s="39"/>
      <c r="Z53" s="39"/>
      <c r="AA53" s="39"/>
      <c r="AC53" s="14"/>
      <c r="AD53" s="14"/>
    </row>
    <row r="54" spans="1:30" ht="15.75" hidden="1">
      <c r="A54" s="41" t="s">
        <v>88</v>
      </c>
      <c r="B54" s="15" t="s">
        <v>357</v>
      </c>
      <c r="C54" s="39"/>
      <c r="D54" s="39"/>
      <c r="E54" s="39"/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9">
        <v>0</v>
      </c>
      <c r="S54" s="14" t="s">
        <v>285</v>
      </c>
      <c r="T54" s="39"/>
      <c r="U54" s="39"/>
      <c r="V54" s="39"/>
      <c r="W54" s="39"/>
      <c r="X54" s="39"/>
      <c r="Y54" s="39"/>
      <c r="Z54" s="39"/>
      <c r="AA54" s="39"/>
      <c r="AC54" s="14"/>
      <c r="AD54" s="14"/>
    </row>
    <row r="55" spans="1:42" ht="15.75">
      <c r="A55" s="41" t="s">
        <v>89</v>
      </c>
      <c r="B55" s="15" t="s">
        <v>357</v>
      </c>
      <c r="C55" s="39"/>
      <c r="D55" s="39"/>
      <c r="E55" s="39"/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9">
        <v>0</v>
      </c>
      <c r="S55" s="39">
        <v>8931</v>
      </c>
      <c r="T55" s="39">
        <v>4930</v>
      </c>
      <c r="U55" s="39">
        <v>4136</v>
      </c>
      <c r="V55" s="39">
        <v>11616</v>
      </c>
      <c r="W55" s="39">
        <v>9762</v>
      </c>
      <c r="X55" s="39">
        <v>43499</v>
      </c>
      <c r="Y55" s="39">
        <v>18150</v>
      </c>
      <c r="Z55" s="39">
        <v>37129</v>
      </c>
      <c r="AA55" s="39">
        <v>78784</v>
      </c>
      <c r="AB55" s="39">
        <v>104901</v>
      </c>
      <c r="AC55" s="14">
        <v>232550</v>
      </c>
      <c r="AD55" s="14">
        <v>305038</v>
      </c>
      <c r="AE55" s="14">
        <v>102275</v>
      </c>
      <c r="AF55" s="14">
        <v>416332</v>
      </c>
      <c r="AG55" s="14">
        <v>523720</v>
      </c>
      <c r="AH55" s="14">
        <v>947643</v>
      </c>
      <c r="AI55" s="14">
        <v>1095219</v>
      </c>
      <c r="AJ55" s="14">
        <v>1068873</v>
      </c>
      <c r="AK55" s="14">
        <v>868642</v>
      </c>
      <c r="AL55" s="14">
        <v>868642</v>
      </c>
      <c r="AM55" s="70">
        <v>792642</v>
      </c>
      <c r="AN55" s="70">
        <v>199232</v>
      </c>
      <c r="AO55" s="70">
        <v>199232</v>
      </c>
      <c r="AP55" s="70">
        <v>144979</v>
      </c>
    </row>
    <row r="56" spans="1:42" ht="15.75">
      <c r="A56" s="41" t="s">
        <v>90</v>
      </c>
      <c r="B56" s="15" t="s">
        <v>357</v>
      </c>
      <c r="C56" s="16"/>
      <c r="D56" s="16"/>
      <c r="E56" s="16"/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68461</v>
      </c>
      <c r="T56" s="39">
        <v>83894</v>
      </c>
      <c r="U56" s="39">
        <v>80793</v>
      </c>
      <c r="V56" s="39">
        <v>78063</v>
      </c>
      <c r="W56" s="39">
        <v>122617</v>
      </c>
      <c r="X56" s="39">
        <v>71452</v>
      </c>
      <c r="Y56" s="39">
        <v>119506</v>
      </c>
      <c r="Z56" s="39">
        <v>111441</v>
      </c>
      <c r="AA56" s="39">
        <v>19419</v>
      </c>
      <c r="AB56" s="39">
        <v>117570</v>
      </c>
      <c r="AC56" s="14">
        <v>186191</v>
      </c>
      <c r="AD56" s="14">
        <v>156592</v>
      </c>
      <c r="AE56" s="14">
        <v>133004</v>
      </c>
      <c r="AF56" s="14">
        <v>184063</v>
      </c>
      <c r="AG56" s="14">
        <v>178366</v>
      </c>
      <c r="AH56" s="14">
        <v>290928</v>
      </c>
      <c r="AI56" s="14">
        <v>332546</v>
      </c>
      <c r="AJ56" s="14">
        <v>356397</v>
      </c>
      <c r="AK56" s="14">
        <v>247905</v>
      </c>
      <c r="AL56" s="14">
        <v>247905</v>
      </c>
      <c r="AM56" s="70">
        <v>256598</v>
      </c>
      <c r="AN56" s="70">
        <v>143056</v>
      </c>
      <c r="AO56" s="70">
        <v>143056</v>
      </c>
      <c r="AP56" s="70">
        <v>53069</v>
      </c>
    </row>
    <row r="57" spans="1:42" ht="15.75">
      <c r="A57" s="35" t="s">
        <v>315</v>
      </c>
      <c r="B57" s="15" t="s">
        <v>357</v>
      </c>
      <c r="C57" s="14">
        <f aca="true" t="shared" si="14" ref="C57:R57">SUM(C48:C53)</f>
        <v>140461</v>
      </c>
      <c r="D57" s="14">
        <f t="shared" si="14"/>
        <v>289807</v>
      </c>
      <c r="E57" s="14">
        <f t="shared" si="14"/>
        <v>302806</v>
      </c>
      <c r="F57" s="38">
        <f t="shared" si="14"/>
        <v>373959</v>
      </c>
      <c r="G57" s="38">
        <f t="shared" si="14"/>
        <v>440066</v>
      </c>
      <c r="H57" s="38">
        <f t="shared" si="14"/>
        <v>641409</v>
      </c>
      <c r="I57" s="38">
        <f t="shared" si="14"/>
        <v>584412</v>
      </c>
      <c r="J57" s="38">
        <f t="shared" si="14"/>
        <v>81012</v>
      </c>
      <c r="K57" s="38">
        <f t="shared" si="14"/>
        <v>143993</v>
      </c>
      <c r="L57" s="38">
        <f t="shared" si="14"/>
        <v>92521</v>
      </c>
      <c r="M57" s="38">
        <f t="shared" si="14"/>
        <v>9264</v>
      </c>
      <c r="N57" s="38">
        <f t="shared" si="14"/>
        <v>182825</v>
      </c>
      <c r="O57" s="38">
        <f t="shared" si="14"/>
        <v>128780</v>
      </c>
      <c r="P57" s="38">
        <f t="shared" si="14"/>
        <v>273281</v>
      </c>
      <c r="Q57" s="38">
        <f t="shared" si="14"/>
        <v>123366</v>
      </c>
      <c r="R57" s="38">
        <f t="shared" si="14"/>
        <v>100946</v>
      </c>
      <c r="S57" s="38">
        <f>SUM(S48:S56)</f>
        <v>77392</v>
      </c>
      <c r="T57" s="38">
        <f>SUM(T48:T56)</f>
        <v>88824</v>
      </c>
      <c r="U57" s="38">
        <f>SUM(U48:U56)</f>
        <v>84929</v>
      </c>
      <c r="V57" s="38">
        <f aca="true" t="shared" si="15" ref="V57:AG57">(SUM(V48:V56))</f>
        <v>89679</v>
      </c>
      <c r="W57" s="38">
        <f t="shared" si="15"/>
        <v>132379</v>
      </c>
      <c r="X57" s="38">
        <f t="shared" si="15"/>
        <v>114951</v>
      </c>
      <c r="Y57" s="38">
        <f t="shared" si="15"/>
        <v>137656</v>
      </c>
      <c r="Z57" s="38">
        <f t="shared" si="15"/>
        <v>148570</v>
      </c>
      <c r="AA57" s="38">
        <f t="shared" si="15"/>
        <v>98203</v>
      </c>
      <c r="AB57" s="38">
        <f t="shared" si="15"/>
        <v>222471</v>
      </c>
      <c r="AC57" s="38">
        <f t="shared" si="15"/>
        <v>418741</v>
      </c>
      <c r="AD57" s="38">
        <f t="shared" si="15"/>
        <v>461630</v>
      </c>
      <c r="AE57" s="38">
        <f t="shared" si="15"/>
        <v>235279</v>
      </c>
      <c r="AF57" s="38">
        <f t="shared" si="15"/>
        <v>600395</v>
      </c>
      <c r="AG57" s="38">
        <f t="shared" si="15"/>
        <v>702086</v>
      </c>
      <c r="AH57" s="38">
        <f aca="true" t="shared" si="16" ref="AH57:AP57">(SUM(AH48:AH56))</f>
        <v>1238571</v>
      </c>
      <c r="AI57" s="38">
        <f t="shared" si="16"/>
        <v>1427765</v>
      </c>
      <c r="AJ57" s="38">
        <f t="shared" si="16"/>
        <v>1425270</v>
      </c>
      <c r="AK57" s="38">
        <f t="shared" si="16"/>
        <v>1116547</v>
      </c>
      <c r="AL57" s="109">
        <f t="shared" si="16"/>
        <v>1116547</v>
      </c>
      <c r="AM57" s="109">
        <f t="shared" si="16"/>
        <v>1049240</v>
      </c>
      <c r="AN57" s="109">
        <f t="shared" si="16"/>
        <v>342288</v>
      </c>
      <c r="AO57" s="109">
        <f t="shared" si="16"/>
        <v>342288</v>
      </c>
      <c r="AP57" s="109">
        <f t="shared" si="16"/>
        <v>198048</v>
      </c>
    </row>
    <row r="58" spans="1:27" ht="15.75">
      <c r="A58" s="14"/>
      <c r="B58" s="15" t="s">
        <v>357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.75">
      <c r="A59" s="15" t="s">
        <v>316</v>
      </c>
      <c r="B59" s="15" t="s">
        <v>357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42" ht="15.75">
      <c r="A60" s="35" t="s">
        <v>429</v>
      </c>
      <c r="B60" s="15" t="s">
        <v>357</v>
      </c>
      <c r="C60" s="14">
        <v>605</v>
      </c>
      <c r="D60" s="14">
        <v>721</v>
      </c>
      <c r="E60" s="14">
        <v>984</v>
      </c>
      <c r="F60" s="16">
        <v>1083</v>
      </c>
      <c r="G60" s="16">
        <v>968</v>
      </c>
      <c r="H60" s="16">
        <v>1241</v>
      </c>
      <c r="I60" s="16">
        <v>1290</v>
      </c>
      <c r="J60" s="16">
        <v>1582</v>
      </c>
      <c r="K60" s="16">
        <v>3667</v>
      </c>
      <c r="L60" s="16">
        <v>3334</v>
      </c>
      <c r="M60" s="16">
        <v>7237</v>
      </c>
      <c r="N60" s="16">
        <v>1374</v>
      </c>
      <c r="O60" s="16">
        <v>1889</v>
      </c>
      <c r="P60" s="16">
        <v>2203</v>
      </c>
      <c r="Q60" s="16">
        <v>1619</v>
      </c>
      <c r="R60" s="16">
        <v>1493</v>
      </c>
      <c r="S60" s="16">
        <v>1587</v>
      </c>
      <c r="T60" s="16">
        <v>1664</v>
      </c>
      <c r="U60" s="16">
        <v>1251</v>
      </c>
      <c r="V60" s="77">
        <v>1250</v>
      </c>
      <c r="W60" s="16">
        <v>0</v>
      </c>
      <c r="X60" s="16">
        <v>1130</v>
      </c>
      <c r="Y60" s="16">
        <v>1572</v>
      </c>
      <c r="Z60" s="16">
        <v>1526</v>
      </c>
      <c r="AA60" s="16">
        <v>1595</v>
      </c>
      <c r="AB60" s="16">
        <v>1595</v>
      </c>
      <c r="AC60" s="16">
        <v>1595</v>
      </c>
      <c r="AD60" s="16">
        <v>1257</v>
      </c>
      <c r="AE60" s="16">
        <v>1595</v>
      </c>
      <c r="AF60" s="16">
        <v>1595</v>
      </c>
      <c r="AG60" s="16">
        <v>2150</v>
      </c>
      <c r="AH60" s="16">
        <v>1595</v>
      </c>
      <c r="AI60" s="16">
        <v>1595</v>
      </c>
      <c r="AJ60" s="16">
        <v>1818</v>
      </c>
      <c r="AK60" s="16">
        <v>1818</v>
      </c>
      <c r="AL60" s="104">
        <v>1818</v>
      </c>
      <c r="AM60" s="104">
        <v>1595</v>
      </c>
      <c r="AN60" s="104">
        <v>1595</v>
      </c>
      <c r="AO60" s="104">
        <v>1595</v>
      </c>
      <c r="AP60" s="104">
        <v>1595</v>
      </c>
    </row>
    <row r="61" spans="1:42" ht="15.75">
      <c r="A61" s="35" t="s">
        <v>221</v>
      </c>
      <c r="B61" s="15" t="s">
        <v>357</v>
      </c>
      <c r="C61" s="43">
        <f aca="true" t="shared" si="17" ref="C61:U61">C60</f>
        <v>605</v>
      </c>
      <c r="D61" s="43">
        <f t="shared" si="17"/>
        <v>721</v>
      </c>
      <c r="E61" s="43">
        <f t="shared" si="17"/>
        <v>984</v>
      </c>
      <c r="F61" s="16">
        <f t="shared" si="17"/>
        <v>1083</v>
      </c>
      <c r="G61" s="16">
        <f t="shared" si="17"/>
        <v>968</v>
      </c>
      <c r="H61" s="16">
        <f t="shared" si="17"/>
        <v>1241</v>
      </c>
      <c r="I61" s="16">
        <f t="shared" si="17"/>
        <v>1290</v>
      </c>
      <c r="J61" s="16">
        <f t="shared" si="17"/>
        <v>1582</v>
      </c>
      <c r="K61" s="16">
        <f t="shared" si="17"/>
        <v>3667</v>
      </c>
      <c r="L61" s="16">
        <f t="shared" si="17"/>
        <v>3334</v>
      </c>
      <c r="M61" s="16">
        <f t="shared" si="17"/>
        <v>7237</v>
      </c>
      <c r="N61" s="16">
        <f t="shared" si="17"/>
        <v>1374</v>
      </c>
      <c r="O61" s="16">
        <f t="shared" si="17"/>
        <v>1889</v>
      </c>
      <c r="P61" s="16">
        <f t="shared" si="17"/>
        <v>2203</v>
      </c>
      <c r="Q61" s="16">
        <f t="shared" si="17"/>
        <v>1619</v>
      </c>
      <c r="R61" s="16">
        <f t="shared" si="17"/>
        <v>1493</v>
      </c>
      <c r="S61" s="16">
        <f t="shared" si="17"/>
        <v>1587</v>
      </c>
      <c r="T61" s="16">
        <f t="shared" si="17"/>
        <v>1664</v>
      </c>
      <c r="U61" s="16">
        <f t="shared" si="17"/>
        <v>1251</v>
      </c>
      <c r="V61" s="16">
        <f>(V60)</f>
        <v>1250</v>
      </c>
      <c r="W61" s="16">
        <v>0</v>
      </c>
      <c r="X61" s="16">
        <f aca="true" t="shared" si="18" ref="X61:AG61">(X60)</f>
        <v>1130</v>
      </c>
      <c r="Y61" s="16">
        <f t="shared" si="18"/>
        <v>1572</v>
      </c>
      <c r="Z61" s="16">
        <f t="shared" si="18"/>
        <v>1526</v>
      </c>
      <c r="AA61" s="16">
        <f t="shared" si="18"/>
        <v>1595</v>
      </c>
      <c r="AB61" s="16">
        <f t="shared" si="18"/>
        <v>1595</v>
      </c>
      <c r="AC61" s="16">
        <f t="shared" si="18"/>
        <v>1595</v>
      </c>
      <c r="AD61" s="16">
        <f t="shared" si="18"/>
        <v>1257</v>
      </c>
      <c r="AE61" s="16">
        <f t="shared" si="18"/>
        <v>1595</v>
      </c>
      <c r="AF61" s="16">
        <f t="shared" si="18"/>
        <v>1595</v>
      </c>
      <c r="AG61" s="16">
        <f t="shared" si="18"/>
        <v>2150</v>
      </c>
      <c r="AH61" s="16">
        <f aca="true" t="shared" si="19" ref="AH61:AP61">(AH60)</f>
        <v>1595</v>
      </c>
      <c r="AI61" s="16">
        <f t="shared" si="19"/>
        <v>1595</v>
      </c>
      <c r="AJ61" s="16">
        <f t="shared" si="19"/>
        <v>1818</v>
      </c>
      <c r="AK61" s="16">
        <f t="shared" si="19"/>
        <v>1818</v>
      </c>
      <c r="AL61" s="104">
        <f t="shared" si="19"/>
        <v>1818</v>
      </c>
      <c r="AM61" s="104">
        <f t="shared" si="19"/>
        <v>1595</v>
      </c>
      <c r="AN61" s="104">
        <f t="shared" si="19"/>
        <v>1595</v>
      </c>
      <c r="AO61" s="104">
        <f t="shared" si="19"/>
        <v>1595</v>
      </c>
      <c r="AP61" s="104">
        <f t="shared" si="19"/>
        <v>1595</v>
      </c>
    </row>
    <row r="62" spans="1:42" ht="15.75">
      <c r="A62" s="35" t="s">
        <v>375</v>
      </c>
      <c r="B62" s="15" t="s">
        <v>357</v>
      </c>
      <c r="C62" s="43">
        <f aca="true" t="shared" si="20" ref="C62:L62">C57+C61</f>
        <v>141066</v>
      </c>
      <c r="D62" s="43">
        <f t="shared" si="20"/>
        <v>290528</v>
      </c>
      <c r="E62" s="43">
        <f t="shared" si="20"/>
        <v>303790</v>
      </c>
      <c r="F62" s="16">
        <f t="shared" si="20"/>
        <v>375042</v>
      </c>
      <c r="G62" s="16">
        <f t="shared" si="20"/>
        <v>441034</v>
      </c>
      <c r="H62" s="16">
        <f t="shared" si="20"/>
        <v>642650</v>
      </c>
      <c r="I62" s="16">
        <f t="shared" si="20"/>
        <v>585702</v>
      </c>
      <c r="J62" s="16">
        <f t="shared" si="20"/>
        <v>82594</v>
      </c>
      <c r="K62" s="16">
        <f t="shared" si="20"/>
        <v>147660</v>
      </c>
      <c r="L62" s="16">
        <f t="shared" si="20"/>
        <v>95855</v>
      </c>
      <c r="M62" s="16">
        <f aca="true" t="shared" si="21" ref="M62:U62">M57+M61</f>
        <v>16501</v>
      </c>
      <c r="N62" s="16">
        <f t="shared" si="21"/>
        <v>184199</v>
      </c>
      <c r="O62" s="16">
        <f t="shared" si="21"/>
        <v>130669</v>
      </c>
      <c r="P62" s="16">
        <f t="shared" si="21"/>
        <v>275484</v>
      </c>
      <c r="Q62" s="16">
        <f t="shared" si="21"/>
        <v>124985</v>
      </c>
      <c r="R62" s="16">
        <f t="shared" si="21"/>
        <v>102439</v>
      </c>
      <c r="S62" s="16">
        <f t="shared" si="21"/>
        <v>78979</v>
      </c>
      <c r="T62" s="16">
        <f t="shared" si="21"/>
        <v>90488</v>
      </c>
      <c r="U62" s="16">
        <f t="shared" si="21"/>
        <v>86180</v>
      </c>
      <c r="V62" s="16">
        <f aca="true" t="shared" si="22" ref="V62:AG62">(V57+V61)</f>
        <v>90929</v>
      </c>
      <c r="W62" s="16">
        <f t="shared" si="22"/>
        <v>132379</v>
      </c>
      <c r="X62" s="16">
        <f t="shared" si="22"/>
        <v>116081</v>
      </c>
      <c r="Y62" s="16">
        <f t="shared" si="22"/>
        <v>139228</v>
      </c>
      <c r="Z62" s="16">
        <f t="shared" si="22"/>
        <v>150096</v>
      </c>
      <c r="AA62" s="16">
        <f t="shared" si="22"/>
        <v>99798</v>
      </c>
      <c r="AB62" s="16">
        <f t="shared" si="22"/>
        <v>224066</v>
      </c>
      <c r="AC62" s="16">
        <f t="shared" si="22"/>
        <v>420336</v>
      </c>
      <c r="AD62" s="16">
        <f t="shared" si="22"/>
        <v>462887</v>
      </c>
      <c r="AE62" s="16">
        <f t="shared" si="22"/>
        <v>236874</v>
      </c>
      <c r="AF62" s="16">
        <f t="shared" si="22"/>
        <v>601990</v>
      </c>
      <c r="AG62" s="16">
        <f t="shared" si="22"/>
        <v>704236</v>
      </c>
      <c r="AH62" s="16">
        <f aca="true" t="shared" si="23" ref="AH62:AP62">(AH57+AH61)</f>
        <v>1240166</v>
      </c>
      <c r="AI62" s="16">
        <f t="shared" si="23"/>
        <v>1429360</v>
      </c>
      <c r="AJ62" s="16">
        <f t="shared" si="23"/>
        <v>1427088</v>
      </c>
      <c r="AK62" s="16">
        <f t="shared" si="23"/>
        <v>1118365</v>
      </c>
      <c r="AL62" s="104">
        <f t="shared" si="23"/>
        <v>1118365</v>
      </c>
      <c r="AM62" s="104">
        <f t="shared" si="23"/>
        <v>1050835</v>
      </c>
      <c r="AN62" s="104">
        <f t="shared" si="23"/>
        <v>343883</v>
      </c>
      <c r="AO62" s="104">
        <f t="shared" si="23"/>
        <v>343883</v>
      </c>
      <c r="AP62" s="104">
        <f t="shared" si="23"/>
        <v>199643</v>
      </c>
    </row>
    <row r="63" spans="1:27" ht="15.75">
      <c r="A63" s="14"/>
      <c r="B63" s="15" t="s">
        <v>357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42" ht="15.75">
      <c r="A64" s="35" t="s">
        <v>218</v>
      </c>
      <c r="B64" s="15" t="s">
        <v>357</v>
      </c>
      <c r="C64" s="14">
        <f aca="true" t="shared" si="24" ref="C64:U64">C43+C62</f>
        <v>577647</v>
      </c>
      <c r="D64" s="14">
        <f t="shared" si="24"/>
        <v>780582</v>
      </c>
      <c r="E64" s="14">
        <f t="shared" si="24"/>
        <v>833312</v>
      </c>
      <c r="F64" s="14">
        <f t="shared" si="24"/>
        <v>918470</v>
      </c>
      <c r="G64" s="14">
        <f t="shared" si="24"/>
        <v>1035414</v>
      </c>
      <c r="H64" s="14">
        <f t="shared" si="24"/>
        <v>1240698</v>
      </c>
      <c r="I64" s="14">
        <f t="shared" si="24"/>
        <v>1141919</v>
      </c>
      <c r="J64" s="14">
        <f t="shared" si="24"/>
        <v>668598</v>
      </c>
      <c r="K64" s="14">
        <f t="shared" si="24"/>
        <v>799605</v>
      </c>
      <c r="L64" s="14">
        <f t="shared" si="24"/>
        <v>653546</v>
      </c>
      <c r="M64" s="14">
        <f t="shared" si="24"/>
        <v>670176</v>
      </c>
      <c r="N64" s="14">
        <f t="shared" si="24"/>
        <v>842566</v>
      </c>
      <c r="O64" s="14">
        <f t="shared" si="24"/>
        <v>859404</v>
      </c>
      <c r="P64" s="14">
        <f t="shared" si="24"/>
        <v>1226340</v>
      </c>
      <c r="Q64" s="14">
        <f t="shared" si="24"/>
        <v>1037643</v>
      </c>
      <c r="R64" s="14">
        <f t="shared" si="24"/>
        <v>1110250</v>
      </c>
      <c r="S64" s="14">
        <f t="shared" si="24"/>
        <v>1108765</v>
      </c>
      <c r="T64" s="14">
        <f t="shared" si="24"/>
        <v>1166262</v>
      </c>
      <c r="U64" s="14">
        <f t="shared" si="24"/>
        <v>1180552</v>
      </c>
      <c r="V64" s="14">
        <f aca="true" t="shared" si="25" ref="V64:AB64">(V43+V62)</f>
        <v>1247784</v>
      </c>
      <c r="W64" s="14">
        <f t="shared" si="25"/>
        <v>1282884</v>
      </c>
      <c r="X64" s="14">
        <f t="shared" si="25"/>
        <v>1566819</v>
      </c>
      <c r="Y64" s="14">
        <f t="shared" si="25"/>
        <v>1374472</v>
      </c>
      <c r="Z64" s="14">
        <f t="shared" si="25"/>
        <v>1647414</v>
      </c>
      <c r="AA64" s="14">
        <f t="shared" si="25"/>
        <v>2266286</v>
      </c>
      <c r="AB64" s="14">
        <f t="shared" si="25"/>
        <v>2117146</v>
      </c>
      <c r="AC64" s="14">
        <f aca="true" t="shared" si="26" ref="AC64:AL64">(AC43+AC62)</f>
        <v>2245758</v>
      </c>
      <c r="AD64" s="14">
        <f t="shared" si="26"/>
        <v>2567964</v>
      </c>
      <c r="AE64" s="14">
        <f t="shared" si="26"/>
        <v>1937395</v>
      </c>
      <c r="AF64" s="14">
        <f t="shared" si="26"/>
        <v>2395218.5962214926</v>
      </c>
      <c r="AG64" s="14">
        <f t="shared" si="26"/>
        <v>2614954</v>
      </c>
      <c r="AH64" s="14">
        <f t="shared" si="26"/>
        <v>2989666</v>
      </c>
      <c r="AI64" s="14">
        <f t="shared" si="26"/>
        <v>3249915</v>
      </c>
      <c r="AJ64" s="70">
        <f>(AJ43+AJ62)</f>
        <v>3257185</v>
      </c>
      <c r="AK64" s="70">
        <f>(AK43+AK62)</f>
        <v>3067918</v>
      </c>
      <c r="AL64" s="70">
        <f t="shared" si="26"/>
        <v>2976918</v>
      </c>
      <c r="AM64" s="70">
        <f>(AM43+AM62)</f>
        <v>2823695</v>
      </c>
      <c r="AN64" s="70">
        <f>(AN43+AN62)</f>
        <v>2098106</v>
      </c>
      <c r="AO64" s="70">
        <f>(AO43+AO62)</f>
        <v>2215930</v>
      </c>
      <c r="AP64" s="70">
        <f>(AP43+AP62)</f>
        <v>2011672</v>
      </c>
    </row>
    <row r="65" spans="1:30" ht="15.75">
      <c r="A65" s="14"/>
      <c r="B65" s="15" t="s">
        <v>357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 t="s">
        <v>357</v>
      </c>
      <c r="S65" s="14"/>
      <c r="T65" s="14"/>
      <c r="U65" s="14"/>
      <c r="V65" s="14"/>
      <c r="W65" s="14"/>
      <c r="X65" s="14"/>
      <c r="Y65" s="14"/>
      <c r="Z65" s="14"/>
      <c r="AA65" s="14"/>
      <c r="AC65" s="14"/>
      <c r="AD65" s="14"/>
    </row>
    <row r="66" spans="1:30" ht="15.75">
      <c r="A66" s="34" t="s">
        <v>132</v>
      </c>
      <c r="B66" s="15" t="s">
        <v>357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C66" s="14"/>
      <c r="AD66" s="14"/>
    </row>
    <row r="67" spans="1:30" ht="15.75">
      <c r="A67" s="14"/>
      <c r="B67" s="15" t="s">
        <v>357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C67" s="14"/>
      <c r="AD67" s="14"/>
    </row>
    <row r="68" spans="1:30" ht="15.75">
      <c r="A68" s="10" t="s">
        <v>101</v>
      </c>
      <c r="B68" s="15" t="s">
        <v>357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C68" s="14"/>
      <c r="AD68" s="14"/>
    </row>
    <row r="69" spans="1:30" ht="15.75">
      <c r="A69" s="14"/>
      <c r="B69" s="15" t="s">
        <v>357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C69" s="14"/>
      <c r="AD69" s="14"/>
    </row>
    <row r="70" spans="1:30" ht="15.75">
      <c r="A70" s="15" t="s">
        <v>102</v>
      </c>
      <c r="B70" s="15" t="s">
        <v>357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C70" s="14"/>
      <c r="AD70" s="14"/>
    </row>
    <row r="71" spans="1:42" ht="15.75">
      <c r="A71" s="35" t="s">
        <v>133</v>
      </c>
      <c r="B71" s="15" t="s">
        <v>357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182127</v>
      </c>
      <c r="J71" s="14">
        <v>164625</v>
      </c>
      <c r="K71" s="14">
        <v>160796</v>
      </c>
      <c r="L71" s="14">
        <v>160029</v>
      </c>
      <c r="M71" s="14">
        <v>161497</v>
      </c>
      <c r="N71" s="14">
        <v>168717</v>
      </c>
      <c r="O71" s="14">
        <v>170745</v>
      </c>
      <c r="P71" s="14">
        <v>176042</v>
      </c>
      <c r="Q71" s="14">
        <v>195993</v>
      </c>
      <c r="R71" s="14">
        <v>204461</v>
      </c>
      <c r="S71" s="14">
        <v>195339</v>
      </c>
      <c r="T71" s="14">
        <v>193697</v>
      </c>
      <c r="U71" s="14">
        <f>187996-514-185</f>
        <v>187297</v>
      </c>
      <c r="V71" s="14">
        <v>182312</v>
      </c>
      <c r="W71" s="14">
        <v>156955</v>
      </c>
      <c r="X71" s="14">
        <v>144196</v>
      </c>
      <c r="Y71" s="14">
        <v>118032</v>
      </c>
      <c r="Z71" s="14">
        <v>110200</v>
      </c>
      <c r="AA71" s="14">
        <v>133116</v>
      </c>
      <c r="AB71" s="14">
        <f>150667-32</f>
        <v>150635</v>
      </c>
      <c r="AC71" s="14">
        <v>164222</v>
      </c>
      <c r="AD71" s="14">
        <v>164246.4</v>
      </c>
      <c r="AE71" s="14">
        <v>164216</v>
      </c>
      <c r="AF71" s="14">
        <v>163278.995</v>
      </c>
      <c r="AG71" s="14">
        <v>163279</v>
      </c>
      <c r="AH71" s="14">
        <v>171575</v>
      </c>
      <c r="AI71" s="14">
        <v>166820</v>
      </c>
      <c r="AJ71" s="14">
        <v>170162</v>
      </c>
      <c r="AK71" s="14">
        <v>179048</v>
      </c>
      <c r="AL71" s="70">
        <v>148048</v>
      </c>
      <c r="AM71" s="70">
        <v>156651</v>
      </c>
      <c r="AN71" s="70">
        <v>151391</v>
      </c>
      <c r="AO71" s="70">
        <v>152612</v>
      </c>
      <c r="AP71" s="70">
        <v>155048</v>
      </c>
    </row>
    <row r="72" spans="1:42" ht="15.75">
      <c r="A72" s="35" t="s">
        <v>157</v>
      </c>
      <c r="B72" s="15" t="s">
        <v>357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36" t="s">
        <v>342</v>
      </c>
      <c r="X72" s="36" t="s">
        <v>205</v>
      </c>
      <c r="Y72" s="36" t="s">
        <v>206</v>
      </c>
      <c r="Z72" s="36" t="s">
        <v>207</v>
      </c>
      <c r="AA72" s="36" t="s">
        <v>351</v>
      </c>
      <c r="AB72" s="36" t="s">
        <v>19</v>
      </c>
      <c r="AC72" s="36" t="s">
        <v>164</v>
      </c>
      <c r="AD72" s="36" t="s">
        <v>164</v>
      </c>
      <c r="AE72" s="36" t="s">
        <v>164</v>
      </c>
      <c r="AF72" s="36" t="s">
        <v>164</v>
      </c>
      <c r="AG72" s="36" t="s">
        <v>164</v>
      </c>
      <c r="AH72" s="36" t="s">
        <v>39</v>
      </c>
      <c r="AI72" s="36" t="s">
        <v>39</v>
      </c>
      <c r="AJ72" s="36" t="s">
        <v>39</v>
      </c>
      <c r="AK72" s="110" t="s">
        <v>44</v>
      </c>
      <c r="AL72" s="110" t="s">
        <v>455</v>
      </c>
      <c r="AM72" s="110" t="s">
        <v>44</v>
      </c>
      <c r="AN72" s="110" t="s">
        <v>44</v>
      </c>
      <c r="AO72" s="110" t="s">
        <v>455</v>
      </c>
      <c r="AP72" s="110" t="s">
        <v>456</v>
      </c>
    </row>
    <row r="73" spans="1:42" ht="15.75" hidden="1">
      <c r="A73" s="15" t="s">
        <v>394</v>
      </c>
      <c r="B73" s="15" t="s">
        <v>357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70"/>
      <c r="AM73" s="70"/>
      <c r="AN73" s="70"/>
      <c r="AO73" s="70"/>
      <c r="AP73" s="70"/>
    </row>
    <row r="74" spans="1:42" ht="15.75" hidden="1">
      <c r="A74" s="42" t="s">
        <v>343</v>
      </c>
      <c r="B74" s="15" t="s">
        <v>357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1051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/>
      <c r="AH74" s="16">
        <v>0</v>
      </c>
      <c r="AI74" s="16">
        <v>0</v>
      </c>
      <c r="AJ74" s="16">
        <v>0</v>
      </c>
      <c r="AK74" s="16"/>
      <c r="AL74" s="104">
        <v>0</v>
      </c>
      <c r="AM74" s="104">
        <v>0</v>
      </c>
      <c r="AN74" s="104">
        <v>0</v>
      </c>
      <c r="AO74" s="104">
        <v>0</v>
      </c>
      <c r="AP74" s="104">
        <v>0</v>
      </c>
    </row>
    <row r="75" spans="1:42" ht="15.75">
      <c r="A75" s="35" t="s">
        <v>344</v>
      </c>
      <c r="B75" s="15" t="s">
        <v>357</v>
      </c>
      <c r="C75" s="43">
        <f aca="true" t="shared" si="27" ref="C75:L75">SUM(C70:C74)</f>
        <v>0</v>
      </c>
      <c r="D75" s="43">
        <f t="shared" si="27"/>
        <v>0</v>
      </c>
      <c r="E75" s="43">
        <f t="shared" si="27"/>
        <v>0</v>
      </c>
      <c r="F75" s="43">
        <f t="shared" si="27"/>
        <v>0</v>
      </c>
      <c r="G75" s="43">
        <f t="shared" si="27"/>
        <v>0</v>
      </c>
      <c r="H75" s="43">
        <f t="shared" si="27"/>
        <v>0</v>
      </c>
      <c r="I75" s="43">
        <f t="shared" si="27"/>
        <v>182127</v>
      </c>
      <c r="J75" s="43">
        <f t="shared" si="27"/>
        <v>164625</v>
      </c>
      <c r="K75" s="43">
        <f t="shared" si="27"/>
        <v>161847</v>
      </c>
      <c r="L75" s="43">
        <f t="shared" si="27"/>
        <v>160029</v>
      </c>
      <c r="M75" s="43">
        <f aca="true" t="shared" si="28" ref="M75:U75">SUM(M70:M74)</f>
        <v>161497</v>
      </c>
      <c r="N75" s="43">
        <f t="shared" si="28"/>
        <v>168717</v>
      </c>
      <c r="O75" s="43">
        <f t="shared" si="28"/>
        <v>170745</v>
      </c>
      <c r="P75" s="43">
        <f t="shared" si="28"/>
        <v>176042</v>
      </c>
      <c r="Q75" s="43">
        <f t="shared" si="28"/>
        <v>195993</v>
      </c>
      <c r="R75" s="43">
        <f t="shared" si="28"/>
        <v>204461</v>
      </c>
      <c r="S75" s="43">
        <f t="shared" si="28"/>
        <v>195339</v>
      </c>
      <c r="T75" s="43">
        <f t="shared" si="28"/>
        <v>193697</v>
      </c>
      <c r="U75" s="43">
        <f t="shared" si="28"/>
        <v>187297</v>
      </c>
      <c r="V75" s="43">
        <f aca="true" t="shared" si="29" ref="V75:AG75">(SUM(V70:V74))</f>
        <v>182312</v>
      </c>
      <c r="W75" s="43">
        <f t="shared" si="29"/>
        <v>156955</v>
      </c>
      <c r="X75" s="43">
        <f t="shared" si="29"/>
        <v>144196</v>
      </c>
      <c r="Y75" s="43">
        <f t="shared" si="29"/>
        <v>118032</v>
      </c>
      <c r="Z75" s="43">
        <f t="shared" si="29"/>
        <v>110200</v>
      </c>
      <c r="AA75" s="43">
        <f t="shared" si="29"/>
        <v>133116</v>
      </c>
      <c r="AB75" s="43">
        <f t="shared" si="29"/>
        <v>150635</v>
      </c>
      <c r="AC75" s="43">
        <f t="shared" si="29"/>
        <v>164222</v>
      </c>
      <c r="AD75" s="43">
        <f t="shared" si="29"/>
        <v>164246.4</v>
      </c>
      <c r="AE75" s="43">
        <f t="shared" si="29"/>
        <v>164216</v>
      </c>
      <c r="AF75" s="43">
        <f t="shared" si="29"/>
        <v>163278.995</v>
      </c>
      <c r="AG75" s="43">
        <f t="shared" si="29"/>
        <v>163279</v>
      </c>
      <c r="AH75" s="43">
        <f aca="true" t="shared" si="30" ref="AH75:AP75">(SUM(AH70:AH74))</f>
        <v>171575</v>
      </c>
      <c r="AI75" s="43">
        <f t="shared" si="30"/>
        <v>166820</v>
      </c>
      <c r="AJ75" s="43">
        <f t="shared" si="30"/>
        <v>170162</v>
      </c>
      <c r="AK75" s="43">
        <f t="shared" si="30"/>
        <v>179048</v>
      </c>
      <c r="AL75" s="106">
        <f t="shared" si="30"/>
        <v>148048</v>
      </c>
      <c r="AM75" s="106">
        <f t="shared" si="30"/>
        <v>156651</v>
      </c>
      <c r="AN75" s="106">
        <f t="shared" si="30"/>
        <v>151391</v>
      </c>
      <c r="AO75" s="106">
        <f t="shared" si="30"/>
        <v>152612</v>
      </c>
      <c r="AP75" s="106">
        <f t="shared" si="30"/>
        <v>155048</v>
      </c>
    </row>
    <row r="76" spans="1:42" ht="15.75">
      <c r="A76" s="35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70"/>
      <c r="AM76" s="70"/>
      <c r="AN76" s="70"/>
      <c r="AO76" s="70"/>
      <c r="AP76" s="70"/>
    </row>
    <row r="77" spans="1:42" ht="15.75">
      <c r="A77" s="15" t="s">
        <v>428</v>
      </c>
      <c r="B77" s="15" t="s">
        <v>357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110"/>
      <c r="AM77" s="110"/>
      <c r="AN77" s="110"/>
      <c r="AO77" s="110"/>
      <c r="AP77" s="110"/>
    </row>
    <row r="78" spans="1:42" ht="15.75">
      <c r="A78" s="35" t="s">
        <v>345</v>
      </c>
      <c r="B78" s="15" t="s">
        <v>357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>
        <v>5331</v>
      </c>
      <c r="T78" s="16">
        <v>5331</v>
      </c>
      <c r="U78" s="16">
        <v>6440</v>
      </c>
      <c r="V78" s="16">
        <v>6440</v>
      </c>
      <c r="W78" s="16">
        <v>6440</v>
      </c>
      <c r="X78" s="16">
        <v>6118</v>
      </c>
      <c r="Y78" s="16">
        <v>6118</v>
      </c>
      <c r="Z78" s="16">
        <v>6118</v>
      </c>
      <c r="AA78" s="16">
        <v>6105</v>
      </c>
      <c r="AB78" s="16">
        <v>6105</v>
      </c>
      <c r="AC78" s="16">
        <v>6105</v>
      </c>
      <c r="AD78" s="16">
        <v>6065.4</v>
      </c>
      <c r="AE78" s="16">
        <v>7105</v>
      </c>
      <c r="AF78" s="16">
        <v>7017.453</v>
      </c>
      <c r="AG78" s="16">
        <v>7017</v>
      </c>
      <c r="AH78" s="16">
        <v>7105</v>
      </c>
      <c r="AI78" s="16">
        <v>7006</v>
      </c>
      <c r="AJ78" s="16">
        <v>7006</v>
      </c>
      <c r="AK78" s="16">
        <v>6903</v>
      </c>
      <c r="AL78" s="104">
        <v>6903</v>
      </c>
      <c r="AM78" s="104">
        <v>6903</v>
      </c>
      <c r="AN78" s="104">
        <v>6903</v>
      </c>
      <c r="AO78" s="104">
        <v>6903</v>
      </c>
      <c r="AP78" s="104">
        <v>6403</v>
      </c>
    </row>
    <row r="79" spans="1:42" ht="15.75">
      <c r="A79" s="14"/>
      <c r="B79" s="15" t="s">
        <v>357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70"/>
      <c r="AM79" s="70"/>
      <c r="AN79" s="70"/>
      <c r="AO79" s="70"/>
      <c r="AP79" s="70"/>
    </row>
    <row r="80" spans="1:42" ht="15.75">
      <c r="A80" s="35" t="s">
        <v>401</v>
      </c>
      <c r="B80" s="15" t="s">
        <v>357</v>
      </c>
      <c r="C80" s="14">
        <f aca="true" t="shared" si="31" ref="C80:H80">C78</f>
        <v>0</v>
      </c>
      <c r="D80" s="14">
        <f t="shared" si="31"/>
        <v>0</v>
      </c>
      <c r="E80" s="14">
        <f t="shared" si="31"/>
        <v>0</v>
      </c>
      <c r="F80" s="14">
        <f t="shared" si="31"/>
        <v>0</v>
      </c>
      <c r="G80" s="14">
        <f t="shared" si="31"/>
        <v>0</v>
      </c>
      <c r="H80" s="14">
        <f t="shared" si="31"/>
        <v>0</v>
      </c>
      <c r="I80" s="14">
        <f aca="true" t="shared" si="32" ref="I80:U80">I75+I78</f>
        <v>182127</v>
      </c>
      <c r="J80" s="14">
        <f t="shared" si="32"/>
        <v>164625</v>
      </c>
      <c r="K80" s="14">
        <f t="shared" si="32"/>
        <v>161847</v>
      </c>
      <c r="L80" s="14">
        <f t="shared" si="32"/>
        <v>160029</v>
      </c>
      <c r="M80" s="14">
        <f t="shared" si="32"/>
        <v>161497</v>
      </c>
      <c r="N80" s="14">
        <f t="shared" si="32"/>
        <v>168717</v>
      </c>
      <c r="O80" s="14">
        <f t="shared" si="32"/>
        <v>170745</v>
      </c>
      <c r="P80" s="14">
        <f t="shared" si="32"/>
        <v>176042</v>
      </c>
      <c r="Q80" s="14">
        <f t="shared" si="32"/>
        <v>195993</v>
      </c>
      <c r="R80" s="14">
        <f t="shared" si="32"/>
        <v>204461</v>
      </c>
      <c r="S80" s="14">
        <f t="shared" si="32"/>
        <v>200670</v>
      </c>
      <c r="T80" s="14">
        <f t="shared" si="32"/>
        <v>199028</v>
      </c>
      <c r="U80" s="14">
        <f t="shared" si="32"/>
        <v>193737</v>
      </c>
      <c r="V80" s="14">
        <f aca="true" t="shared" si="33" ref="V80:AA80">(V75+V78)</f>
        <v>188752</v>
      </c>
      <c r="W80" s="14">
        <f t="shared" si="33"/>
        <v>163395</v>
      </c>
      <c r="X80" s="14">
        <f t="shared" si="33"/>
        <v>150314</v>
      </c>
      <c r="Y80" s="14">
        <f t="shared" si="33"/>
        <v>124150</v>
      </c>
      <c r="Z80" s="14">
        <f t="shared" si="33"/>
        <v>116318</v>
      </c>
      <c r="AA80" s="14">
        <f t="shared" si="33"/>
        <v>139221</v>
      </c>
      <c r="AB80" s="14">
        <f aca="true" t="shared" si="34" ref="AB80:AL80">(AB75+AB78)</f>
        <v>156740</v>
      </c>
      <c r="AC80" s="14">
        <f t="shared" si="34"/>
        <v>170327</v>
      </c>
      <c r="AD80" s="14">
        <f t="shared" si="34"/>
        <v>170311.8</v>
      </c>
      <c r="AE80" s="14">
        <f t="shared" si="34"/>
        <v>171321</v>
      </c>
      <c r="AF80" s="14">
        <f t="shared" si="34"/>
        <v>170296.448</v>
      </c>
      <c r="AG80" s="14">
        <f t="shared" si="34"/>
        <v>170296</v>
      </c>
      <c r="AH80" s="14">
        <f t="shared" si="34"/>
        <v>178680</v>
      </c>
      <c r="AI80" s="14">
        <f t="shared" si="34"/>
        <v>173826</v>
      </c>
      <c r="AJ80" s="14">
        <f t="shared" si="34"/>
        <v>177168</v>
      </c>
      <c r="AK80" s="14">
        <f t="shared" si="34"/>
        <v>185951</v>
      </c>
      <c r="AL80" s="70">
        <f t="shared" si="34"/>
        <v>154951</v>
      </c>
      <c r="AM80" s="70">
        <f>(AM75+AM78)</f>
        <v>163554</v>
      </c>
      <c r="AN80" s="70">
        <f>(AN75+AN78)</f>
        <v>158294</v>
      </c>
      <c r="AO80" s="70">
        <f>(AO75+AO78)</f>
        <v>159515</v>
      </c>
      <c r="AP80" s="70">
        <f>(AP75+AP78)</f>
        <v>161451</v>
      </c>
    </row>
    <row r="81" spans="1:30" ht="15.75">
      <c r="A81" s="10"/>
      <c r="B81" s="15" t="s">
        <v>357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ht="15.75">
      <c r="A82" s="10" t="s">
        <v>402</v>
      </c>
      <c r="B82" s="15" t="s">
        <v>357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ht="15.75">
      <c r="A83" s="15"/>
      <c r="B83" s="15" t="s">
        <v>357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ht="15.75">
      <c r="A84" s="15" t="s">
        <v>394</v>
      </c>
      <c r="B84" s="15" t="s">
        <v>357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42" ht="15.75">
      <c r="A85" s="35" t="s">
        <v>257</v>
      </c>
      <c r="B85" s="15" t="s">
        <v>357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735891</v>
      </c>
      <c r="K85" s="14">
        <v>537523</v>
      </c>
      <c r="L85" s="14">
        <v>422559</v>
      </c>
      <c r="M85" s="14">
        <v>375439</v>
      </c>
      <c r="N85" s="14">
        <v>396368</v>
      </c>
      <c r="O85" s="14">
        <v>432363</v>
      </c>
      <c r="P85" s="14">
        <v>451169</v>
      </c>
      <c r="Q85" s="14">
        <v>480071</v>
      </c>
      <c r="R85" s="14">
        <v>432164</v>
      </c>
      <c r="S85" s="14">
        <v>462531</v>
      </c>
      <c r="T85" s="14">
        <v>519636</v>
      </c>
      <c r="U85" s="14">
        <v>473895</v>
      </c>
      <c r="V85" s="14">
        <v>471338</v>
      </c>
      <c r="W85" s="14">
        <v>564392</v>
      </c>
      <c r="X85" s="14">
        <v>544582</v>
      </c>
      <c r="Y85" s="14">
        <v>478229</v>
      </c>
      <c r="Z85" s="14">
        <v>690561</v>
      </c>
      <c r="AA85" s="14">
        <v>1044930</v>
      </c>
      <c r="AB85" s="14">
        <v>684554</v>
      </c>
      <c r="AC85" s="14">
        <v>886694</v>
      </c>
      <c r="AD85" s="14">
        <f>948080-0.4</f>
        <v>948079.6</v>
      </c>
      <c r="AE85" s="14">
        <v>884438</v>
      </c>
      <c r="AF85" s="14">
        <v>1098906</v>
      </c>
      <c r="AG85" s="14">
        <v>1164049</v>
      </c>
      <c r="AH85" s="14">
        <v>1123715</v>
      </c>
      <c r="AI85" s="14">
        <v>1817302</v>
      </c>
      <c r="AJ85" s="14">
        <v>1621487</v>
      </c>
      <c r="AK85" s="14">
        <v>2112554</v>
      </c>
      <c r="AL85" s="14">
        <v>2112554</v>
      </c>
      <c r="AM85" s="70">
        <v>2221009</v>
      </c>
      <c r="AN85" s="70">
        <v>1875413</v>
      </c>
      <c r="AO85" s="70">
        <v>1875413</v>
      </c>
      <c r="AP85" s="70">
        <v>1994729</v>
      </c>
    </row>
    <row r="86" spans="1:42" ht="15.75">
      <c r="A86" s="44" t="s">
        <v>346</v>
      </c>
      <c r="B86" s="15" t="s">
        <v>357</v>
      </c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70"/>
      <c r="AM86" s="70"/>
      <c r="AN86" s="70"/>
      <c r="AO86" s="70"/>
      <c r="AP86" s="70"/>
    </row>
    <row r="87" spans="1:42" ht="15.75">
      <c r="A87" s="35" t="s">
        <v>17</v>
      </c>
      <c r="B87" s="15" t="s">
        <v>357</v>
      </c>
      <c r="C87" s="14"/>
      <c r="D87" s="14"/>
      <c r="E87" s="14"/>
      <c r="F87" s="14">
        <v>0</v>
      </c>
      <c r="G87" s="14">
        <v>0</v>
      </c>
      <c r="H87" s="14">
        <v>0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>
        <v>1230</v>
      </c>
      <c r="T87" s="14">
        <v>1229</v>
      </c>
      <c r="U87" s="14">
        <v>1131</v>
      </c>
      <c r="V87" s="14">
        <v>861</v>
      </c>
      <c r="W87" s="14">
        <v>676</v>
      </c>
      <c r="X87" s="14">
        <v>751</v>
      </c>
      <c r="Y87" s="14">
        <v>841</v>
      </c>
      <c r="Z87" s="14">
        <v>933</v>
      </c>
      <c r="AA87" s="14">
        <v>2034</v>
      </c>
      <c r="AB87" s="14">
        <v>976</v>
      </c>
      <c r="AC87" s="14">
        <v>1231</v>
      </c>
      <c r="AD87" s="14">
        <v>1742</v>
      </c>
      <c r="AE87" s="14">
        <v>1252</v>
      </c>
      <c r="AF87" s="14">
        <v>1472</v>
      </c>
      <c r="AG87" s="14">
        <v>1364</v>
      </c>
      <c r="AH87" s="14">
        <v>1505</v>
      </c>
      <c r="AI87" s="14">
        <v>2154</v>
      </c>
      <c r="AJ87" s="14">
        <v>4612</v>
      </c>
      <c r="AK87" s="14">
        <v>4912</v>
      </c>
      <c r="AL87" s="70">
        <v>4912</v>
      </c>
      <c r="AM87" s="70">
        <v>2764</v>
      </c>
      <c r="AN87" s="70">
        <v>2435</v>
      </c>
      <c r="AO87" s="70">
        <v>2435</v>
      </c>
      <c r="AP87" s="70">
        <v>2608</v>
      </c>
    </row>
    <row r="88" spans="1:42" ht="15.75">
      <c r="A88" s="45" t="s">
        <v>18</v>
      </c>
      <c r="B88" s="15" t="s">
        <v>357</v>
      </c>
      <c r="C88" s="14"/>
      <c r="D88" s="14"/>
      <c r="E88" s="14"/>
      <c r="F88" s="14">
        <v>0</v>
      </c>
      <c r="G88" s="14">
        <v>0</v>
      </c>
      <c r="H88" s="14">
        <v>0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>
        <v>2359</v>
      </c>
      <c r="T88" s="14">
        <v>2228</v>
      </c>
      <c r="U88" s="14">
        <v>2419</v>
      </c>
      <c r="V88" s="14">
        <v>1808</v>
      </c>
      <c r="W88" s="14">
        <v>3515</v>
      </c>
      <c r="X88" s="14">
        <v>3346</v>
      </c>
      <c r="Y88" s="14">
        <v>2644</v>
      </c>
      <c r="Z88" s="14">
        <v>2769</v>
      </c>
      <c r="AA88" s="14">
        <v>3749</v>
      </c>
      <c r="AB88" s="14">
        <v>2748</v>
      </c>
      <c r="AC88" s="14">
        <v>3057</v>
      </c>
      <c r="AD88" s="14">
        <v>4520</v>
      </c>
      <c r="AE88" s="14">
        <v>3081</v>
      </c>
      <c r="AF88" s="14">
        <v>3440</v>
      </c>
      <c r="AG88" s="14">
        <v>3976</v>
      </c>
      <c r="AH88" s="14">
        <v>3442</v>
      </c>
      <c r="AI88" s="14">
        <v>7910</v>
      </c>
      <c r="AJ88" s="14">
        <v>7913</v>
      </c>
      <c r="AK88" s="14">
        <v>8647</v>
      </c>
      <c r="AL88" s="14">
        <v>8647</v>
      </c>
      <c r="AM88" s="70">
        <v>7279</v>
      </c>
      <c r="AN88" s="70">
        <v>6405</v>
      </c>
      <c r="AO88" s="70">
        <v>6405</v>
      </c>
      <c r="AP88" s="70">
        <v>6803</v>
      </c>
    </row>
    <row r="89" spans="1:42" ht="15.75">
      <c r="A89" s="45" t="s">
        <v>53</v>
      </c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>
        <v>3912</v>
      </c>
      <c r="AL89" s="70">
        <v>3912</v>
      </c>
      <c r="AM89" s="70"/>
      <c r="AN89" s="70">
        <v>3438</v>
      </c>
      <c r="AO89" s="70">
        <v>3438</v>
      </c>
      <c r="AP89" s="70">
        <v>0</v>
      </c>
    </row>
    <row r="90" spans="1:42" ht="15.75">
      <c r="A90" s="45" t="s">
        <v>0</v>
      </c>
      <c r="B90" s="15" t="s">
        <v>357</v>
      </c>
      <c r="C90" s="16"/>
      <c r="D90" s="16"/>
      <c r="E90" s="16"/>
      <c r="F90" s="14"/>
      <c r="G90" s="14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4"/>
      <c r="AM90" s="104">
        <v>250000</v>
      </c>
      <c r="AN90" s="104">
        <v>250000</v>
      </c>
      <c r="AO90" s="104">
        <v>250000</v>
      </c>
      <c r="AP90" s="104">
        <v>250000</v>
      </c>
    </row>
    <row r="91" spans="1:42" ht="15.75">
      <c r="A91" s="35" t="s">
        <v>9</v>
      </c>
      <c r="B91" s="15" t="s">
        <v>357</v>
      </c>
      <c r="C91" s="16">
        <f aca="true" t="shared" si="35" ref="C91:L91">SUM(C85:C90)</f>
        <v>0</v>
      </c>
      <c r="D91" s="16">
        <f t="shared" si="35"/>
        <v>0</v>
      </c>
      <c r="E91" s="16">
        <f t="shared" si="35"/>
        <v>0</v>
      </c>
      <c r="F91" s="43">
        <f t="shared" si="35"/>
        <v>0</v>
      </c>
      <c r="G91" s="43">
        <f t="shared" si="35"/>
        <v>0</v>
      </c>
      <c r="H91" s="16">
        <f t="shared" si="35"/>
        <v>0</v>
      </c>
      <c r="I91" s="16">
        <f t="shared" si="35"/>
        <v>0</v>
      </c>
      <c r="J91" s="16">
        <f t="shared" si="35"/>
        <v>735891</v>
      </c>
      <c r="K91" s="16">
        <f t="shared" si="35"/>
        <v>537523</v>
      </c>
      <c r="L91" s="16">
        <f t="shared" si="35"/>
        <v>422559</v>
      </c>
      <c r="M91" s="16">
        <f aca="true" t="shared" si="36" ref="M91:U91">SUM(M85:M90)</f>
        <v>375439</v>
      </c>
      <c r="N91" s="16">
        <f t="shared" si="36"/>
        <v>396368</v>
      </c>
      <c r="O91" s="16">
        <f t="shared" si="36"/>
        <v>432363</v>
      </c>
      <c r="P91" s="16">
        <f t="shared" si="36"/>
        <v>451169</v>
      </c>
      <c r="Q91" s="16">
        <f t="shared" si="36"/>
        <v>480071</v>
      </c>
      <c r="R91" s="16">
        <f t="shared" si="36"/>
        <v>432164</v>
      </c>
      <c r="S91" s="16">
        <f t="shared" si="36"/>
        <v>466120</v>
      </c>
      <c r="T91" s="16">
        <f t="shared" si="36"/>
        <v>523093</v>
      </c>
      <c r="U91" s="16">
        <f t="shared" si="36"/>
        <v>477445</v>
      </c>
      <c r="V91" s="16">
        <f aca="true" t="shared" si="37" ref="V91:AG91">(SUM(V85:V90))</f>
        <v>474007</v>
      </c>
      <c r="W91" s="16">
        <f t="shared" si="37"/>
        <v>568583</v>
      </c>
      <c r="X91" s="16">
        <f t="shared" si="37"/>
        <v>548679</v>
      </c>
      <c r="Y91" s="16">
        <f t="shared" si="37"/>
        <v>481714</v>
      </c>
      <c r="Z91" s="16">
        <f t="shared" si="37"/>
        <v>694263</v>
      </c>
      <c r="AA91" s="16">
        <f t="shared" si="37"/>
        <v>1050713</v>
      </c>
      <c r="AB91" s="16">
        <f t="shared" si="37"/>
        <v>688278</v>
      </c>
      <c r="AC91" s="16">
        <f t="shared" si="37"/>
        <v>890982</v>
      </c>
      <c r="AD91" s="16">
        <f t="shared" si="37"/>
        <v>954341.6</v>
      </c>
      <c r="AE91" s="16">
        <f t="shared" si="37"/>
        <v>888771</v>
      </c>
      <c r="AF91" s="16">
        <f t="shared" si="37"/>
        <v>1103818</v>
      </c>
      <c r="AG91" s="16">
        <f t="shared" si="37"/>
        <v>1169389</v>
      </c>
      <c r="AH91" s="16">
        <f aca="true" t="shared" si="38" ref="AH91:AP91">(SUM(AH85:AH90))</f>
        <v>1128662</v>
      </c>
      <c r="AI91" s="16">
        <f t="shared" si="38"/>
        <v>1827366</v>
      </c>
      <c r="AJ91" s="104">
        <f t="shared" si="38"/>
        <v>1634012</v>
      </c>
      <c r="AK91" s="104">
        <f t="shared" si="38"/>
        <v>2130025</v>
      </c>
      <c r="AL91" s="104">
        <f t="shared" si="38"/>
        <v>2130025</v>
      </c>
      <c r="AM91" s="104">
        <f t="shared" si="38"/>
        <v>2481052</v>
      </c>
      <c r="AN91" s="104">
        <f t="shared" si="38"/>
        <v>2137691</v>
      </c>
      <c r="AO91" s="104">
        <f t="shared" si="38"/>
        <v>2137691</v>
      </c>
      <c r="AP91" s="104">
        <f t="shared" si="38"/>
        <v>2254140</v>
      </c>
    </row>
    <row r="92" spans="1:42" ht="15.75">
      <c r="A92" s="14"/>
      <c r="B92" s="15" t="s">
        <v>357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110"/>
      <c r="AM92" s="110"/>
      <c r="AN92" s="110"/>
      <c r="AO92" s="110"/>
      <c r="AP92" s="110"/>
    </row>
    <row r="93" spans="1:42" ht="15.75">
      <c r="A93" s="35" t="s">
        <v>10</v>
      </c>
      <c r="B93" s="15" t="s">
        <v>357</v>
      </c>
      <c r="C93" s="16">
        <f aca="true" t="shared" si="39" ref="C93:U93">C91</f>
        <v>0</v>
      </c>
      <c r="D93" s="16">
        <f t="shared" si="39"/>
        <v>0</v>
      </c>
      <c r="E93" s="16">
        <f t="shared" si="39"/>
        <v>0</v>
      </c>
      <c r="F93" s="14">
        <f t="shared" si="39"/>
        <v>0</v>
      </c>
      <c r="G93" s="14">
        <f t="shared" si="39"/>
        <v>0</v>
      </c>
      <c r="H93" s="16">
        <f t="shared" si="39"/>
        <v>0</v>
      </c>
      <c r="I93" s="16">
        <f t="shared" si="39"/>
        <v>0</v>
      </c>
      <c r="J93" s="16">
        <f t="shared" si="39"/>
        <v>735891</v>
      </c>
      <c r="K93" s="16">
        <f t="shared" si="39"/>
        <v>537523</v>
      </c>
      <c r="L93" s="16">
        <f t="shared" si="39"/>
        <v>422559</v>
      </c>
      <c r="M93" s="16">
        <f t="shared" si="39"/>
        <v>375439</v>
      </c>
      <c r="N93" s="16">
        <f t="shared" si="39"/>
        <v>396368</v>
      </c>
      <c r="O93" s="16">
        <f t="shared" si="39"/>
        <v>432363</v>
      </c>
      <c r="P93" s="16">
        <f t="shared" si="39"/>
        <v>451169</v>
      </c>
      <c r="Q93" s="16">
        <f t="shared" si="39"/>
        <v>480071</v>
      </c>
      <c r="R93" s="16">
        <f t="shared" si="39"/>
        <v>432164</v>
      </c>
      <c r="S93" s="16">
        <f t="shared" si="39"/>
        <v>466120</v>
      </c>
      <c r="T93" s="16">
        <f t="shared" si="39"/>
        <v>523093</v>
      </c>
      <c r="U93" s="16">
        <f t="shared" si="39"/>
        <v>477445</v>
      </c>
      <c r="V93" s="16">
        <f aca="true" t="shared" si="40" ref="V93:AA93">(V91)</f>
        <v>474007</v>
      </c>
      <c r="W93" s="16">
        <f t="shared" si="40"/>
        <v>568583</v>
      </c>
      <c r="X93" s="16">
        <f t="shared" si="40"/>
        <v>548679</v>
      </c>
      <c r="Y93" s="16">
        <f t="shared" si="40"/>
        <v>481714</v>
      </c>
      <c r="Z93" s="16">
        <f t="shared" si="40"/>
        <v>694263</v>
      </c>
      <c r="AA93" s="16">
        <f t="shared" si="40"/>
        <v>1050713</v>
      </c>
      <c r="AB93" s="16">
        <f aca="true" t="shared" si="41" ref="AB93:AH93">(AB91)</f>
        <v>688278</v>
      </c>
      <c r="AC93" s="16">
        <f t="shared" si="41"/>
        <v>890982</v>
      </c>
      <c r="AD93" s="16">
        <f t="shared" si="41"/>
        <v>954341.6</v>
      </c>
      <c r="AE93" s="16">
        <f t="shared" si="41"/>
        <v>888771</v>
      </c>
      <c r="AF93" s="16">
        <f t="shared" si="41"/>
        <v>1103818</v>
      </c>
      <c r="AG93" s="16">
        <f>(AG91)</f>
        <v>1169389</v>
      </c>
      <c r="AH93" s="16">
        <f t="shared" si="41"/>
        <v>1128662</v>
      </c>
      <c r="AI93" s="16">
        <f aca="true" t="shared" si="42" ref="AI93:AP93">(AI91)</f>
        <v>1827366</v>
      </c>
      <c r="AJ93" s="104">
        <f t="shared" si="42"/>
        <v>1634012</v>
      </c>
      <c r="AK93" s="104">
        <f>(AK91)</f>
        <v>2130025</v>
      </c>
      <c r="AL93" s="104">
        <f t="shared" si="42"/>
        <v>2130025</v>
      </c>
      <c r="AM93" s="104">
        <f t="shared" si="42"/>
        <v>2481052</v>
      </c>
      <c r="AN93" s="104">
        <f t="shared" si="42"/>
        <v>2137691</v>
      </c>
      <c r="AO93" s="104">
        <f>(AO91)</f>
        <v>2137691</v>
      </c>
      <c r="AP93" s="104">
        <f t="shared" si="42"/>
        <v>2254140</v>
      </c>
    </row>
    <row r="94" spans="1:42" ht="15.75">
      <c r="A94" s="46"/>
      <c r="B94" s="15" t="s">
        <v>357</v>
      </c>
      <c r="C94" s="14"/>
      <c r="D94" s="14"/>
      <c r="E94" s="14"/>
      <c r="F94" s="38"/>
      <c r="G94" s="38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70"/>
      <c r="AM94" s="70"/>
      <c r="AN94" s="70"/>
      <c r="AO94" s="70"/>
      <c r="AP94" s="70"/>
    </row>
    <row r="95" spans="1:42" ht="15.75">
      <c r="A95" s="35" t="s">
        <v>254</v>
      </c>
      <c r="B95" s="15" t="s">
        <v>357</v>
      </c>
      <c r="C95" s="14">
        <f aca="true" t="shared" si="43" ref="C95:P95">C93+C78</f>
        <v>0</v>
      </c>
      <c r="D95" s="14">
        <f t="shared" si="43"/>
        <v>0</v>
      </c>
      <c r="E95" s="14">
        <f t="shared" si="43"/>
        <v>0</v>
      </c>
      <c r="F95" s="14">
        <f t="shared" si="43"/>
        <v>0</v>
      </c>
      <c r="G95" s="14">
        <f t="shared" si="43"/>
        <v>0</v>
      </c>
      <c r="H95" s="14">
        <f t="shared" si="43"/>
        <v>0</v>
      </c>
      <c r="I95" s="14">
        <f t="shared" si="43"/>
        <v>0</v>
      </c>
      <c r="J95" s="14">
        <f t="shared" si="43"/>
        <v>735891</v>
      </c>
      <c r="K95" s="14">
        <f t="shared" si="43"/>
        <v>537523</v>
      </c>
      <c r="L95" s="14">
        <f t="shared" si="43"/>
        <v>422559</v>
      </c>
      <c r="M95" s="14">
        <f t="shared" si="43"/>
        <v>375439</v>
      </c>
      <c r="N95" s="14">
        <f t="shared" si="43"/>
        <v>396368</v>
      </c>
      <c r="O95" s="14">
        <f t="shared" si="43"/>
        <v>432363</v>
      </c>
      <c r="P95" s="14">
        <f t="shared" si="43"/>
        <v>451169</v>
      </c>
      <c r="Q95" s="14">
        <f>Q93+Q80</f>
        <v>676064</v>
      </c>
      <c r="R95" s="14">
        <f>R93+R80</f>
        <v>636625</v>
      </c>
      <c r="S95" s="14">
        <f>S93+S80</f>
        <v>666790</v>
      </c>
      <c r="T95" s="14">
        <f>T93+T80</f>
        <v>722121</v>
      </c>
      <c r="U95" s="14">
        <f>U93+U80</f>
        <v>671182</v>
      </c>
      <c r="V95" s="14">
        <f aca="true" t="shared" si="44" ref="V95:AA95">(V93+V80)</f>
        <v>662759</v>
      </c>
      <c r="W95" s="14">
        <f t="shared" si="44"/>
        <v>731978</v>
      </c>
      <c r="X95" s="14">
        <f t="shared" si="44"/>
        <v>698993</v>
      </c>
      <c r="Y95" s="14">
        <f t="shared" si="44"/>
        <v>605864</v>
      </c>
      <c r="Z95" s="14">
        <f t="shared" si="44"/>
        <v>810581</v>
      </c>
      <c r="AA95" s="14">
        <f t="shared" si="44"/>
        <v>1189934</v>
      </c>
      <c r="AB95" s="14">
        <f aca="true" t="shared" si="45" ref="AB95:AH95">(AB93+AB80)</f>
        <v>845018</v>
      </c>
      <c r="AC95" s="14">
        <f t="shared" si="45"/>
        <v>1061309</v>
      </c>
      <c r="AD95" s="14">
        <f t="shared" si="45"/>
        <v>1124653.4</v>
      </c>
      <c r="AE95" s="14">
        <f t="shared" si="45"/>
        <v>1060092</v>
      </c>
      <c r="AF95" s="14">
        <f t="shared" si="45"/>
        <v>1274114.448</v>
      </c>
      <c r="AG95" s="14">
        <f>(AG93+AG80)</f>
        <v>1339685</v>
      </c>
      <c r="AH95" s="14">
        <f t="shared" si="45"/>
        <v>1307342</v>
      </c>
      <c r="AI95" s="14">
        <f aca="true" t="shared" si="46" ref="AI95:AP95">(AI93+AI80)</f>
        <v>2001192</v>
      </c>
      <c r="AJ95" s="14">
        <f t="shared" si="46"/>
        <v>1811180</v>
      </c>
      <c r="AK95" s="14">
        <f>(AK93+AK80)</f>
        <v>2315976</v>
      </c>
      <c r="AL95" s="70">
        <f t="shared" si="46"/>
        <v>2284976</v>
      </c>
      <c r="AM95" s="70">
        <f t="shared" si="46"/>
        <v>2644606</v>
      </c>
      <c r="AN95" s="70">
        <f t="shared" si="46"/>
        <v>2295985</v>
      </c>
      <c r="AO95" s="70">
        <f>(AO93+AO80)</f>
        <v>2297206</v>
      </c>
      <c r="AP95" s="70">
        <f t="shared" si="46"/>
        <v>2415591</v>
      </c>
    </row>
    <row r="96" spans="1:30" ht="15.75">
      <c r="A96" s="14"/>
      <c r="B96" s="15" t="s">
        <v>357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C96" s="14"/>
      <c r="AD96" s="14"/>
    </row>
    <row r="97" spans="1:30" ht="15.75">
      <c r="A97" s="34" t="s">
        <v>255</v>
      </c>
      <c r="B97" s="15" t="s">
        <v>357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C97" s="14"/>
      <c r="AD97" s="14"/>
    </row>
    <row r="98" spans="1:30" ht="15.75">
      <c r="A98" s="34" t="s">
        <v>256</v>
      </c>
      <c r="B98" s="15" t="s">
        <v>357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C98" s="14"/>
      <c r="AD98" s="14"/>
    </row>
    <row r="99" spans="1:30" ht="15.75">
      <c r="A99" s="14"/>
      <c r="B99" s="15" t="s">
        <v>357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C99" s="14"/>
      <c r="AD99" s="14"/>
    </row>
    <row r="100" spans="1:30" ht="15.75">
      <c r="A100" s="10" t="s">
        <v>101</v>
      </c>
      <c r="B100" s="15" t="s">
        <v>357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C100" s="14"/>
      <c r="AD100" s="14"/>
    </row>
    <row r="101" spans="1:30" ht="15.75">
      <c r="A101" s="10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C101" s="14"/>
      <c r="AD101" s="14"/>
    </row>
    <row r="102" spans="1:30" ht="15.75" hidden="1">
      <c r="A102" s="2" t="s">
        <v>425</v>
      </c>
      <c r="B102" s="15" t="s">
        <v>357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">
        <v>567.961</v>
      </c>
      <c r="R102" s="2">
        <v>475.162</v>
      </c>
      <c r="S102" s="2">
        <v>266.982</v>
      </c>
      <c r="T102" s="2">
        <v>519.171</v>
      </c>
      <c r="U102" s="2">
        <v>330.535</v>
      </c>
      <c r="V102" s="2">
        <v>352.698</v>
      </c>
      <c r="W102" s="2">
        <v>265.722</v>
      </c>
      <c r="X102" s="2">
        <v>142.773</v>
      </c>
      <c r="Y102" s="2">
        <v>99.401</v>
      </c>
      <c r="Z102" s="2">
        <v>33.81</v>
      </c>
      <c r="AA102" s="2">
        <v>12.964</v>
      </c>
      <c r="AC102" s="14"/>
      <c r="AD102" s="14"/>
    </row>
    <row r="103" spans="1:30" ht="15.75">
      <c r="A103" s="15" t="s">
        <v>102</v>
      </c>
      <c r="B103" s="15" t="s">
        <v>357</v>
      </c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AC103" s="14"/>
      <c r="AD103" s="14"/>
    </row>
    <row r="104" spans="1:42" ht="15.75">
      <c r="A104" s="35" t="s">
        <v>61</v>
      </c>
      <c r="B104" s="15" t="s">
        <v>357</v>
      </c>
      <c r="C104" s="14">
        <v>1000</v>
      </c>
      <c r="D104" s="14">
        <v>30880</v>
      </c>
      <c r="E104" s="14">
        <v>53939</v>
      </c>
      <c r="F104" s="14">
        <v>84687</v>
      </c>
      <c r="G104" s="14">
        <v>95479</v>
      </c>
      <c r="H104" s="14">
        <v>58515</v>
      </c>
      <c r="I104" s="14">
        <v>60878</v>
      </c>
      <c r="J104" s="14">
        <v>70695</v>
      </c>
      <c r="K104" s="14">
        <v>80347</v>
      </c>
      <c r="L104" s="14">
        <v>80792</v>
      </c>
      <c r="M104" s="14">
        <v>100378</v>
      </c>
      <c r="N104" s="14">
        <v>103115</v>
      </c>
      <c r="O104" s="14">
        <v>102172</v>
      </c>
      <c r="P104" s="14">
        <v>102060</v>
      </c>
      <c r="Q104" s="14">
        <v>110253</v>
      </c>
      <c r="R104" s="14">
        <v>110175</v>
      </c>
      <c r="S104" s="14">
        <v>112011</v>
      </c>
      <c r="T104" s="14">
        <v>111071</v>
      </c>
      <c r="U104" s="14">
        <v>110026</v>
      </c>
      <c r="V104" s="14">
        <f>95970-500+353</f>
        <v>95823</v>
      </c>
      <c r="W104" s="14">
        <f>94672-500+266</f>
        <v>94438</v>
      </c>
      <c r="X104" s="14">
        <f>95437-3163-500+143</f>
        <v>91917</v>
      </c>
      <c r="Y104" s="14">
        <f>93353-46-275+99</f>
        <v>93131</v>
      </c>
      <c r="Z104" s="14">
        <f>9821+(96166-275+34)-340+34</f>
        <v>105440</v>
      </c>
      <c r="AA104" s="14">
        <f>+(100801+13)-222</f>
        <v>100592</v>
      </c>
      <c r="AB104" s="14">
        <f>102800+34-41</f>
        <v>102793</v>
      </c>
      <c r="AC104" s="14">
        <v>105367</v>
      </c>
      <c r="AD104" s="14">
        <v>104503</v>
      </c>
      <c r="AE104" s="14">
        <v>106699</v>
      </c>
      <c r="AF104" s="14">
        <v>105384.267</v>
      </c>
      <c r="AG104" s="14">
        <v>105187</v>
      </c>
      <c r="AH104" s="14">
        <v>108905</v>
      </c>
      <c r="AI104" s="14">
        <v>108368</v>
      </c>
      <c r="AJ104" s="14">
        <v>108357</v>
      </c>
      <c r="AK104" s="14">
        <v>108980</v>
      </c>
      <c r="AL104" s="70">
        <v>108980</v>
      </c>
      <c r="AM104" s="70">
        <v>112209</v>
      </c>
      <c r="AN104" s="70">
        <v>108909</v>
      </c>
      <c r="AO104" s="70">
        <v>109198</v>
      </c>
      <c r="AP104" s="70">
        <v>115460</v>
      </c>
    </row>
    <row r="105" spans="1:42" ht="15.75">
      <c r="A105" s="35" t="s">
        <v>62</v>
      </c>
      <c r="B105" s="50" t="s">
        <v>357</v>
      </c>
      <c r="C105" s="39">
        <v>0</v>
      </c>
      <c r="D105" s="39">
        <v>36647</v>
      </c>
      <c r="E105" s="39">
        <v>61451</v>
      </c>
      <c r="F105" s="39">
        <v>94843</v>
      </c>
      <c r="G105" s="39">
        <v>82485</v>
      </c>
      <c r="H105" s="39">
        <v>115333</v>
      </c>
      <c r="I105" s="39">
        <v>213184</v>
      </c>
      <c r="J105" s="39">
        <v>271228</v>
      </c>
      <c r="K105" s="39">
        <v>296941</v>
      </c>
      <c r="L105" s="39">
        <v>197277</v>
      </c>
      <c r="M105" s="39">
        <v>218720</v>
      </c>
      <c r="N105" s="39">
        <v>206380</v>
      </c>
      <c r="O105" s="39">
        <v>193160</v>
      </c>
      <c r="P105" s="39">
        <v>192772</v>
      </c>
      <c r="Q105" s="39">
        <v>198955</v>
      </c>
      <c r="R105" s="39">
        <v>187803</v>
      </c>
      <c r="S105" s="39">
        <v>187930</v>
      </c>
      <c r="T105" s="39">
        <v>197307</v>
      </c>
      <c r="U105" s="39">
        <v>182386</v>
      </c>
      <c r="V105" s="39">
        <v>173742</v>
      </c>
      <c r="W105" s="39">
        <v>177085</v>
      </c>
      <c r="X105" s="39">
        <v>180787</v>
      </c>
      <c r="Y105" s="39">
        <v>185392</v>
      </c>
      <c r="Z105" s="39">
        <v>195873</v>
      </c>
      <c r="AA105" s="39">
        <v>214565</v>
      </c>
      <c r="AB105" s="39">
        <f>203455-18</f>
        <v>203437</v>
      </c>
      <c r="AC105" s="39">
        <v>174035</v>
      </c>
      <c r="AD105" s="39">
        <v>190498</v>
      </c>
      <c r="AE105" s="39">
        <v>174469</v>
      </c>
      <c r="AF105" s="39">
        <v>190591.258</v>
      </c>
      <c r="AG105" s="39">
        <v>190591</v>
      </c>
      <c r="AH105" s="39">
        <v>243863</v>
      </c>
      <c r="AI105" s="39">
        <v>188205</v>
      </c>
      <c r="AJ105" s="39">
        <v>188205</v>
      </c>
      <c r="AK105" s="39">
        <v>185248</v>
      </c>
      <c r="AL105" s="105">
        <v>185248</v>
      </c>
      <c r="AM105" s="105">
        <v>185936</v>
      </c>
      <c r="AN105" s="105">
        <v>182838</v>
      </c>
      <c r="AO105" s="105">
        <v>185393</v>
      </c>
      <c r="AP105" s="105">
        <v>52835</v>
      </c>
    </row>
    <row r="106" spans="1:42" ht="15.75">
      <c r="A106" s="35" t="s">
        <v>3</v>
      </c>
      <c r="B106" s="50" t="s">
        <v>357</v>
      </c>
      <c r="C106" s="14"/>
      <c r="D106" s="14"/>
      <c r="E106" s="14"/>
      <c r="F106" s="14"/>
      <c r="G106" s="14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>
        <v>68000</v>
      </c>
      <c r="AA106" s="16">
        <v>78902</v>
      </c>
      <c r="AB106" s="16">
        <v>0</v>
      </c>
      <c r="AC106" s="16">
        <v>0</v>
      </c>
      <c r="AD106" s="16">
        <v>33780</v>
      </c>
      <c r="AE106" s="16">
        <v>0</v>
      </c>
      <c r="AF106" s="16">
        <v>0</v>
      </c>
      <c r="AG106" s="16"/>
      <c r="AH106" s="16"/>
      <c r="AI106" s="16"/>
      <c r="AJ106" s="16"/>
      <c r="AK106" s="16"/>
      <c r="AL106" s="104"/>
      <c r="AM106" s="104"/>
      <c r="AN106" s="104"/>
      <c r="AO106" s="104"/>
      <c r="AP106" s="104"/>
    </row>
    <row r="107" spans="1:42" ht="15.75">
      <c r="A107" s="35" t="s">
        <v>344</v>
      </c>
      <c r="B107" s="50" t="s">
        <v>357</v>
      </c>
      <c r="C107" s="43">
        <f aca="true" t="shared" si="47" ref="C107:L107">C104+C105</f>
        <v>1000</v>
      </c>
      <c r="D107" s="43">
        <f t="shared" si="47"/>
        <v>67527</v>
      </c>
      <c r="E107" s="43">
        <f t="shared" si="47"/>
        <v>115390</v>
      </c>
      <c r="F107" s="38">
        <f t="shared" si="47"/>
        <v>179530</v>
      </c>
      <c r="G107" s="38">
        <f t="shared" si="47"/>
        <v>177964</v>
      </c>
      <c r="H107" s="16">
        <f t="shared" si="47"/>
        <v>173848</v>
      </c>
      <c r="I107" s="16">
        <f t="shared" si="47"/>
        <v>274062</v>
      </c>
      <c r="J107" s="16">
        <f t="shared" si="47"/>
        <v>341923</v>
      </c>
      <c r="K107" s="16">
        <f t="shared" si="47"/>
        <v>377288</v>
      </c>
      <c r="L107" s="16">
        <f t="shared" si="47"/>
        <v>278069</v>
      </c>
      <c r="M107" s="16">
        <f aca="true" t="shared" si="48" ref="M107:U107">M104+M105</f>
        <v>319098</v>
      </c>
      <c r="N107" s="16">
        <f t="shared" si="48"/>
        <v>309495</v>
      </c>
      <c r="O107" s="16">
        <f t="shared" si="48"/>
        <v>295332</v>
      </c>
      <c r="P107" s="16">
        <f t="shared" si="48"/>
        <v>294832</v>
      </c>
      <c r="Q107" s="16">
        <f t="shared" si="48"/>
        <v>309208</v>
      </c>
      <c r="R107" s="16">
        <f t="shared" si="48"/>
        <v>297978</v>
      </c>
      <c r="S107" s="16">
        <f t="shared" si="48"/>
        <v>299941</v>
      </c>
      <c r="T107" s="16">
        <f t="shared" si="48"/>
        <v>308378</v>
      </c>
      <c r="U107" s="16">
        <f t="shared" si="48"/>
        <v>292412</v>
      </c>
      <c r="V107" s="16">
        <f>(V104+V105)</f>
        <v>269565</v>
      </c>
      <c r="W107" s="16">
        <f>(W104+W105)</f>
        <v>271523</v>
      </c>
      <c r="X107" s="16">
        <f>(X104+X105)</f>
        <v>272704</v>
      </c>
      <c r="Y107" s="16">
        <f>(Y104+Y105)</f>
        <v>278523</v>
      </c>
      <c r="Z107" s="16">
        <f aca="true" t="shared" si="49" ref="Z107:AG107">(Z104+Z105+Z106)</f>
        <v>369313</v>
      </c>
      <c r="AA107" s="16">
        <f t="shared" si="49"/>
        <v>394059</v>
      </c>
      <c r="AB107" s="16">
        <f t="shared" si="49"/>
        <v>306230</v>
      </c>
      <c r="AC107" s="16">
        <f t="shared" si="49"/>
        <v>279402</v>
      </c>
      <c r="AD107" s="16">
        <f t="shared" si="49"/>
        <v>328781</v>
      </c>
      <c r="AE107" s="16">
        <f t="shared" si="49"/>
        <v>281168</v>
      </c>
      <c r="AF107" s="16">
        <f t="shared" si="49"/>
        <v>295975.525</v>
      </c>
      <c r="AG107" s="16">
        <f t="shared" si="49"/>
        <v>295778</v>
      </c>
      <c r="AH107" s="16">
        <f aca="true" t="shared" si="50" ref="AH107:AP107">(AH104+AH105+AH106)</f>
        <v>352768</v>
      </c>
      <c r="AI107" s="16">
        <f t="shared" si="50"/>
        <v>296573</v>
      </c>
      <c r="AJ107" s="16">
        <f t="shared" si="50"/>
        <v>296562</v>
      </c>
      <c r="AK107" s="16">
        <f t="shared" si="50"/>
        <v>294228</v>
      </c>
      <c r="AL107" s="104">
        <f t="shared" si="50"/>
        <v>294228</v>
      </c>
      <c r="AM107" s="104">
        <f t="shared" si="50"/>
        <v>298145</v>
      </c>
      <c r="AN107" s="104">
        <f t="shared" si="50"/>
        <v>291747</v>
      </c>
      <c r="AO107" s="104">
        <f t="shared" si="50"/>
        <v>294591</v>
      </c>
      <c r="AP107" s="104">
        <f t="shared" si="50"/>
        <v>168295</v>
      </c>
    </row>
    <row r="108" spans="1:42" ht="15.75">
      <c r="A108" s="14"/>
      <c r="B108" s="15"/>
      <c r="C108" s="36"/>
      <c r="D108" s="36"/>
      <c r="E108" s="36"/>
      <c r="F108" s="40"/>
      <c r="G108" s="40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110"/>
      <c r="AM108" s="110"/>
      <c r="AN108" s="110"/>
      <c r="AO108" s="110"/>
      <c r="AP108" s="110"/>
    </row>
    <row r="109" spans="1:42" ht="15.75">
      <c r="A109" s="35" t="s">
        <v>401</v>
      </c>
      <c r="B109" s="15" t="s">
        <v>357</v>
      </c>
      <c r="C109" s="16">
        <f aca="true" t="shared" si="51" ref="C109:U109">C107</f>
        <v>1000</v>
      </c>
      <c r="D109" s="16">
        <f t="shared" si="51"/>
        <v>67527</v>
      </c>
      <c r="E109" s="16">
        <f t="shared" si="51"/>
        <v>115390</v>
      </c>
      <c r="F109" s="14">
        <f t="shared" si="51"/>
        <v>179530</v>
      </c>
      <c r="G109" s="14">
        <f t="shared" si="51"/>
        <v>177964</v>
      </c>
      <c r="H109" s="16">
        <f t="shared" si="51"/>
        <v>173848</v>
      </c>
      <c r="I109" s="16">
        <f t="shared" si="51"/>
        <v>274062</v>
      </c>
      <c r="J109" s="16">
        <f t="shared" si="51"/>
        <v>341923</v>
      </c>
      <c r="K109" s="16">
        <f t="shared" si="51"/>
        <v>377288</v>
      </c>
      <c r="L109" s="16">
        <f t="shared" si="51"/>
        <v>278069</v>
      </c>
      <c r="M109" s="16">
        <f t="shared" si="51"/>
        <v>319098</v>
      </c>
      <c r="N109" s="16">
        <f t="shared" si="51"/>
        <v>309495</v>
      </c>
      <c r="O109" s="16">
        <f t="shared" si="51"/>
        <v>295332</v>
      </c>
      <c r="P109" s="16">
        <f t="shared" si="51"/>
        <v>294832</v>
      </c>
      <c r="Q109" s="16">
        <f t="shared" si="51"/>
        <v>309208</v>
      </c>
      <c r="R109" s="16">
        <f t="shared" si="51"/>
        <v>297978</v>
      </c>
      <c r="S109" s="16">
        <f t="shared" si="51"/>
        <v>299941</v>
      </c>
      <c r="T109" s="16">
        <f t="shared" si="51"/>
        <v>308378</v>
      </c>
      <c r="U109" s="16">
        <f t="shared" si="51"/>
        <v>292412</v>
      </c>
      <c r="V109" s="16">
        <f aca="true" t="shared" si="52" ref="V109:AA109">(V107)</f>
        <v>269565</v>
      </c>
      <c r="W109" s="16">
        <f t="shared" si="52"/>
        <v>271523</v>
      </c>
      <c r="X109" s="16">
        <f t="shared" si="52"/>
        <v>272704</v>
      </c>
      <c r="Y109" s="16">
        <f t="shared" si="52"/>
        <v>278523</v>
      </c>
      <c r="Z109" s="16">
        <f t="shared" si="52"/>
        <v>369313</v>
      </c>
      <c r="AA109" s="16">
        <f t="shared" si="52"/>
        <v>394059</v>
      </c>
      <c r="AB109" s="16">
        <f aca="true" t="shared" si="53" ref="AB109:AH109">(AB107)</f>
        <v>306230</v>
      </c>
      <c r="AC109" s="16">
        <f t="shared" si="53"/>
        <v>279402</v>
      </c>
      <c r="AD109" s="16">
        <f t="shared" si="53"/>
        <v>328781</v>
      </c>
      <c r="AE109" s="16">
        <f t="shared" si="53"/>
        <v>281168</v>
      </c>
      <c r="AF109" s="16">
        <f t="shared" si="53"/>
        <v>295975.525</v>
      </c>
      <c r="AG109" s="16">
        <f>(AG107)</f>
        <v>295778</v>
      </c>
      <c r="AH109" s="16">
        <f t="shared" si="53"/>
        <v>352768</v>
      </c>
      <c r="AI109" s="16">
        <f aca="true" t="shared" si="54" ref="AI109:AP109">(AI107)</f>
        <v>296573</v>
      </c>
      <c r="AJ109" s="16">
        <f t="shared" si="54"/>
        <v>296562</v>
      </c>
      <c r="AK109" s="16">
        <f>(AK107)</f>
        <v>294228</v>
      </c>
      <c r="AL109" s="104">
        <f t="shared" si="54"/>
        <v>294228</v>
      </c>
      <c r="AM109" s="104">
        <f t="shared" si="54"/>
        <v>298145</v>
      </c>
      <c r="AN109" s="104">
        <f t="shared" si="54"/>
        <v>291747</v>
      </c>
      <c r="AO109" s="104">
        <f>(AO107)</f>
        <v>294591</v>
      </c>
      <c r="AP109" s="104">
        <f t="shared" si="54"/>
        <v>168295</v>
      </c>
    </row>
    <row r="110" spans="1:30" ht="15.75">
      <c r="A110" s="78" t="s">
        <v>426</v>
      </c>
      <c r="B110" s="15" t="s">
        <v>357</v>
      </c>
      <c r="C110" s="14"/>
      <c r="D110" s="14"/>
      <c r="E110" s="14"/>
      <c r="F110" s="38"/>
      <c r="G110" s="38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15.75">
      <c r="A111" s="10" t="s">
        <v>402</v>
      </c>
      <c r="B111" s="15" t="s">
        <v>357</v>
      </c>
      <c r="C111" s="14"/>
      <c r="D111" s="14"/>
      <c r="E111" s="14"/>
      <c r="F111" s="39"/>
      <c r="G111" s="39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15.75">
      <c r="A112" s="15"/>
      <c r="B112" s="15" t="s">
        <v>357</v>
      </c>
      <c r="C112" s="14"/>
      <c r="D112" s="14"/>
      <c r="E112" s="14"/>
      <c r="F112" s="39"/>
      <c r="G112" s="39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15.75">
      <c r="A113" s="15" t="s">
        <v>394</v>
      </c>
      <c r="B113" s="15" t="s">
        <v>357</v>
      </c>
      <c r="C113" s="14"/>
      <c r="D113" s="14"/>
      <c r="E113" s="14"/>
      <c r="F113" s="39"/>
      <c r="G113" s="39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42" ht="15.75">
      <c r="A114" s="35" t="s">
        <v>457</v>
      </c>
      <c r="B114" s="15"/>
      <c r="C114" s="14"/>
      <c r="D114" s="14"/>
      <c r="E114" s="14"/>
      <c r="F114" s="39"/>
      <c r="G114" s="39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L114" s="70"/>
      <c r="AM114" s="70"/>
      <c r="AN114" s="70">
        <v>0</v>
      </c>
      <c r="AO114" s="70">
        <v>0</v>
      </c>
      <c r="AP114" s="70">
        <v>0</v>
      </c>
    </row>
    <row r="115" spans="1:42" ht="15.75">
      <c r="A115" s="35" t="s">
        <v>459</v>
      </c>
      <c r="B115" s="15"/>
      <c r="C115" s="14"/>
      <c r="D115" s="14"/>
      <c r="E115" s="14"/>
      <c r="F115" s="39"/>
      <c r="G115" s="39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L115" s="70"/>
      <c r="AM115" s="70"/>
      <c r="AN115" s="70"/>
      <c r="AO115" s="70"/>
      <c r="AP115" s="70">
        <v>194100</v>
      </c>
    </row>
    <row r="116" spans="1:42" ht="15.75">
      <c r="A116" s="35" t="s">
        <v>460</v>
      </c>
      <c r="B116" s="15"/>
      <c r="C116" s="14"/>
      <c r="D116" s="14"/>
      <c r="E116" s="14"/>
      <c r="F116" s="39"/>
      <c r="G116" s="39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L116" s="70"/>
      <c r="AM116" s="70"/>
      <c r="AN116" s="70"/>
      <c r="AO116" s="70"/>
      <c r="AP116" s="70">
        <v>94300</v>
      </c>
    </row>
    <row r="117" spans="1:42" ht="15.75">
      <c r="A117" s="35" t="s">
        <v>458</v>
      </c>
      <c r="B117" s="15" t="s">
        <v>357</v>
      </c>
      <c r="C117" s="14"/>
      <c r="D117" s="14"/>
      <c r="E117" s="14"/>
      <c r="F117" s="39"/>
      <c r="G117" s="39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6">
        <v>47200</v>
      </c>
      <c r="W117" s="16">
        <v>31000</v>
      </c>
      <c r="X117" s="16">
        <v>33000</v>
      </c>
      <c r="Y117" s="16">
        <v>81766</v>
      </c>
      <c r="Z117" s="16">
        <f>41000</f>
        <v>41000</v>
      </c>
      <c r="AA117" s="16">
        <v>102943</v>
      </c>
      <c r="AB117" s="16">
        <v>113681</v>
      </c>
      <c r="AC117" s="16">
        <v>56079</v>
      </c>
      <c r="AD117" s="16">
        <v>56079</v>
      </c>
      <c r="AE117" s="16">
        <v>55000</v>
      </c>
      <c r="AF117" s="16">
        <v>14967</v>
      </c>
      <c r="AG117" s="16">
        <v>14967</v>
      </c>
      <c r="AH117" s="16">
        <v>34000</v>
      </c>
      <c r="AI117" s="16">
        <v>67000</v>
      </c>
      <c r="AJ117" s="16">
        <v>66533</v>
      </c>
      <c r="AK117" s="16">
        <v>59004</v>
      </c>
      <c r="AL117" s="104">
        <v>59004</v>
      </c>
      <c r="AM117" s="104">
        <v>51000</v>
      </c>
      <c r="AN117" s="104">
        <v>97000</v>
      </c>
      <c r="AO117" s="104">
        <v>97000</v>
      </c>
      <c r="AP117" s="104">
        <v>113000</v>
      </c>
    </row>
    <row r="118" spans="1:42" ht="15.75">
      <c r="A118" s="35" t="s">
        <v>9</v>
      </c>
      <c r="B118" s="15" t="s">
        <v>357</v>
      </c>
      <c r="C118" s="14"/>
      <c r="D118" s="14"/>
      <c r="E118" s="14"/>
      <c r="F118" s="39"/>
      <c r="G118" s="39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6">
        <v>47200</v>
      </c>
      <c r="W118" s="16">
        <f aca="true" t="shared" si="55" ref="W118:AG119">W117</f>
        <v>31000</v>
      </c>
      <c r="X118" s="16">
        <f t="shared" si="55"/>
        <v>33000</v>
      </c>
      <c r="Y118" s="16">
        <f t="shared" si="55"/>
        <v>81766</v>
      </c>
      <c r="Z118" s="16">
        <f t="shared" si="55"/>
        <v>41000</v>
      </c>
      <c r="AA118" s="16">
        <f t="shared" si="55"/>
        <v>102943</v>
      </c>
      <c r="AB118" s="16">
        <f t="shared" si="55"/>
        <v>113681</v>
      </c>
      <c r="AC118" s="16">
        <f t="shared" si="55"/>
        <v>56079</v>
      </c>
      <c r="AD118" s="16">
        <f t="shared" si="55"/>
        <v>56079</v>
      </c>
      <c r="AE118" s="16">
        <f t="shared" si="55"/>
        <v>55000</v>
      </c>
      <c r="AF118" s="16">
        <f t="shared" si="55"/>
        <v>14967</v>
      </c>
      <c r="AG118" s="16">
        <f t="shared" si="55"/>
        <v>14967</v>
      </c>
      <c r="AH118" s="16">
        <f aca="true" t="shared" si="56" ref="AH118:AP119">AH117</f>
        <v>34000</v>
      </c>
      <c r="AI118" s="16">
        <f t="shared" si="56"/>
        <v>67000</v>
      </c>
      <c r="AJ118" s="16">
        <f t="shared" si="56"/>
        <v>66533</v>
      </c>
      <c r="AK118" s="16">
        <f t="shared" si="56"/>
        <v>59004</v>
      </c>
      <c r="AL118" s="104">
        <f>SUM(AL114:AL117)</f>
        <v>59004</v>
      </c>
      <c r="AM118" s="104">
        <f t="shared" si="56"/>
        <v>51000</v>
      </c>
      <c r="AN118" s="104">
        <f>SUM(AN114:AN117)</f>
        <v>97000</v>
      </c>
      <c r="AO118" s="104">
        <f>SUM(AO114:AO117)</f>
        <v>97000</v>
      </c>
      <c r="AP118" s="104">
        <f>SUM(AP114:AP117)</f>
        <v>401400</v>
      </c>
    </row>
    <row r="119" spans="1:42" ht="15.75">
      <c r="A119" s="35" t="s">
        <v>10</v>
      </c>
      <c r="B119" s="15" t="s">
        <v>357</v>
      </c>
      <c r="C119" s="14"/>
      <c r="D119" s="14"/>
      <c r="E119" s="14"/>
      <c r="F119" s="39"/>
      <c r="G119" s="39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6">
        <f>V118</f>
        <v>47200</v>
      </c>
      <c r="W119" s="16">
        <f t="shared" si="55"/>
        <v>31000</v>
      </c>
      <c r="X119" s="16">
        <f t="shared" si="55"/>
        <v>33000</v>
      </c>
      <c r="Y119" s="16">
        <f t="shared" si="55"/>
        <v>81766</v>
      </c>
      <c r="Z119" s="16">
        <f t="shared" si="55"/>
        <v>41000</v>
      </c>
      <c r="AA119" s="16">
        <f t="shared" si="55"/>
        <v>102943</v>
      </c>
      <c r="AB119" s="16">
        <f t="shared" si="55"/>
        <v>113681</v>
      </c>
      <c r="AC119" s="16">
        <f t="shared" si="55"/>
        <v>56079</v>
      </c>
      <c r="AD119" s="16">
        <f t="shared" si="55"/>
        <v>56079</v>
      </c>
      <c r="AE119" s="16">
        <f t="shared" si="55"/>
        <v>55000</v>
      </c>
      <c r="AF119" s="16">
        <f t="shared" si="55"/>
        <v>14967</v>
      </c>
      <c r="AG119" s="16">
        <f t="shared" si="55"/>
        <v>14967</v>
      </c>
      <c r="AH119" s="16">
        <f t="shared" si="56"/>
        <v>34000</v>
      </c>
      <c r="AI119" s="16">
        <f t="shared" si="56"/>
        <v>67000</v>
      </c>
      <c r="AJ119" s="16">
        <f t="shared" si="56"/>
        <v>66533</v>
      </c>
      <c r="AK119" s="16">
        <f t="shared" si="56"/>
        <v>59004</v>
      </c>
      <c r="AL119" s="104">
        <f t="shared" si="56"/>
        <v>59004</v>
      </c>
      <c r="AM119" s="104">
        <f t="shared" si="56"/>
        <v>51000</v>
      </c>
      <c r="AN119" s="104">
        <f t="shared" si="56"/>
        <v>97000</v>
      </c>
      <c r="AO119" s="104">
        <f t="shared" si="56"/>
        <v>97000</v>
      </c>
      <c r="AP119" s="104">
        <f t="shared" si="56"/>
        <v>401400</v>
      </c>
    </row>
    <row r="120" spans="1:30" ht="15.75">
      <c r="A120" s="35"/>
      <c r="B120" s="15" t="s">
        <v>357</v>
      </c>
      <c r="C120" s="14"/>
      <c r="D120" s="14"/>
      <c r="E120" s="14"/>
      <c r="F120" s="39"/>
      <c r="G120" s="39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42" ht="15.75">
      <c r="A121" s="35" t="s">
        <v>87</v>
      </c>
      <c r="B121" s="15" t="s">
        <v>357</v>
      </c>
      <c r="C121" s="14">
        <f aca="true" t="shared" si="57" ref="C121:U121">C109</f>
        <v>1000</v>
      </c>
      <c r="D121" s="14">
        <f t="shared" si="57"/>
        <v>67527</v>
      </c>
      <c r="E121" s="14">
        <f t="shared" si="57"/>
        <v>115390</v>
      </c>
      <c r="F121" s="14">
        <f t="shared" si="57"/>
        <v>179530</v>
      </c>
      <c r="G121" s="14">
        <f t="shared" si="57"/>
        <v>177964</v>
      </c>
      <c r="H121" s="14">
        <f t="shared" si="57"/>
        <v>173848</v>
      </c>
      <c r="I121" s="14">
        <f t="shared" si="57"/>
        <v>274062</v>
      </c>
      <c r="J121" s="14">
        <f t="shared" si="57"/>
        <v>341923</v>
      </c>
      <c r="K121" s="14">
        <f t="shared" si="57"/>
        <v>377288</v>
      </c>
      <c r="L121" s="14">
        <f t="shared" si="57"/>
        <v>278069</v>
      </c>
      <c r="M121" s="14">
        <f t="shared" si="57"/>
        <v>319098</v>
      </c>
      <c r="N121" s="14">
        <f t="shared" si="57"/>
        <v>309495</v>
      </c>
      <c r="O121" s="14">
        <f t="shared" si="57"/>
        <v>295332</v>
      </c>
      <c r="P121" s="14">
        <f t="shared" si="57"/>
        <v>294832</v>
      </c>
      <c r="Q121" s="14">
        <f t="shared" si="57"/>
        <v>309208</v>
      </c>
      <c r="R121" s="14">
        <f t="shared" si="57"/>
        <v>297978</v>
      </c>
      <c r="S121" s="14">
        <f t="shared" si="57"/>
        <v>299941</v>
      </c>
      <c r="T121" s="14">
        <f t="shared" si="57"/>
        <v>308378</v>
      </c>
      <c r="U121" s="14">
        <f t="shared" si="57"/>
        <v>292412</v>
      </c>
      <c r="V121" s="14">
        <f aca="true" t="shared" si="58" ref="V121:AA121">(V109)+V119</f>
        <v>316765</v>
      </c>
      <c r="W121" s="14">
        <f t="shared" si="58"/>
        <v>302523</v>
      </c>
      <c r="X121" s="14">
        <f t="shared" si="58"/>
        <v>305704</v>
      </c>
      <c r="Y121" s="14">
        <f t="shared" si="58"/>
        <v>360289</v>
      </c>
      <c r="Z121" s="14">
        <f t="shared" si="58"/>
        <v>410313</v>
      </c>
      <c r="AA121" s="14">
        <f t="shared" si="58"/>
        <v>497002</v>
      </c>
      <c r="AB121" s="14">
        <f aca="true" t="shared" si="59" ref="AB121:AH121">(AB109)+AB119</f>
        <v>419911</v>
      </c>
      <c r="AC121" s="14">
        <f t="shared" si="59"/>
        <v>335481</v>
      </c>
      <c r="AD121" s="14">
        <f t="shared" si="59"/>
        <v>384860</v>
      </c>
      <c r="AE121" s="14">
        <f t="shared" si="59"/>
        <v>336168</v>
      </c>
      <c r="AF121" s="14">
        <f t="shared" si="59"/>
        <v>310942.525</v>
      </c>
      <c r="AG121" s="14">
        <f>(AG109)+AG119</f>
        <v>310745</v>
      </c>
      <c r="AH121" s="14">
        <f t="shared" si="59"/>
        <v>386768</v>
      </c>
      <c r="AI121" s="14">
        <f aca="true" t="shared" si="60" ref="AI121:AP121">(AI109)+AI119</f>
        <v>363573</v>
      </c>
      <c r="AJ121" s="14">
        <f t="shared" si="60"/>
        <v>363095</v>
      </c>
      <c r="AK121" s="14">
        <f t="shared" si="60"/>
        <v>353232</v>
      </c>
      <c r="AL121" s="70">
        <f t="shared" si="60"/>
        <v>353232</v>
      </c>
      <c r="AM121" s="70">
        <f t="shared" si="60"/>
        <v>349145</v>
      </c>
      <c r="AN121" s="70">
        <f t="shared" si="60"/>
        <v>388747</v>
      </c>
      <c r="AO121" s="70">
        <f>(AO109)+AO119</f>
        <v>391591</v>
      </c>
      <c r="AP121" s="70">
        <f t="shared" si="60"/>
        <v>569695</v>
      </c>
    </row>
    <row r="122" spans="1:30" ht="15.75">
      <c r="A122" s="35"/>
      <c r="B122" s="15" t="s">
        <v>357</v>
      </c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C122" s="14"/>
      <c r="AD122" s="14"/>
    </row>
    <row r="123" spans="1:30" ht="15.75">
      <c r="A123" s="34" t="s">
        <v>441</v>
      </c>
      <c r="B123" s="1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C123" s="14"/>
      <c r="AD123" s="14"/>
    </row>
    <row r="124" spans="1:30" ht="15.75">
      <c r="A124" s="14"/>
      <c r="B124" s="15" t="s">
        <v>357</v>
      </c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C124" s="14"/>
      <c r="AD124" s="14"/>
    </row>
    <row r="125" spans="1:30" ht="15.75">
      <c r="A125" s="10" t="s">
        <v>101</v>
      </c>
      <c r="B125" s="15" t="s">
        <v>357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C125" s="14"/>
      <c r="AD125" s="14"/>
    </row>
    <row r="126" spans="1:30" ht="15.75">
      <c r="A126" s="14"/>
      <c r="B126" s="15" t="s">
        <v>357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C126" s="14"/>
      <c r="AD126" s="14"/>
    </row>
    <row r="127" spans="1:30" ht="15.75">
      <c r="A127" s="15" t="s">
        <v>102</v>
      </c>
      <c r="B127" s="15" t="s">
        <v>357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47"/>
      <c r="Z127" s="47"/>
      <c r="AA127" s="47"/>
      <c r="AC127" s="14"/>
      <c r="AD127" s="14"/>
    </row>
    <row r="128" spans="1:42" ht="15.75">
      <c r="A128" s="35" t="s">
        <v>258</v>
      </c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>
        <v>685937</v>
      </c>
      <c r="X128" s="14">
        <v>698868</v>
      </c>
      <c r="Y128" s="14">
        <v>643856</v>
      </c>
      <c r="Z128" s="14">
        <v>607572</v>
      </c>
      <c r="AA128" s="14">
        <f>678450+2000-1497-546</f>
        <v>678407</v>
      </c>
      <c r="AB128" s="14">
        <f>762531+30259+7000-285+200000+2800</f>
        <v>1002305</v>
      </c>
      <c r="AC128" s="14">
        <f>726147+14900</f>
        <v>741047</v>
      </c>
      <c r="AD128" s="14">
        <f>808203.308+25000</f>
        <v>833203.308</v>
      </c>
      <c r="AE128" s="14">
        <v>771217</v>
      </c>
      <c r="AF128" s="14">
        <v>852438.762</v>
      </c>
      <c r="AG128" s="14">
        <v>852439</v>
      </c>
      <c r="AH128" s="14">
        <f>828476-34000</f>
        <v>794476</v>
      </c>
      <c r="AI128" s="14">
        <v>852605</v>
      </c>
      <c r="AJ128" s="14">
        <v>859605</v>
      </c>
      <c r="AK128" s="14">
        <v>881699</v>
      </c>
      <c r="AL128" s="70">
        <v>872699</v>
      </c>
      <c r="AM128" s="70">
        <v>745424</v>
      </c>
      <c r="AN128" s="70">
        <v>755945</v>
      </c>
      <c r="AO128" s="70">
        <f>878623+18000</f>
        <v>896623</v>
      </c>
      <c r="AP128" s="70">
        <v>816197</v>
      </c>
    </row>
    <row r="129" spans="1:42" ht="15.75">
      <c r="A129" s="35" t="s">
        <v>158</v>
      </c>
      <c r="B129" s="15" t="s">
        <v>357</v>
      </c>
      <c r="C129" s="14">
        <v>27495</v>
      </c>
      <c r="D129" s="14">
        <v>27753</v>
      </c>
      <c r="E129" s="14">
        <v>36366</v>
      </c>
      <c r="F129" s="14">
        <v>14116</v>
      </c>
      <c r="G129" s="14">
        <v>22924</v>
      </c>
      <c r="H129" s="14">
        <v>22614</v>
      </c>
      <c r="I129" s="14">
        <v>55106</v>
      </c>
      <c r="J129" s="14">
        <v>45000</v>
      </c>
      <c r="K129" s="14">
        <v>67537</v>
      </c>
      <c r="L129" s="14">
        <v>37624</v>
      </c>
      <c r="M129" s="14">
        <v>37480</v>
      </c>
      <c r="N129" s="14">
        <v>32309</v>
      </c>
      <c r="O129" s="14">
        <v>26022</v>
      </c>
      <c r="P129" s="14">
        <v>33644</v>
      </c>
      <c r="Q129" s="14">
        <v>5708</v>
      </c>
      <c r="R129" s="14">
        <v>0</v>
      </c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70"/>
      <c r="AM129" s="70"/>
      <c r="AN129" s="70"/>
      <c r="AO129" s="70"/>
      <c r="AP129" s="70"/>
    </row>
    <row r="130" spans="1:42" ht="15.75">
      <c r="A130" s="35" t="s">
        <v>300</v>
      </c>
      <c r="B130" s="15" t="s">
        <v>357</v>
      </c>
      <c r="C130" s="14"/>
      <c r="D130" s="14"/>
      <c r="E130" s="14"/>
      <c r="F130" s="14"/>
      <c r="G130" s="14"/>
      <c r="H130" s="14"/>
      <c r="I130" s="14"/>
      <c r="J130" s="14"/>
      <c r="K130" s="48">
        <v>0</v>
      </c>
      <c r="L130" s="14"/>
      <c r="M130" s="14"/>
      <c r="N130" s="14"/>
      <c r="O130" s="14"/>
      <c r="P130" s="14"/>
      <c r="Q130" s="14"/>
      <c r="R130" s="14">
        <v>2890</v>
      </c>
      <c r="S130" s="14">
        <v>4102</v>
      </c>
      <c r="T130" s="14">
        <v>13500</v>
      </c>
      <c r="U130" s="14">
        <v>9600</v>
      </c>
      <c r="V130" s="14">
        <v>11668</v>
      </c>
      <c r="W130" s="14">
        <v>12715</v>
      </c>
      <c r="X130" s="14">
        <v>10425</v>
      </c>
      <c r="Y130" s="14">
        <v>8421</v>
      </c>
      <c r="Z130" s="14">
        <v>11577</v>
      </c>
      <c r="AA130" s="14">
        <v>9348</v>
      </c>
      <c r="AB130" s="14">
        <v>7495</v>
      </c>
      <c r="AC130" s="14"/>
      <c r="AD130" s="14"/>
      <c r="AE130" s="14">
        <v>200</v>
      </c>
      <c r="AF130" s="14">
        <v>198.82</v>
      </c>
      <c r="AG130" s="14">
        <v>199</v>
      </c>
      <c r="AH130" s="14"/>
      <c r="AI130" s="14">
        <v>0</v>
      </c>
      <c r="AJ130" s="14"/>
      <c r="AK130" s="14"/>
      <c r="AL130" s="70">
        <v>0</v>
      </c>
      <c r="AM130" s="70">
        <v>0</v>
      </c>
      <c r="AN130" s="70">
        <v>0</v>
      </c>
      <c r="AO130" s="70">
        <v>0</v>
      </c>
      <c r="AP130" s="70">
        <v>0</v>
      </c>
    </row>
    <row r="131" spans="1:42" ht="15.75" hidden="1" outlineLevel="1">
      <c r="A131" s="35" t="s">
        <v>301</v>
      </c>
      <c r="B131" s="15" t="s">
        <v>357</v>
      </c>
      <c r="C131" s="14">
        <v>4131</v>
      </c>
      <c r="D131" s="14">
        <v>4890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70"/>
      <c r="AM131" s="70"/>
      <c r="AN131" s="70"/>
      <c r="AO131" s="70"/>
      <c r="AP131" s="70"/>
    </row>
    <row r="132" spans="1:42" ht="15.75" hidden="1" outlineLevel="1" collapsed="1">
      <c r="A132" s="35" t="s">
        <v>302</v>
      </c>
      <c r="B132" s="15" t="s">
        <v>357</v>
      </c>
      <c r="C132" s="14">
        <v>44680</v>
      </c>
      <c r="D132" s="14">
        <v>22675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70"/>
      <c r="AM132" s="70"/>
      <c r="AN132" s="70"/>
      <c r="AO132" s="70"/>
      <c r="AP132" s="70"/>
    </row>
    <row r="133" spans="1:42" ht="15.75" hidden="1" outlineLevel="1" collapsed="1">
      <c r="A133" s="35" t="s">
        <v>303</v>
      </c>
      <c r="B133" s="15" t="s">
        <v>357</v>
      </c>
      <c r="C133" s="14">
        <v>100000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70"/>
      <c r="AM133" s="70"/>
      <c r="AN133" s="70"/>
      <c r="AO133" s="70"/>
      <c r="AP133" s="70"/>
    </row>
    <row r="134" spans="1:42" ht="15.75" hidden="1" collapsed="1">
      <c r="A134" s="35" t="s">
        <v>304</v>
      </c>
      <c r="B134" s="15" t="s">
        <v>357</v>
      </c>
      <c r="C134" s="14">
        <v>0</v>
      </c>
      <c r="D134" s="14">
        <v>0</v>
      </c>
      <c r="E134" s="14">
        <v>399156</v>
      </c>
      <c r="F134" s="14">
        <v>437137</v>
      </c>
      <c r="G134" s="14">
        <v>576115</v>
      </c>
      <c r="H134" s="14">
        <v>548505</v>
      </c>
      <c r="I134" s="14">
        <v>637909</v>
      </c>
      <c r="J134" s="14">
        <v>695318</v>
      </c>
      <c r="K134" s="14">
        <v>754300</v>
      </c>
      <c r="L134" s="14">
        <v>499267</v>
      </c>
      <c r="M134" s="14">
        <v>607542</v>
      </c>
      <c r="N134" s="14">
        <v>703716</v>
      </c>
      <c r="O134" s="14">
        <v>712305</v>
      </c>
      <c r="P134" s="14">
        <v>652850</v>
      </c>
      <c r="Q134" s="14">
        <v>667888</v>
      </c>
      <c r="R134" s="14">
        <v>564209</v>
      </c>
      <c r="S134" s="14">
        <v>470568</v>
      </c>
      <c r="T134" s="14">
        <v>434423</v>
      </c>
      <c r="U134" s="14">
        <v>432153</v>
      </c>
      <c r="V134" s="14">
        <v>419183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70"/>
      <c r="AM134" s="70"/>
      <c r="AN134" s="70"/>
      <c r="AO134" s="70"/>
      <c r="AP134" s="70"/>
    </row>
    <row r="135" spans="1:42" ht="15.75" hidden="1" outlineLevel="1">
      <c r="A135" s="35" t="s">
        <v>305</v>
      </c>
      <c r="B135" s="15" t="s">
        <v>357</v>
      </c>
      <c r="C135" s="14">
        <v>530557</v>
      </c>
      <c r="D135" s="14">
        <v>357850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70"/>
      <c r="AM135" s="70"/>
      <c r="AN135" s="70"/>
      <c r="AO135" s="70"/>
      <c r="AP135" s="70"/>
    </row>
    <row r="136" spans="1:42" ht="15.75" hidden="1" collapsed="1">
      <c r="A136" s="35" t="s">
        <v>435</v>
      </c>
      <c r="B136" s="15" t="s">
        <v>357</v>
      </c>
      <c r="C136" s="14">
        <v>24762</v>
      </c>
      <c r="D136" s="14">
        <v>25106</v>
      </c>
      <c r="E136" s="14">
        <v>30870</v>
      </c>
      <c r="F136" s="14">
        <v>33951</v>
      </c>
      <c r="G136" s="14">
        <v>40029</v>
      </c>
      <c r="H136" s="14">
        <v>41173</v>
      </c>
      <c r="I136" s="14">
        <v>38871</v>
      </c>
      <c r="J136" s="14">
        <v>34057</v>
      </c>
      <c r="K136" s="14">
        <v>35566</v>
      </c>
      <c r="L136" s="14">
        <v>32571</v>
      </c>
      <c r="M136" s="14">
        <v>29409</v>
      </c>
      <c r="N136" s="14">
        <v>16590</v>
      </c>
      <c r="O136" s="14">
        <v>14250</v>
      </c>
      <c r="P136" s="14">
        <v>11369</v>
      </c>
      <c r="Q136" s="14">
        <v>13221</v>
      </c>
      <c r="R136" s="14">
        <v>13554</v>
      </c>
      <c r="S136" s="14">
        <v>12540</v>
      </c>
      <c r="T136" s="14">
        <v>13819</v>
      </c>
      <c r="U136" s="14">
        <v>14190</v>
      </c>
      <c r="V136" s="14">
        <v>12684</v>
      </c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70"/>
      <c r="AM136" s="70"/>
      <c r="AN136" s="70"/>
      <c r="AO136" s="70"/>
      <c r="AP136" s="70"/>
    </row>
    <row r="137" spans="1:42" ht="15.75" hidden="1">
      <c r="A137" s="35" t="s">
        <v>57</v>
      </c>
      <c r="B137" s="15" t="s">
        <v>357</v>
      </c>
      <c r="C137" s="14">
        <v>30800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1919</v>
      </c>
      <c r="J137" s="14">
        <v>1000</v>
      </c>
      <c r="K137" s="14">
        <v>1000</v>
      </c>
      <c r="L137" s="14">
        <v>957</v>
      </c>
      <c r="M137" s="14">
        <v>1000</v>
      </c>
      <c r="N137" s="14">
        <v>1000</v>
      </c>
      <c r="O137" s="14">
        <v>1000</v>
      </c>
      <c r="P137" s="14">
        <v>986</v>
      </c>
      <c r="Q137" s="14">
        <v>1000</v>
      </c>
      <c r="R137" s="14">
        <v>1000</v>
      </c>
      <c r="S137" s="14">
        <v>1000</v>
      </c>
      <c r="T137" s="14">
        <v>1000</v>
      </c>
      <c r="U137" s="14">
        <v>1000</v>
      </c>
      <c r="V137" s="14">
        <v>0</v>
      </c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70"/>
      <c r="AM137" s="70"/>
      <c r="AN137" s="70"/>
      <c r="AO137" s="70"/>
      <c r="AP137" s="70"/>
    </row>
    <row r="138" spans="1:42" ht="15.75" hidden="1">
      <c r="A138" s="35" t="s">
        <v>92</v>
      </c>
      <c r="B138" s="15" t="s">
        <v>357</v>
      </c>
      <c r="C138" s="14">
        <v>68830</v>
      </c>
      <c r="D138" s="14">
        <v>81331</v>
      </c>
      <c r="E138" s="14">
        <v>88718</v>
      </c>
      <c r="F138" s="14">
        <v>101353</v>
      </c>
      <c r="G138" s="14">
        <v>106317</v>
      </c>
      <c r="H138" s="14">
        <v>118518</v>
      </c>
      <c r="I138" s="14">
        <v>142524</v>
      </c>
      <c r="J138" s="14">
        <v>134291</v>
      </c>
      <c r="K138" s="14">
        <v>149689</v>
      </c>
      <c r="L138" s="14">
        <v>126960</v>
      </c>
      <c r="M138" s="14">
        <v>143375</v>
      </c>
      <c r="N138" s="14">
        <v>151000</v>
      </c>
      <c r="O138" s="14">
        <v>187731</v>
      </c>
      <c r="P138" s="14">
        <v>209315</v>
      </c>
      <c r="Q138" s="14">
        <v>221513</v>
      </c>
      <c r="R138" s="14">
        <v>258685</v>
      </c>
      <c r="S138" s="14">
        <v>274760</v>
      </c>
      <c r="T138" s="14">
        <v>282898</v>
      </c>
      <c r="U138" s="14">
        <v>274300</v>
      </c>
      <c r="V138" s="14">
        <v>273076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70"/>
      <c r="AM138" s="70"/>
      <c r="AN138" s="70"/>
      <c r="AO138" s="70"/>
      <c r="AP138" s="70"/>
    </row>
    <row r="139" spans="1:42" ht="15.75">
      <c r="A139" s="35" t="s">
        <v>259</v>
      </c>
      <c r="B139" s="15" t="s">
        <v>357</v>
      </c>
      <c r="C139" s="14">
        <v>22720</v>
      </c>
      <c r="D139" s="14">
        <v>24845</v>
      </c>
      <c r="E139" s="14">
        <v>27910</v>
      </c>
      <c r="F139" s="14">
        <v>28600</v>
      </c>
      <c r="G139" s="14">
        <v>40500</v>
      </c>
      <c r="H139" s="14">
        <v>39928</v>
      </c>
      <c r="I139" s="14">
        <v>40727</v>
      </c>
      <c r="J139" s="14">
        <v>53750</v>
      </c>
      <c r="K139" s="14">
        <v>58917</v>
      </c>
      <c r="L139" s="14">
        <v>47084</v>
      </c>
      <c r="M139" s="14">
        <v>51200</v>
      </c>
      <c r="N139" s="14">
        <v>51690</v>
      </c>
      <c r="O139" s="14">
        <v>48313</v>
      </c>
      <c r="P139" s="14">
        <v>47311</v>
      </c>
      <c r="Q139" s="14">
        <v>51430</v>
      </c>
      <c r="R139" s="14">
        <v>53745</v>
      </c>
      <c r="S139" s="14">
        <v>53745</v>
      </c>
      <c r="T139" s="14">
        <v>54034</v>
      </c>
      <c r="U139" s="14">
        <v>54034</v>
      </c>
      <c r="V139" s="14">
        <v>48150</v>
      </c>
      <c r="W139" s="14">
        <v>46000</v>
      </c>
      <c r="X139" s="14">
        <v>47558</v>
      </c>
      <c r="Y139" s="14">
        <v>47000</v>
      </c>
      <c r="Z139" s="14">
        <v>47424</v>
      </c>
      <c r="AA139" s="14">
        <v>50114</v>
      </c>
      <c r="AB139" s="14">
        <f>52968-31</f>
        <v>52937</v>
      </c>
      <c r="AC139" s="14">
        <v>54870</v>
      </c>
      <c r="AD139" s="14">
        <v>54513.345</v>
      </c>
      <c r="AE139" s="14">
        <v>56525</v>
      </c>
      <c r="AF139" s="14">
        <v>55197.403</v>
      </c>
      <c r="AG139" s="14">
        <v>55197</v>
      </c>
      <c r="AH139" s="14">
        <v>58153</v>
      </c>
      <c r="AI139" s="14">
        <v>57688</v>
      </c>
      <c r="AJ139" s="14">
        <v>57688</v>
      </c>
      <c r="AK139" s="14">
        <v>57338</v>
      </c>
      <c r="AL139" s="70">
        <v>57338</v>
      </c>
      <c r="AM139" s="70">
        <v>58069</v>
      </c>
      <c r="AN139" s="70">
        <v>57248</v>
      </c>
      <c r="AO139" s="70">
        <v>57575</v>
      </c>
      <c r="AP139" s="70">
        <v>58811</v>
      </c>
    </row>
    <row r="140" spans="1:42" ht="15.75" hidden="1" outlineLevel="1">
      <c r="A140" s="35" t="s">
        <v>192</v>
      </c>
      <c r="B140" s="15" t="s">
        <v>357</v>
      </c>
      <c r="C140" s="14">
        <v>73420</v>
      </c>
      <c r="D140" s="14">
        <v>78145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70"/>
      <c r="AM140" s="70"/>
      <c r="AN140" s="70"/>
      <c r="AO140" s="70"/>
      <c r="AP140" s="70"/>
    </row>
    <row r="141" spans="1:42" ht="15.75" hidden="1" outlineLevel="1">
      <c r="A141" s="35" t="s">
        <v>94</v>
      </c>
      <c r="B141" s="15" t="s">
        <v>357</v>
      </c>
      <c r="C141" s="14">
        <v>41102</v>
      </c>
      <c r="D141" s="14">
        <v>63253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70"/>
      <c r="AM141" s="70"/>
      <c r="AN141" s="70"/>
      <c r="AO141" s="70"/>
      <c r="AP141" s="70"/>
    </row>
    <row r="142" spans="1:42" ht="15.75" collapsed="1">
      <c r="A142" s="35" t="s">
        <v>95</v>
      </c>
      <c r="B142" s="15" t="s">
        <v>357</v>
      </c>
      <c r="C142" s="14"/>
      <c r="D142" s="14"/>
      <c r="E142" s="14"/>
      <c r="F142" s="14"/>
      <c r="G142" s="14"/>
      <c r="H142" s="14"/>
      <c r="I142" s="14"/>
      <c r="J142" s="14"/>
      <c r="K142" s="48">
        <v>0</v>
      </c>
      <c r="L142" s="14"/>
      <c r="M142" s="14"/>
      <c r="N142" s="14"/>
      <c r="O142" s="14"/>
      <c r="P142" s="14"/>
      <c r="Q142" s="14"/>
      <c r="R142" s="14"/>
      <c r="S142" s="14"/>
      <c r="T142" s="14">
        <v>29752</v>
      </c>
      <c r="U142" s="14">
        <v>33562</v>
      </c>
      <c r="V142" s="14">
        <v>46293</v>
      </c>
      <c r="W142" s="14">
        <v>36636</v>
      </c>
      <c r="X142" s="14">
        <v>24632</v>
      </c>
      <c r="Y142" s="14">
        <v>33130</v>
      </c>
      <c r="Z142" s="14">
        <v>42000</v>
      </c>
      <c r="AA142" s="14">
        <v>38360</v>
      </c>
      <c r="AB142" s="14">
        <v>55039</v>
      </c>
      <c r="AC142" s="14">
        <v>48904</v>
      </c>
      <c r="AD142" s="14">
        <v>48843.381</v>
      </c>
      <c r="AE142" s="14">
        <v>39600</v>
      </c>
      <c r="AF142" s="14">
        <v>39547.927</v>
      </c>
      <c r="AG142" s="14">
        <v>39548</v>
      </c>
      <c r="AH142" s="14">
        <v>54695</v>
      </c>
      <c r="AI142" s="14">
        <v>54628</v>
      </c>
      <c r="AJ142" s="14">
        <v>54628</v>
      </c>
      <c r="AK142" s="14">
        <v>52136</v>
      </c>
      <c r="AL142" s="70">
        <v>52136</v>
      </c>
      <c r="AM142" s="70">
        <v>41478</v>
      </c>
      <c r="AN142" s="70">
        <v>41478</v>
      </c>
      <c r="AO142" s="70">
        <v>52150</v>
      </c>
      <c r="AP142" s="70">
        <v>51622</v>
      </c>
    </row>
    <row r="143" spans="1:42" ht="15.75">
      <c r="A143" s="35" t="s">
        <v>260</v>
      </c>
      <c r="B143" s="15" t="s">
        <v>357</v>
      </c>
      <c r="C143" s="14"/>
      <c r="D143" s="14"/>
      <c r="E143" s="14"/>
      <c r="F143" s="14"/>
      <c r="G143" s="14"/>
      <c r="H143" s="14"/>
      <c r="I143" s="14"/>
      <c r="J143" s="14"/>
      <c r="K143" s="48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>
        <v>85000</v>
      </c>
      <c r="Y143" s="14">
        <v>75000</v>
      </c>
      <c r="Z143" s="14">
        <v>60000</v>
      </c>
      <c r="AA143" s="14">
        <v>0</v>
      </c>
      <c r="AB143" s="14">
        <v>0</v>
      </c>
      <c r="AC143" s="14">
        <v>15000</v>
      </c>
      <c r="AD143" s="14">
        <v>0</v>
      </c>
      <c r="AE143" s="14">
        <v>15000</v>
      </c>
      <c r="AF143" s="14">
        <v>0</v>
      </c>
      <c r="AG143" s="14"/>
      <c r="AH143" s="14">
        <v>15000</v>
      </c>
      <c r="AI143" s="14">
        <v>0</v>
      </c>
      <c r="AJ143" s="14"/>
      <c r="AK143" s="14">
        <v>36130</v>
      </c>
      <c r="AL143" s="70">
        <v>36130</v>
      </c>
      <c r="AM143" s="70">
        <v>38610</v>
      </c>
      <c r="AN143" s="70">
        <v>34110</v>
      </c>
      <c r="AO143" s="70">
        <v>36648</v>
      </c>
      <c r="AP143" s="70">
        <v>31750</v>
      </c>
    </row>
    <row r="144" spans="1:42" ht="15.75">
      <c r="A144" s="35" t="s">
        <v>224</v>
      </c>
      <c r="B144" s="15" t="s">
        <v>357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6400</v>
      </c>
      <c r="N144" s="14">
        <v>0</v>
      </c>
      <c r="O144" s="14">
        <v>4000</v>
      </c>
      <c r="P144" s="14">
        <v>8381</v>
      </c>
      <c r="Q144" s="14">
        <v>4831</v>
      </c>
      <c r="R144" s="14">
        <v>5900</v>
      </c>
      <c r="S144" s="14">
        <v>0</v>
      </c>
      <c r="T144" s="14">
        <v>0</v>
      </c>
      <c r="U144" s="14">
        <v>-2711</v>
      </c>
      <c r="V144" s="14">
        <v>0</v>
      </c>
      <c r="W144" s="14">
        <v>0</v>
      </c>
      <c r="X144" s="14">
        <v>0</v>
      </c>
      <c r="Y144" s="14">
        <v>-25800</v>
      </c>
      <c r="Z144" s="14"/>
      <c r="AA144" s="14"/>
      <c r="AB144" s="14"/>
      <c r="AC144" s="14">
        <v>-4900</v>
      </c>
      <c r="AD144" s="14"/>
      <c r="AE144" s="14">
        <v>-4525</v>
      </c>
      <c r="AF144" s="14">
        <v>-4525</v>
      </c>
      <c r="AG144" s="14">
        <v>-4525</v>
      </c>
      <c r="AH144" s="14"/>
      <c r="AI144" s="14">
        <v>0</v>
      </c>
      <c r="AJ144" s="14"/>
      <c r="AK144" s="14"/>
      <c r="AL144" s="70">
        <v>0</v>
      </c>
      <c r="AM144" s="70">
        <v>0</v>
      </c>
      <c r="AN144" s="70">
        <v>0</v>
      </c>
      <c r="AO144" s="70">
        <v>0</v>
      </c>
      <c r="AP144" s="70">
        <v>0</v>
      </c>
    </row>
    <row r="145" spans="1:42" ht="15.75">
      <c r="A145" s="35" t="s">
        <v>137</v>
      </c>
      <c r="B145" s="15" t="s">
        <v>357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-1162</v>
      </c>
      <c r="N145" s="16">
        <v>-7003</v>
      </c>
      <c r="O145" s="16">
        <v>-2485</v>
      </c>
      <c r="P145" s="16">
        <v>-3564</v>
      </c>
      <c r="Q145" s="16">
        <v>-3244</v>
      </c>
      <c r="R145" s="16">
        <v>-6096</v>
      </c>
      <c r="S145" s="16">
        <v>-6563</v>
      </c>
      <c r="T145" s="16">
        <v>-8168</v>
      </c>
      <c r="U145" s="16">
        <v>-1800</v>
      </c>
      <c r="V145" s="16">
        <v>-3103</v>
      </c>
      <c r="W145" s="16">
        <v>-3300</v>
      </c>
      <c r="X145" s="16">
        <v>-2674</v>
      </c>
      <c r="Y145" s="16">
        <v>0</v>
      </c>
      <c r="Z145" s="16"/>
      <c r="AA145" s="16"/>
      <c r="AB145" s="16"/>
      <c r="AC145" s="16"/>
      <c r="AD145" s="16"/>
      <c r="AE145" s="83"/>
      <c r="AF145" s="83"/>
      <c r="AG145" s="83"/>
      <c r="AH145" s="83"/>
      <c r="AI145" s="83"/>
      <c r="AJ145" s="83"/>
      <c r="AK145" s="83"/>
      <c r="AL145" s="111"/>
      <c r="AM145" s="111"/>
      <c r="AN145" s="111"/>
      <c r="AO145" s="111"/>
      <c r="AP145" s="111"/>
    </row>
    <row r="146" spans="1:42" ht="15.75">
      <c r="A146" s="35" t="s">
        <v>344</v>
      </c>
      <c r="B146" s="15" t="s">
        <v>357</v>
      </c>
      <c r="C146" s="43">
        <f aca="true" t="shared" si="61" ref="C146:L146">SUM(C129:C145)</f>
        <v>968497</v>
      </c>
      <c r="D146" s="43">
        <f t="shared" si="61"/>
        <v>685848</v>
      </c>
      <c r="E146" s="43">
        <f t="shared" si="61"/>
        <v>583020</v>
      </c>
      <c r="F146" s="43">
        <f t="shared" si="61"/>
        <v>615157</v>
      </c>
      <c r="G146" s="43">
        <f t="shared" si="61"/>
        <v>785885</v>
      </c>
      <c r="H146" s="16">
        <f t="shared" si="61"/>
        <v>770738</v>
      </c>
      <c r="I146" s="16">
        <f t="shared" si="61"/>
        <v>917056</v>
      </c>
      <c r="J146" s="16">
        <f t="shared" si="61"/>
        <v>963416</v>
      </c>
      <c r="K146" s="16">
        <f t="shared" si="61"/>
        <v>1067009</v>
      </c>
      <c r="L146" s="16">
        <f t="shared" si="61"/>
        <v>744463</v>
      </c>
      <c r="M146" s="16">
        <f aca="true" t="shared" si="62" ref="M146:U146">SUM(M129:M145)</f>
        <v>875244</v>
      </c>
      <c r="N146" s="16">
        <f t="shared" si="62"/>
        <v>949302</v>
      </c>
      <c r="O146" s="16">
        <f t="shared" si="62"/>
        <v>991136</v>
      </c>
      <c r="P146" s="16">
        <f t="shared" si="62"/>
        <v>960292</v>
      </c>
      <c r="Q146" s="16">
        <f t="shared" si="62"/>
        <v>962347</v>
      </c>
      <c r="R146" s="16">
        <f t="shared" si="62"/>
        <v>893887</v>
      </c>
      <c r="S146" s="16">
        <f t="shared" si="62"/>
        <v>810152</v>
      </c>
      <c r="T146" s="16">
        <f t="shared" si="62"/>
        <v>821258</v>
      </c>
      <c r="U146" s="16">
        <f t="shared" si="62"/>
        <v>814328</v>
      </c>
      <c r="V146" s="16">
        <f>(SUM(V129:V145))</f>
        <v>807951</v>
      </c>
      <c r="W146" s="16">
        <f aca="true" t="shared" si="63" ref="W146:AG146">(SUM(W128:W145))</f>
        <v>777988</v>
      </c>
      <c r="X146" s="16">
        <f t="shared" si="63"/>
        <v>863809</v>
      </c>
      <c r="Y146" s="16">
        <f t="shared" si="63"/>
        <v>781607</v>
      </c>
      <c r="Z146" s="16">
        <f t="shared" si="63"/>
        <v>768573</v>
      </c>
      <c r="AA146" s="77">
        <f t="shared" si="63"/>
        <v>776229</v>
      </c>
      <c r="AB146" s="16">
        <f t="shared" si="63"/>
        <v>1117776</v>
      </c>
      <c r="AC146" s="16">
        <f t="shared" si="63"/>
        <v>854921</v>
      </c>
      <c r="AD146" s="16">
        <f t="shared" si="63"/>
        <v>936560.034</v>
      </c>
      <c r="AE146" s="16">
        <f t="shared" si="63"/>
        <v>878017</v>
      </c>
      <c r="AF146" s="16">
        <f t="shared" si="63"/>
        <v>942857.912</v>
      </c>
      <c r="AG146" s="16">
        <f t="shared" si="63"/>
        <v>942858</v>
      </c>
      <c r="AH146" s="16">
        <f aca="true" t="shared" si="64" ref="AH146:AP146">(SUM(AH128:AH145))</f>
        <v>922324</v>
      </c>
      <c r="AI146" s="16">
        <f t="shared" si="64"/>
        <v>964921</v>
      </c>
      <c r="AJ146" s="16">
        <f t="shared" si="64"/>
        <v>971921</v>
      </c>
      <c r="AK146" s="16">
        <f t="shared" si="64"/>
        <v>1027303</v>
      </c>
      <c r="AL146" s="104">
        <f t="shared" si="64"/>
        <v>1018303</v>
      </c>
      <c r="AM146" s="104">
        <f t="shared" si="64"/>
        <v>883581</v>
      </c>
      <c r="AN146" s="104">
        <f t="shared" si="64"/>
        <v>888781</v>
      </c>
      <c r="AO146" s="104">
        <f t="shared" si="64"/>
        <v>1042996</v>
      </c>
      <c r="AP146" s="104">
        <f t="shared" si="64"/>
        <v>958380</v>
      </c>
    </row>
    <row r="147" spans="1:42" ht="15.75">
      <c r="A147" s="14"/>
      <c r="B147" s="15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110"/>
      <c r="AM147" s="110"/>
      <c r="AN147" s="110"/>
      <c r="AO147" s="110"/>
      <c r="AP147" s="110"/>
    </row>
    <row r="148" spans="1:42" ht="15.75">
      <c r="A148" s="35" t="s">
        <v>401</v>
      </c>
      <c r="B148" s="15" t="s">
        <v>357</v>
      </c>
      <c r="C148" s="14">
        <f aca="true" t="shared" si="65" ref="C148:U148">C146</f>
        <v>968497</v>
      </c>
      <c r="D148" s="14">
        <f t="shared" si="65"/>
        <v>685848</v>
      </c>
      <c r="E148" s="14">
        <f t="shared" si="65"/>
        <v>583020</v>
      </c>
      <c r="F148" s="14">
        <f t="shared" si="65"/>
        <v>615157</v>
      </c>
      <c r="G148" s="14">
        <f t="shared" si="65"/>
        <v>785885</v>
      </c>
      <c r="H148" s="14">
        <f t="shared" si="65"/>
        <v>770738</v>
      </c>
      <c r="I148" s="14">
        <f t="shared" si="65"/>
        <v>917056</v>
      </c>
      <c r="J148" s="14">
        <f t="shared" si="65"/>
        <v>963416</v>
      </c>
      <c r="K148" s="14">
        <f t="shared" si="65"/>
        <v>1067009</v>
      </c>
      <c r="L148" s="14">
        <f t="shared" si="65"/>
        <v>744463</v>
      </c>
      <c r="M148" s="14">
        <f t="shared" si="65"/>
        <v>875244</v>
      </c>
      <c r="N148" s="14">
        <f t="shared" si="65"/>
        <v>949302</v>
      </c>
      <c r="O148" s="14">
        <f t="shared" si="65"/>
        <v>991136</v>
      </c>
      <c r="P148" s="14">
        <f t="shared" si="65"/>
        <v>960292</v>
      </c>
      <c r="Q148" s="14">
        <f t="shared" si="65"/>
        <v>962347</v>
      </c>
      <c r="R148" s="14">
        <f t="shared" si="65"/>
        <v>893887</v>
      </c>
      <c r="S148" s="14">
        <f t="shared" si="65"/>
        <v>810152</v>
      </c>
      <c r="T148" s="14">
        <f t="shared" si="65"/>
        <v>821258</v>
      </c>
      <c r="U148" s="14">
        <f t="shared" si="65"/>
        <v>814328</v>
      </c>
      <c r="V148" s="14">
        <f aca="true" t="shared" si="66" ref="V148:AA148">(V146)</f>
        <v>807951</v>
      </c>
      <c r="W148" s="14">
        <f t="shared" si="66"/>
        <v>777988</v>
      </c>
      <c r="X148" s="14">
        <f t="shared" si="66"/>
        <v>863809</v>
      </c>
      <c r="Y148" s="14">
        <f t="shared" si="66"/>
        <v>781607</v>
      </c>
      <c r="Z148" s="14">
        <f t="shared" si="66"/>
        <v>768573</v>
      </c>
      <c r="AA148" s="14">
        <f t="shared" si="66"/>
        <v>776229</v>
      </c>
      <c r="AB148" s="14">
        <f aca="true" t="shared" si="67" ref="AB148:AH148">(AB146)</f>
        <v>1117776</v>
      </c>
      <c r="AC148" s="14">
        <f t="shared" si="67"/>
        <v>854921</v>
      </c>
      <c r="AD148" s="14">
        <f t="shared" si="67"/>
        <v>936560.034</v>
      </c>
      <c r="AE148" s="14">
        <f t="shared" si="67"/>
        <v>878017</v>
      </c>
      <c r="AF148" s="14">
        <f t="shared" si="67"/>
        <v>942857.912</v>
      </c>
      <c r="AG148" s="14">
        <f>(AG146)</f>
        <v>942858</v>
      </c>
      <c r="AH148" s="14">
        <f t="shared" si="67"/>
        <v>922324</v>
      </c>
      <c r="AI148" s="14">
        <f aca="true" t="shared" si="68" ref="AI148:AP148">(AI146)</f>
        <v>964921</v>
      </c>
      <c r="AJ148" s="14">
        <f t="shared" si="68"/>
        <v>971921</v>
      </c>
      <c r="AK148" s="14">
        <f>(AK146)</f>
        <v>1027303</v>
      </c>
      <c r="AL148" s="70">
        <f t="shared" si="68"/>
        <v>1018303</v>
      </c>
      <c r="AM148" s="70">
        <f t="shared" si="68"/>
        <v>883581</v>
      </c>
      <c r="AN148" s="70">
        <f t="shared" si="68"/>
        <v>888781</v>
      </c>
      <c r="AO148" s="70">
        <f>(AO146)</f>
        <v>1042996</v>
      </c>
      <c r="AP148" s="70">
        <f t="shared" si="68"/>
        <v>958380</v>
      </c>
    </row>
    <row r="149" spans="1:27" ht="15.75">
      <c r="A149" s="14"/>
      <c r="B149" s="15" t="s">
        <v>357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5.75">
      <c r="A150" s="10" t="s">
        <v>402</v>
      </c>
      <c r="B150" s="15" t="s">
        <v>357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.75">
      <c r="A151" s="14"/>
      <c r="B151" s="15" t="s">
        <v>357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.75" hidden="1" outlineLevel="1">
      <c r="A152" s="15" t="s">
        <v>102</v>
      </c>
      <c r="B152" s="15" t="s">
        <v>357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.75" hidden="1" outlineLevel="1">
      <c r="A153" s="35" t="s">
        <v>287</v>
      </c>
      <c r="B153" s="15" t="s">
        <v>357</v>
      </c>
      <c r="C153" s="14">
        <v>600</v>
      </c>
      <c r="D153" s="14">
        <v>600</v>
      </c>
      <c r="E153" s="14">
        <v>600</v>
      </c>
      <c r="F153" s="14">
        <v>600</v>
      </c>
      <c r="G153" s="14">
        <v>600</v>
      </c>
      <c r="H153" s="14">
        <v>600</v>
      </c>
      <c r="I153" s="14">
        <v>600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5.75" collapsed="1">
      <c r="A154" s="15" t="s">
        <v>394</v>
      </c>
      <c r="B154" s="15" t="s">
        <v>357</v>
      </c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41" ht="15.75">
      <c r="A155" s="35" t="s">
        <v>1</v>
      </c>
      <c r="B155" s="1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M155" s="100">
        <v>4550</v>
      </c>
      <c r="AN155" s="70">
        <v>4550</v>
      </c>
      <c r="AO155" s="70">
        <v>4550</v>
      </c>
    </row>
    <row r="156" spans="1:42" ht="15.75">
      <c r="A156" s="35" t="s">
        <v>461</v>
      </c>
      <c r="B156" s="1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N156" s="70"/>
      <c r="AO156" s="70"/>
      <c r="AP156" s="70">
        <v>17300</v>
      </c>
    </row>
    <row r="157" spans="1:42" ht="15.75">
      <c r="A157" s="35" t="s">
        <v>96</v>
      </c>
      <c r="B157" s="15" t="s">
        <v>357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1930</v>
      </c>
      <c r="K157" s="14">
        <v>23602</v>
      </c>
      <c r="L157" s="14">
        <v>18678</v>
      </c>
      <c r="M157" s="14">
        <v>39282</v>
      </c>
      <c r="N157" s="14">
        <v>40279</v>
      </c>
      <c r="O157" s="14">
        <v>53792</v>
      </c>
      <c r="P157" s="14">
        <v>65732</v>
      </c>
      <c r="Q157" s="14">
        <v>59466</v>
      </c>
      <c r="R157" s="14">
        <v>51945</v>
      </c>
      <c r="S157" s="14">
        <v>42496</v>
      </c>
      <c r="T157" s="14">
        <v>50775</v>
      </c>
      <c r="U157" s="14">
        <v>39046</v>
      </c>
      <c r="V157" s="14">
        <v>36382</v>
      </c>
      <c r="W157" s="14">
        <v>40757</v>
      </c>
      <c r="X157" s="14">
        <v>38627</v>
      </c>
      <c r="Y157" s="14">
        <v>65370</v>
      </c>
      <c r="Z157" s="14">
        <v>65930</v>
      </c>
      <c r="AA157" s="14">
        <v>66484</v>
      </c>
      <c r="AB157" s="14">
        <v>61331</v>
      </c>
      <c r="AC157" s="14">
        <v>80447</v>
      </c>
      <c r="AD157" s="14">
        <f>68761-0.4</f>
        <v>68760.6</v>
      </c>
      <c r="AE157" s="14">
        <v>80166</v>
      </c>
      <c r="AF157" s="14">
        <v>80166</v>
      </c>
      <c r="AG157" s="14">
        <v>67771</v>
      </c>
      <c r="AH157" s="14">
        <v>85841</v>
      </c>
      <c r="AI157" s="14">
        <v>82715</v>
      </c>
      <c r="AJ157" s="14">
        <v>69380</v>
      </c>
      <c r="AK157" s="14">
        <v>71448</v>
      </c>
      <c r="AL157" s="14">
        <v>71448</v>
      </c>
      <c r="AM157" s="70">
        <v>83309</v>
      </c>
      <c r="AN157" s="70">
        <v>83309</v>
      </c>
      <c r="AO157" s="70">
        <v>83309</v>
      </c>
      <c r="AP157" s="70">
        <v>95669</v>
      </c>
    </row>
    <row r="158" spans="1:42" ht="15.75">
      <c r="A158" s="35" t="s">
        <v>278</v>
      </c>
      <c r="B158" s="15" t="s">
        <v>357</v>
      </c>
      <c r="C158" s="14"/>
      <c r="D158" s="14"/>
      <c r="E158" s="14"/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/>
      <c r="R158" s="14">
        <v>9258</v>
      </c>
      <c r="S158" s="14">
        <v>8578</v>
      </c>
      <c r="T158" s="14">
        <v>-9452</v>
      </c>
      <c r="U158" s="14">
        <v>10141</v>
      </c>
      <c r="V158" s="14">
        <v>9506</v>
      </c>
      <c r="W158" s="14">
        <v>-362</v>
      </c>
      <c r="X158" s="14">
        <v>-10804</v>
      </c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70"/>
      <c r="AN158" s="70"/>
      <c r="AO158" s="70"/>
      <c r="AP158" s="70"/>
    </row>
    <row r="159" spans="1:42" ht="15.75">
      <c r="A159" s="35" t="s">
        <v>279</v>
      </c>
      <c r="B159" s="15" t="s">
        <v>357</v>
      </c>
      <c r="C159" s="14"/>
      <c r="D159" s="14"/>
      <c r="E159" s="14"/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/>
      <c r="R159" s="14">
        <v>1533</v>
      </c>
      <c r="S159" s="14">
        <v>1533</v>
      </c>
      <c r="T159" s="14">
        <v>1533</v>
      </c>
      <c r="U159" s="14">
        <v>1533</v>
      </c>
      <c r="V159" s="14">
        <v>1533</v>
      </c>
      <c r="W159" s="14">
        <v>1533</v>
      </c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70"/>
      <c r="AN159" s="70"/>
      <c r="AO159" s="70"/>
      <c r="AP159" s="70"/>
    </row>
    <row r="160" spans="1:42" ht="15.75" hidden="1">
      <c r="A160" s="35" t="s">
        <v>261</v>
      </c>
      <c r="B160" s="15" t="s">
        <v>357</v>
      </c>
      <c r="C160" s="14"/>
      <c r="D160" s="14"/>
      <c r="E160" s="14"/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/>
      <c r="R160" s="14"/>
      <c r="S160" s="14">
        <v>30000</v>
      </c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70"/>
      <c r="AN160" s="70"/>
      <c r="AO160" s="70"/>
      <c r="AP160" s="70"/>
    </row>
    <row r="161" spans="1:42" ht="15.75">
      <c r="A161" s="35" t="s">
        <v>280</v>
      </c>
      <c r="B161" s="1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>
        <v>23000</v>
      </c>
      <c r="AB161" s="14">
        <v>540</v>
      </c>
      <c r="AC161" s="14"/>
      <c r="AD161" s="14">
        <v>278</v>
      </c>
      <c r="AE161" s="14"/>
      <c r="AF161" s="14">
        <v>280</v>
      </c>
      <c r="AG161" s="14">
        <v>161</v>
      </c>
      <c r="AH161" s="14"/>
      <c r="AI161" s="14">
        <v>145</v>
      </c>
      <c r="AJ161" s="14">
        <v>310</v>
      </c>
      <c r="AK161" s="14">
        <v>629</v>
      </c>
      <c r="AL161" s="14">
        <v>629</v>
      </c>
      <c r="AM161" s="70">
        <v>300</v>
      </c>
      <c r="AN161" s="70">
        <v>1000</v>
      </c>
      <c r="AO161" s="70">
        <v>1000</v>
      </c>
      <c r="AP161" s="70">
        <v>750</v>
      </c>
    </row>
    <row r="162" spans="1:42" ht="15.75">
      <c r="A162" s="35" t="s">
        <v>262</v>
      </c>
      <c r="B162" s="15" t="s">
        <v>357</v>
      </c>
      <c r="C162" s="14"/>
      <c r="D162" s="14"/>
      <c r="E162" s="14"/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/>
      <c r="R162" s="14"/>
      <c r="S162" s="14"/>
      <c r="T162" s="14"/>
      <c r="U162" s="14"/>
      <c r="V162" s="14">
        <v>-2829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/>
      <c r="AC162" s="14">
        <v>-2479</v>
      </c>
      <c r="AD162" s="14">
        <v>0</v>
      </c>
      <c r="AE162" s="14">
        <v>-2511</v>
      </c>
      <c r="AF162" s="14">
        <v>-2511</v>
      </c>
      <c r="AG162" s="14">
        <v>0</v>
      </c>
      <c r="AH162" s="14">
        <v>-2546</v>
      </c>
      <c r="AI162" s="14">
        <v>-2546</v>
      </c>
      <c r="AJ162" s="14"/>
      <c r="AK162" s="14">
        <v>-4157</v>
      </c>
      <c r="AL162" s="14">
        <v>-4157</v>
      </c>
      <c r="AM162" s="70">
        <v>-2606</v>
      </c>
      <c r="AN162" s="70">
        <v>-2606</v>
      </c>
      <c r="AO162" s="70">
        <v>-2606</v>
      </c>
      <c r="AP162" s="70">
        <v>-2644</v>
      </c>
    </row>
    <row r="163" spans="1:42" ht="15.75">
      <c r="A163" s="35" t="s">
        <v>69</v>
      </c>
      <c r="B163" s="15" t="s">
        <v>357</v>
      </c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>
        <v>2598</v>
      </c>
      <c r="Z163" s="14">
        <v>502</v>
      </c>
      <c r="AA163" s="14">
        <v>0</v>
      </c>
      <c r="AB163" s="14"/>
      <c r="AC163" s="14">
        <v>427</v>
      </c>
      <c r="AD163" s="14">
        <f>+AC163</f>
        <v>427</v>
      </c>
      <c r="AE163" s="14"/>
      <c r="AF163" s="14"/>
      <c r="AG163" s="14">
        <v>0</v>
      </c>
      <c r="AH163" s="14"/>
      <c r="AI163" s="14">
        <v>20667</v>
      </c>
      <c r="AJ163" s="14">
        <v>20667</v>
      </c>
      <c r="AK163" s="14">
        <v>2058</v>
      </c>
      <c r="AL163" s="14">
        <v>2058</v>
      </c>
      <c r="AM163" s="70">
        <v>0</v>
      </c>
      <c r="AN163" s="70">
        <v>4725</v>
      </c>
      <c r="AO163" s="70">
        <v>4725</v>
      </c>
      <c r="AP163" s="70">
        <v>0</v>
      </c>
    </row>
    <row r="164" spans="1:42" ht="15.75">
      <c r="A164" s="35" t="s">
        <v>281</v>
      </c>
      <c r="B164" s="15" t="s">
        <v>357</v>
      </c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>
        <v>532</v>
      </c>
      <c r="W164" s="14">
        <v>36</v>
      </c>
      <c r="X164" s="14">
        <v>0</v>
      </c>
      <c r="Y164" s="14">
        <v>0</v>
      </c>
      <c r="Z164" s="14">
        <v>0</v>
      </c>
      <c r="AA164" s="14">
        <v>3023</v>
      </c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70"/>
      <c r="AN164" s="70"/>
      <c r="AO164" s="70"/>
      <c r="AP164" s="70"/>
    </row>
    <row r="165" spans="1:42" ht="15.75">
      <c r="A165" s="35" t="s">
        <v>264</v>
      </c>
      <c r="B165" s="15" t="s">
        <v>357</v>
      </c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>
        <v>532</v>
      </c>
      <c r="W165" s="14">
        <v>36</v>
      </c>
      <c r="X165" s="14">
        <v>0</v>
      </c>
      <c r="Y165" s="14">
        <v>152</v>
      </c>
      <c r="Z165" s="14">
        <v>1338</v>
      </c>
      <c r="AA165" s="14">
        <v>450</v>
      </c>
      <c r="AB165" s="14"/>
      <c r="AC165" s="14"/>
      <c r="AD165" s="14"/>
      <c r="AE165" s="14"/>
      <c r="AF165" s="14"/>
      <c r="AG165" s="14">
        <v>0</v>
      </c>
      <c r="AH165" s="14"/>
      <c r="AI165" s="14">
        <v>0</v>
      </c>
      <c r="AJ165" s="14"/>
      <c r="AK165" s="14"/>
      <c r="AL165" s="14"/>
      <c r="AM165" s="70">
        <v>0</v>
      </c>
      <c r="AN165" s="70">
        <v>0</v>
      </c>
      <c r="AO165" s="70">
        <v>0</v>
      </c>
      <c r="AP165" s="70">
        <v>0</v>
      </c>
    </row>
    <row r="166" spans="1:42" ht="15.75">
      <c r="A166" s="35" t="s">
        <v>287</v>
      </c>
      <c r="B166" s="15" t="s">
        <v>357</v>
      </c>
      <c r="C166" s="16">
        <v>4060</v>
      </c>
      <c r="D166" s="16">
        <v>2140</v>
      </c>
      <c r="E166" s="16">
        <v>2263</v>
      </c>
      <c r="F166" s="14">
        <v>1806</v>
      </c>
      <c r="G166" s="14">
        <v>1695</v>
      </c>
      <c r="H166" s="16">
        <v>1867</v>
      </c>
      <c r="I166" s="16">
        <v>1909</v>
      </c>
      <c r="J166" s="16">
        <v>254</v>
      </c>
      <c r="K166" s="16">
        <v>272</v>
      </c>
      <c r="L166" s="16">
        <v>305</v>
      </c>
      <c r="M166" s="16">
        <v>306</v>
      </c>
      <c r="N166" s="16">
        <v>270</v>
      </c>
      <c r="O166" s="16">
        <v>254</v>
      </c>
      <c r="P166" s="16">
        <v>249</v>
      </c>
      <c r="Q166" s="16">
        <v>217</v>
      </c>
      <c r="R166" s="16">
        <v>244</v>
      </c>
      <c r="S166" s="16">
        <v>239</v>
      </c>
      <c r="T166" s="16">
        <v>238</v>
      </c>
      <c r="U166" s="16">
        <v>246</v>
      </c>
      <c r="V166" s="16">
        <v>280</v>
      </c>
      <c r="W166" s="16">
        <v>254</v>
      </c>
      <c r="X166" s="16">
        <v>258</v>
      </c>
      <c r="Y166" s="16">
        <v>219</v>
      </c>
      <c r="Z166" s="16">
        <v>269</v>
      </c>
      <c r="AA166" s="16">
        <v>188</v>
      </c>
      <c r="AB166" s="16">
        <v>49</v>
      </c>
      <c r="AC166" s="16">
        <v>280</v>
      </c>
      <c r="AD166" s="16">
        <v>219</v>
      </c>
      <c r="AE166" s="16">
        <v>280</v>
      </c>
      <c r="AF166" s="16">
        <v>280</v>
      </c>
      <c r="AG166" s="16">
        <v>215</v>
      </c>
      <c r="AH166" s="16">
        <v>280</v>
      </c>
      <c r="AI166" s="16">
        <v>280</v>
      </c>
      <c r="AJ166" s="16">
        <v>156</v>
      </c>
      <c r="AK166" s="16">
        <v>43</v>
      </c>
      <c r="AL166" s="16">
        <v>43</v>
      </c>
      <c r="AM166" s="104">
        <v>280</v>
      </c>
      <c r="AN166" s="104">
        <v>280</v>
      </c>
      <c r="AO166" s="104">
        <v>280</v>
      </c>
      <c r="AP166" s="104">
        <v>280</v>
      </c>
    </row>
    <row r="167" spans="1:42" ht="15.75">
      <c r="A167" s="35" t="s">
        <v>315</v>
      </c>
      <c r="B167" s="15" t="s">
        <v>357</v>
      </c>
      <c r="C167" s="14">
        <f aca="true" t="shared" si="69" ref="C167:L167">SUM(C153:C166)</f>
        <v>4660</v>
      </c>
      <c r="D167" s="14">
        <f t="shared" si="69"/>
        <v>2740</v>
      </c>
      <c r="E167" s="14">
        <f t="shared" si="69"/>
        <v>2863</v>
      </c>
      <c r="F167" s="38">
        <f t="shared" si="69"/>
        <v>2406</v>
      </c>
      <c r="G167" s="38">
        <f t="shared" si="69"/>
        <v>2295</v>
      </c>
      <c r="H167" s="14">
        <f t="shared" si="69"/>
        <v>2467</v>
      </c>
      <c r="I167" s="14">
        <f t="shared" si="69"/>
        <v>2509</v>
      </c>
      <c r="J167" s="14">
        <f t="shared" si="69"/>
        <v>2184</v>
      </c>
      <c r="K167" s="14">
        <f t="shared" si="69"/>
        <v>23874</v>
      </c>
      <c r="L167" s="14">
        <f t="shared" si="69"/>
        <v>18983</v>
      </c>
      <c r="M167" s="14">
        <f aca="true" t="shared" si="70" ref="M167:U167">SUM(M153:M166)</f>
        <v>39588</v>
      </c>
      <c r="N167" s="14">
        <f t="shared" si="70"/>
        <v>40549</v>
      </c>
      <c r="O167" s="14">
        <f t="shared" si="70"/>
        <v>54046</v>
      </c>
      <c r="P167" s="14">
        <f t="shared" si="70"/>
        <v>65981</v>
      </c>
      <c r="Q167" s="14">
        <f t="shared" si="70"/>
        <v>59683</v>
      </c>
      <c r="R167" s="14">
        <f t="shared" si="70"/>
        <v>62980</v>
      </c>
      <c r="S167" s="14">
        <f t="shared" si="70"/>
        <v>82846</v>
      </c>
      <c r="T167" s="14">
        <f t="shared" si="70"/>
        <v>43094</v>
      </c>
      <c r="U167" s="14">
        <f t="shared" si="70"/>
        <v>50966</v>
      </c>
      <c r="V167" s="14">
        <f aca="true" t="shared" si="71" ref="V167:AG167">(SUM(V153:V166))</f>
        <v>45936</v>
      </c>
      <c r="W167" s="14">
        <f t="shared" si="71"/>
        <v>42254</v>
      </c>
      <c r="X167" s="14">
        <f t="shared" si="71"/>
        <v>28081</v>
      </c>
      <c r="Y167" s="14">
        <f t="shared" si="71"/>
        <v>68339</v>
      </c>
      <c r="Z167" s="14">
        <f t="shared" si="71"/>
        <v>68039</v>
      </c>
      <c r="AA167" s="14">
        <f t="shared" si="71"/>
        <v>93145</v>
      </c>
      <c r="AB167" s="14">
        <f t="shared" si="71"/>
        <v>61920</v>
      </c>
      <c r="AC167" s="14">
        <f t="shared" si="71"/>
        <v>78675</v>
      </c>
      <c r="AD167" s="14">
        <f t="shared" si="71"/>
        <v>69684.6</v>
      </c>
      <c r="AE167" s="14">
        <f t="shared" si="71"/>
        <v>77935</v>
      </c>
      <c r="AF167" s="14">
        <f t="shared" si="71"/>
        <v>78215</v>
      </c>
      <c r="AG167" s="14">
        <f t="shared" si="71"/>
        <v>68147</v>
      </c>
      <c r="AH167" s="14">
        <f aca="true" t="shared" si="72" ref="AH167:AP167">(SUM(AH153:AH166))</f>
        <v>83575</v>
      </c>
      <c r="AI167" s="14">
        <f t="shared" si="72"/>
        <v>101261</v>
      </c>
      <c r="AJ167" s="14">
        <f t="shared" si="72"/>
        <v>90513</v>
      </c>
      <c r="AK167" s="14">
        <f t="shared" si="72"/>
        <v>70021</v>
      </c>
      <c r="AL167" s="70">
        <f t="shared" si="72"/>
        <v>70021</v>
      </c>
      <c r="AM167" s="70">
        <f t="shared" si="72"/>
        <v>85833</v>
      </c>
      <c r="AN167" s="70">
        <f t="shared" si="72"/>
        <v>91258</v>
      </c>
      <c r="AO167" s="70">
        <f t="shared" si="72"/>
        <v>91258</v>
      </c>
      <c r="AP167" s="70">
        <f t="shared" si="72"/>
        <v>111355</v>
      </c>
    </row>
    <row r="168" spans="1:27" ht="15.75">
      <c r="A168" s="14"/>
      <c r="B168" s="15" t="s">
        <v>357</v>
      </c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5.75">
      <c r="A169" s="15" t="s">
        <v>316</v>
      </c>
      <c r="B169" s="15" t="s">
        <v>357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42" ht="15.75">
      <c r="A170" s="35" t="s">
        <v>289</v>
      </c>
      <c r="B170" s="15" t="s">
        <v>357</v>
      </c>
      <c r="C170" s="14">
        <v>20221</v>
      </c>
      <c r="D170" s="14">
        <v>4936</v>
      </c>
      <c r="E170" s="14">
        <v>10535</v>
      </c>
      <c r="F170" s="14">
        <v>7667</v>
      </c>
      <c r="G170" s="14">
        <v>6969</v>
      </c>
      <c r="H170" s="16">
        <v>5402</v>
      </c>
      <c r="I170" s="16">
        <v>2940</v>
      </c>
      <c r="J170" s="16">
        <v>5723</v>
      </c>
      <c r="K170" s="16">
        <v>7681</v>
      </c>
      <c r="L170" s="16">
        <v>4732</v>
      </c>
      <c r="M170" s="16">
        <v>36034</v>
      </c>
      <c r="N170" s="16">
        <v>44507</v>
      </c>
      <c r="O170" s="16">
        <v>60915</v>
      </c>
      <c r="P170" s="16">
        <v>39821</v>
      </c>
      <c r="Q170" s="16">
        <v>75222</v>
      </c>
      <c r="R170" s="16">
        <v>72022</v>
      </c>
      <c r="S170" s="16">
        <v>18261</v>
      </c>
      <c r="T170" s="16">
        <v>9563</v>
      </c>
      <c r="U170" s="16">
        <v>22512</v>
      </c>
      <c r="V170" s="16">
        <v>24138</v>
      </c>
      <c r="W170" s="16">
        <v>16487</v>
      </c>
      <c r="X170" s="16">
        <v>32232</v>
      </c>
      <c r="Y170" s="16">
        <v>23018</v>
      </c>
      <c r="Z170" s="16">
        <v>11575</v>
      </c>
      <c r="AA170" s="16">
        <v>27580</v>
      </c>
      <c r="AB170" s="16">
        <v>24192</v>
      </c>
      <c r="AC170" s="16">
        <v>4200</v>
      </c>
      <c r="AD170" s="16">
        <v>2942</v>
      </c>
      <c r="AE170" s="16">
        <v>9600</v>
      </c>
      <c r="AF170" s="16">
        <v>5500</v>
      </c>
      <c r="AG170" s="16">
        <v>5542</v>
      </c>
      <c r="AH170" s="16">
        <v>7000</v>
      </c>
      <c r="AI170" s="16">
        <v>1300</v>
      </c>
      <c r="AJ170" s="16">
        <v>12913</v>
      </c>
      <c r="AK170" s="16">
        <v>41124</v>
      </c>
      <c r="AL170" s="16">
        <v>41124</v>
      </c>
      <c r="AM170" s="104">
        <v>1334</v>
      </c>
      <c r="AN170" s="104">
        <v>3000</v>
      </c>
      <c r="AO170" s="104">
        <v>3000</v>
      </c>
      <c r="AP170" s="104">
        <v>3000</v>
      </c>
    </row>
    <row r="171" spans="1:42" ht="15.75">
      <c r="A171" s="35" t="s">
        <v>221</v>
      </c>
      <c r="B171" s="15" t="s">
        <v>357</v>
      </c>
      <c r="C171" s="43">
        <f aca="true" t="shared" si="73" ref="C171:U171">C170</f>
        <v>20221</v>
      </c>
      <c r="D171" s="43">
        <f t="shared" si="73"/>
        <v>4936</v>
      </c>
      <c r="E171" s="43">
        <f t="shared" si="73"/>
        <v>10535</v>
      </c>
      <c r="F171" s="43">
        <f t="shared" si="73"/>
        <v>7667</v>
      </c>
      <c r="G171" s="43">
        <f t="shared" si="73"/>
        <v>6969</v>
      </c>
      <c r="H171" s="16">
        <f t="shared" si="73"/>
        <v>5402</v>
      </c>
      <c r="I171" s="16">
        <f t="shared" si="73"/>
        <v>2940</v>
      </c>
      <c r="J171" s="16">
        <f t="shared" si="73"/>
        <v>5723</v>
      </c>
      <c r="K171" s="16">
        <f t="shared" si="73"/>
        <v>7681</v>
      </c>
      <c r="L171" s="16">
        <f t="shared" si="73"/>
        <v>4732</v>
      </c>
      <c r="M171" s="16">
        <f t="shared" si="73"/>
        <v>36034</v>
      </c>
      <c r="N171" s="16">
        <f t="shared" si="73"/>
        <v>44507</v>
      </c>
      <c r="O171" s="16">
        <f t="shared" si="73"/>
        <v>60915</v>
      </c>
      <c r="P171" s="16">
        <f t="shared" si="73"/>
        <v>39821</v>
      </c>
      <c r="Q171" s="16">
        <f t="shared" si="73"/>
        <v>75222</v>
      </c>
      <c r="R171" s="16">
        <f t="shared" si="73"/>
        <v>72022</v>
      </c>
      <c r="S171" s="16">
        <f t="shared" si="73"/>
        <v>18261</v>
      </c>
      <c r="T171" s="16">
        <f t="shared" si="73"/>
        <v>9563</v>
      </c>
      <c r="U171" s="16">
        <f t="shared" si="73"/>
        <v>22512</v>
      </c>
      <c r="V171" s="16">
        <f aca="true" t="shared" si="74" ref="V171:AP171">(V170)</f>
        <v>24138</v>
      </c>
      <c r="W171" s="16">
        <f t="shared" si="74"/>
        <v>16487</v>
      </c>
      <c r="X171" s="16">
        <f t="shared" si="74"/>
        <v>32232</v>
      </c>
      <c r="Y171" s="16">
        <f t="shared" si="74"/>
        <v>23018</v>
      </c>
      <c r="Z171" s="16">
        <f t="shared" si="74"/>
        <v>11575</v>
      </c>
      <c r="AA171" s="16">
        <f t="shared" si="74"/>
        <v>27580</v>
      </c>
      <c r="AB171" s="16">
        <f t="shared" si="74"/>
        <v>24192</v>
      </c>
      <c r="AC171" s="16">
        <f t="shared" si="74"/>
        <v>4200</v>
      </c>
      <c r="AD171" s="16">
        <f t="shared" si="74"/>
        <v>2942</v>
      </c>
      <c r="AE171" s="16">
        <f t="shared" si="74"/>
        <v>9600</v>
      </c>
      <c r="AF171" s="16">
        <f t="shared" si="74"/>
        <v>5500</v>
      </c>
      <c r="AG171" s="16">
        <f t="shared" si="74"/>
        <v>5542</v>
      </c>
      <c r="AH171" s="16">
        <f>(AH170)</f>
        <v>7000</v>
      </c>
      <c r="AI171" s="16">
        <f t="shared" si="74"/>
        <v>1300</v>
      </c>
      <c r="AJ171" s="16">
        <f t="shared" si="74"/>
        <v>12913</v>
      </c>
      <c r="AK171" s="16">
        <f t="shared" si="74"/>
        <v>41124</v>
      </c>
      <c r="AL171" s="104">
        <f t="shared" si="74"/>
        <v>41124</v>
      </c>
      <c r="AM171" s="104">
        <f t="shared" si="74"/>
        <v>1334</v>
      </c>
      <c r="AN171" s="104">
        <f t="shared" si="74"/>
        <v>3000</v>
      </c>
      <c r="AO171" s="104">
        <f t="shared" si="74"/>
        <v>3000</v>
      </c>
      <c r="AP171" s="104">
        <f t="shared" si="74"/>
        <v>3000</v>
      </c>
    </row>
    <row r="172" spans="1:42" ht="15.75">
      <c r="A172" s="14"/>
      <c r="B172" s="15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110"/>
      <c r="AM172" s="110"/>
      <c r="AN172" s="110"/>
      <c r="AO172" s="110"/>
      <c r="AP172" s="110"/>
    </row>
    <row r="173" spans="1:42" ht="15.75">
      <c r="A173" s="35" t="s">
        <v>375</v>
      </c>
      <c r="B173" s="15" t="s">
        <v>357</v>
      </c>
      <c r="C173" s="16">
        <f aca="true" t="shared" si="75" ref="C173:L173">C167+C171</f>
        <v>24881</v>
      </c>
      <c r="D173" s="16">
        <f t="shared" si="75"/>
        <v>7676</v>
      </c>
      <c r="E173" s="16">
        <f t="shared" si="75"/>
        <v>13398</v>
      </c>
      <c r="F173" s="14">
        <f t="shared" si="75"/>
        <v>10073</v>
      </c>
      <c r="G173" s="14">
        <f t="shared" si="75"/>
        <v>9264</v>
      </c>
      <c r="H173" s="16">
        <f t="shared" si="75"/>
        <v>7869</v>
      </c>
      <c r="I173" s="16">
        <f t="shared" si="75"/>
        <v>5449</v>
      </c>
      <c r="J173" s="16">
        <f t="shared" si="75"/>
        <v>7907</v>
      </c>
      <c r="K173" s="16">
        <f t="shared" si="75"/>
        <v>31555</v>
      </c>
      <c r="L173" s="16">
        <f t="shared" si="75"/>
        <v>23715</v>
      </c>
      <c r="M173" s="16">
        <f aca="true" t="shared" si="76" ref="M173:U173">M167+M171</f>
        <v>75622</v>
      </c>
      <c r="N173" s="16">
        <f t="shared" si="76"/>
        <v>85056</v>
      </c>
      <c r="O173" s="16">
        <f t="shared" si="76"/>
        <v>114961</v>
      </c>
      <c r="P173" s="16">
        <f t="shared" si="76"/>
        <v>105802</v>
      </c>
      <c r="Q173" s="16">
        <f t="shared" si="76"/>
        <v>134905</v>
      </c>
      <c r="R173" s="16">
        <f t="shared" si="76"/>
        <v>135002</v>
      </c>
      <c r="S173" s="16">
        <f t="shared" si="76"/>
        <v>101107</v>
      </c>
      <c r="T173" s="16">
        <f t="shared" si="76"/>
        <v>52657</v>
      </c>
      <c r="U173" s="16">
        <f t="shared" si="76"/>
        <v>73478</v>
      </c>
      <c r="V173" s="16">
        <f aca="true" t="shared" si="77" ref="V173:AA173">(V167+V171)</f>
        <v>70074</v>
      </c>
      <c r="W173" s="16">
        <f t="shared" si="77"/>
        <v>58741</v>
      </c>
      <c r="X173" s="16">
        <f t="shared" si="77"/>
        <v>60313</v>
      </c>
      <c r="Y173" s="16">
        <f t="shared" si="77"/>
        <v>91357</v>
      </c>
      <c r="Z173" s="16">
        <f t="shared" si="77"/>
        <v>79614</v>
      </c>
      <c r="AA173" s="16">
        <f t="shared" si="77"/>
        <v>120725</v>
      </c>
      <c r="AB173" s="16">
        <f aca="true" t="shared" si="78" ref="AB173:AH173">(AB167+AB171)</f>
        <v>86112</v>
      </c>
      <c r="AC173" s="16">
        <f t="shared" si="78"/>
        <v>82875</v>
      </c>
      <c r="AD173" s="16">
        <f t="shared" si="78"/>
        <v>72626.6</v>
      </c>
      <c r="AE173" s="16">
        <f t="shared" si="78"/>
        <v>87535</v>
      </c>
      <c r="AF173" s="16">
        <f t="shared" si="78"/>
        <v>83715</v>
      </c>
      <c r="AG173" s="16">
        <f>(AG167+AG171)</f>
        <v>73689</v>
      </c>
      <c r="AH173" s="16">
        <f t="shared" si="78"/>
        <v>90575</v>
      </c>
      <c r="AI173" s="16">
        <f aca="true" t="shared" si="79" ref="AI173:AP173">(AI167+AI171)</f>
        <v>102561</v>
      </c>
      <c r="AJ173" s="16">
        <f t="shared" si="79"/>
        <v>103426</v>
      </c>
      <c r="AK173" s="16">
        <f>(AK167+AK171)</f>
        <v>111145</v>
      </c>
      <c r="AL173" s="16">
        <f>(AL167+AL171)</f>
        <v>111145</v>
      </c>
      <c r="AM173" s="104">
        <f t="shared" si="79"/>
        <v>87167</v>
      </c>
      <c r="AN173" s="104">
        <f t="shared" si="79"/>
        <v>94258</v>
      </c>
      <c r="AO173" s="104">
        <f>(AO167+AO171)</f>
        <v>94258</v>
      </c>
      <c r="AP173" s="104">
        <f t="shared" si="79"/>
        <v>114355</v>
      </c>
    </row>
    <row r="174" spans="1:30" ht="9.75" customHeight="1">
      <c r="A174" s="14"/>
      <c r="B174" s="15" t="s">
        <v>357</v>
      </c>
      <c r="C174" s="14"/>
      <c r="D174" s="14"/>
      <c r="E174" s="14"/>
      <c r="F174" s="38"/>
      <c r="G174" s="38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42" ht="15.75">
      <c r="A175" s="35" t="s">
        <v>368</v>
      </c>
      <c r="B175" s="15" t="s">
        <v>357</v>
      </c>
      <c r="C175" s="14">
        <f aca="true" t="shared" si="80" ref="C175:U175">C148+C173</f>
        <v>993378</v>
      </c>
      <c r="D175" s="14">
        <f t="shared" si="80"/>
        <v>693524</v>
      </c>
      <c r="E175" s="14">
        <f t="shared" si="80"/>
        <v>596418</v>
      </c>
      <c r="F175" s="14">
        <f t="shared" si="80"/>
        <v>625230</v>
      </c>
      <c r="G175" s="14">
        <f t="shared" si="80"/>
        <v>795149</v>
      </c>
      <c r="H175" s="14">
        <f t="shared" si="80"/>
        <v>778607</v>
      </c>
      <c r="I175" s="14">
        <f t="shared" si="80"/>
        <v>922505</v>
      </c>
      <c r="J175" s="14">
        <f t="shared" si="80"/>
        <v>971323</v>
      </c>
      <c r="K175" s="14">
        <f t="shared" si="80"/>
        <v>1098564</v>
      </c>
      <c r="L175" s="14">
        <f t="shared" si="80"/>
        <v>768178</v>
      </c>
      <c r="M175" s="14">
        <f t="shared" si="80"/>
        <v>950866</v>
      </c>
      <c r="N175" s="14">
        <f t="shared" si="80"/>
        <v>1034358</v>
      </c>
      <c r="O175" s="14">
        <f t="shared" si="80"/>
        <v>1106097</v>
      </c>
      <c r="P175" s="14">
        <f t="shared" si="80"/>
        <v>1066094</v>
      </c>
      <c r="Q175" s="14">
        <f t="shared" si="80"/>
        <v>1097252</v>
      </c>
      <c r="R175" s="14">
        <f t="shared" si="80"/>
        <v>1028889</v>
      </c>
      <c r="S175" s="14">
        <f t="shared" si="80"/>
        <v>911259</v>
      </c>
      <c r="T175" s="14">
        <f t="shared" si="80"/>
        <v>873915</v>
      </c>
      <c r="U175" s="14">
        <f t="shared" si="80"/>
        <v>887806</v>
      </c>
      <c r="V175" s="14">
        <f aca="true" t="shared" si="81" ref="V175:AM175">(V148+V173)</f>
        <v>878025</v>
      </c>
      <c r="W175" s="14">
        <f t="shared" si="81"/>
        <v>836729</v>
      </c>
      <c r="X175" s="14">
        <f t="shared" si="81"/>
        <v>924122</v>
      </c>
      <c r="Y175" s="14">
        <f t="shared" si="81"/>
        <v>872964</v>
      </c>
      <c r="Z175" s="14">
        <f t="shared" si="81"/>
        <v>848187</v>
      </c>
      <c r="AA175" s="14">
        <f t="shared" si="81"/>
        <v>896954</v>
      </c>
      <c r="AB175" s="14">
        <f t="shared" si="81"/>
        <v>1203888</v>
      </c>
      <c r="AC175" s="14">
        <f t="shared" si="81"/>
        <v>937796</v>
      </c>
      <c r="AD175" s="14">
        <f t="shared" si="81"/>
        <v>1009186.634</v>
      </c>
      <c r="AE175" s="14">
        <f t="shared" si="81"/>
        <v>965552</v>
      </c>
      <c r="AF175" s="14">
        <f t="shared" si="81"/>
        <v>1026572.912</v>
      </c>
      <c r="AG175" s="14">
        <f t="shared" si="81"/>
        <v>1016547</v>
      </c>
      <c r="AH175" s="14">
        <f t="shared" si="81"/>
        <v>1012899</v>
      </c>
      <c r="AI175" s="14">
        <f t="shared" si="81"/>
        <v>1067482</v>
      </c>
      <c r="AJ175" s="14">
        <f t="shared" si="81"/>
        <v>1075347</v>
      </c>
      <c r="AK175" s="14">
        <f>(AK148+AK173)</f>
        <v>1138448</v>
      </c>
      <c r="AL175" s="70">
        <f t="shared" si="81"/>
        <v>1129448</v>
      </c>
      <c r="AM175" s="70">
        <f t="shared" si="81"/>
        <v>970748</v>
      </c>
      <c r="AN175" s="70">
        <f>(AN148+AN173)</f>
        <v>983039</v>
      </c>
      <c r="AO175" s="70">
        <f>(AO148+AO173)</f>
        <v>1137254</v>
      </c>
      <c r="AP175" s="70">
        <f>(AP148+AP173)</f>
        <v>1072735</v>
      </c>
    </row>
    <row r="176" spans="1:30" ht="9.75" customHeight="1">
      <c r="A176" s="14"/>
      <c r="B176" s="15" t="s">
        <v>357</v>
      </c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C176" s="14"/>
      <c r="AD176" s="14"/>
    </row>
    <row r="177" spans="1:30" ht="15.75">
      <c r="A177" s="34" t="s">
        <v>163</v>
      </c>
      <c r="B177" s="15" t="s">
        <v>357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C177" s="14"/>
      <c r="AD177" s="14"/>
    </row>
    <row r="178" spans="1:30" ht="3" customHeight="1">
      <c r="A178" s="14"/>
      <c r="B178" s="15" t="s">
        <v>357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C178" s="14"/>
      <c r="AD178" s="14"/>
    </row>
    <row r="179" spans="1:30" ht="15.75">
      <c r="A179" s="10" t="s">
        <v>101</v>
      </c>
      <c r="B179" s="15" t="s">
        <v>357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C179" s="14"/>
      <c r="AD179" s="14"/>
    </row>
    <row r="180" spans="1:30" ht="9.75" customHeight="1">
      <c r="A180" s="14"/>
      <c r="B180" s="15" t="s">
        <v>357</v>
      </c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C180" s="14"/>
      <c r="AD180" s="14"/>
    </row>
    <row r="181" spans="1:30" ht="15.75">
      <c r="A181" s="14" t="s">
        <v>102</v>
      </c>
      <c r="B181" s="15" t="s">
        <v>357</v>
      </c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47"/>
      <c r="Z181" s="47"/>
      <c r="AA181" s="47"/>
      <c r="AC181" s="14"/>
      <c r="AD181" s="14"/>
    </row>
    <row r="182" spans="1:42" ht="15.75">
      <c r="A182" s="35" t="s">
        <v>442</v>
      </c>
      <c r="B182" s="15" t="s">
        <v>357</v>
      </c>
      <c r="C182" s="14"/>
      <c r="D182" s="14"/>
      <c r="E182" s="14"/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39"/>
      <c r="R182" s="39"/>
      <c r="S182" s="39"/>
      <c r="T182" s="14">
        <v>25770</v>
      </c>
      <c r="U182" s="14">
        <v>29030</v>
      </c>
      <c r="V182" s="14">
        <v>25636</v>
      </c>
      <c r="W182" s="14">
        <v>31927</v>
      </c>
      <c r="X182" s="14">
        <v>30022</v>
      </c>
      <c r="Y182" s="14">
        <v>32024</v>
      </c>
      <c r="Z182" s="14">
        <v>28757</v>
      </c>
      <c r="AA182" s="14">
        <f>25782-57</f>
        <v>25725</v>
      </c>
      <c r="AB182" s="14">
        <v>25479</v>
      </c>
      <c r="AC182" s="14">
        <v>24969</v>
      </c>
      <c r="AD182" s="14">
        <v>24807</v>
      </c>
      <c r="AE182" s="14">
        <v>28768</v>
      </c>
      <c r="AF182" s="14">
        <v>28598.269</v>
      </c>
      <c r="AG182" s="14">
        <v>28599</v>
      </c>
      <c r="AH182" s="14">
        <v>30806</v>
      </c>
      <c r="AI182" s="14">
        <v>32280</v>
      </c>
      <c r="AJ182" s="14">
        <v>32280</v>
      </c>
      <c r="AK182" s="14">
        <v>33070</v>
      </c>
      <c r="AL182" s="70">
        <v>33070</v>
      </c>
      <c r="AM182" s="70">
        <v>39190</v>
      </c>
      <c r="AN182" s="70">
        <v>33173</v>
      </c>
      <c r="AO182" s="70">
        <v>33075</v>
      </c>
      <c r="AP182" s="70">
        <v>42024</v>
      </c>
    </row>
    <row r="183" spans="1:42" ht="15.75">
      <c r="A183" s="35" t="s">
        <v>443</v>
      </c>
      <c r="B183" s="15" t="s">
        <v>357</v>
      </c>
      <c r="C183" s="14"/>
      <c r="D183" s="14"/>
      <c r="E183" s="14"/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39"/>
      <c r="R183" s="39"/>
      <c r="S183" s="39"/>
      <c r="T183" s="14">
        <v>4850</v>
      </c>
      <c r="U183" s="14">
        <v>11133</v>
      </c>
      <c r="V183" s="14">
        <v>18503</v>
      </c>
      <c r="W183" s="14">
        <v>11700</v>
      </c>
      <c r="X183" s="14">
        <v>11131</v>
      </c>
      <c r="Y183" s="14">
        <v>10476</v>
      </c>
      <c r="Z183" s="14">
        <v>10476</v>
      </c>
      <c r="AA183" s="14">
        <v>14136</v>
      </c>
      <c r="AB183" s="14">
        <v>10749</v>
      </c>
      <c r="AC183" s="14">
        <v>11259</v>
      </c>
      <c r="AD183" s="14">
        <v>11186</v>
      </c>
      <c r="AE183" s="14">
        <f>9423+6000</f>
        <v>15423</v>
      </c>
      <c r="AF183" s="14">
        <v>9367.404</v>
      </c>
      <c r="AG183" s="14">
        <v>9367.404</v>
      </c>
      <c r="AH183" s="14">
        <v>15469</v>
      </c>
      <c r="AI183" s="14">
        <v>15345</v>
      </c>
      <c r="AJ183" s="14">
        <v>15345</v>
      </c>
      <c r="AK183" s="14">
        <v>937</v>
      </c>
      <c r="AL183" s="70">
        <v>937</v>
      </c>
      <c r="AM183" s="70">
        <v>965</v>
      </c>
      <c r="AN183" s="70">
        <v>965</v>
      </c>
      <c r="AO183" s="70">
        <v>945</v>
      </c>
      <c r="AP183" s="70">
        <v>976</v>
      </c>
    </row>
    <row r="184" spans="1:42" ht="15.75">
      <c r="A184" s="35" t="s">
        <v>344</v>
      </c>
      <c r="B184" s="15" t="s">
        <v>357</v>
      </c>
      <c r="C184" s="43"/>
      <c r="D184" s="43"/>
      <c r="E184" s="43"/>
      <c r="F184" s="38">
        <f aca="true" t="shared" si="82" ref="F184:U184">SUM(F182:F183)</f>
        <v>0</v>
      </c>
      <c r="G184" s="38">
        <f t="shared" si="82"/>
        <v>0</v>
      </c>
      <c r="H184" s="38">
        <f t="shared" si="82"/>
        <v>0</v>
      </c>
      <c r="I184" s="38">
        <f t="shared" si="82"/>
        <v>0</v>
      </c>
      <c r="J184" s="38">
        <f t="shared" si="82"/>
        <v>0</v>
      </c>
      <c r="K184" s="38">
        <f t="shared" si="82"/>
        <v>0</v>
      </c>
      <c r="L184" s="38">
        <f t="shared" si="82"/>
        <v>0</v>
      </c>
      <c r="M184" s="38">
        <f t="shared" si="82"/>
        <v>0</v>
      </c>
      <c r="N184" s="38">
        <f t="shared" si="82"/>
        <v>0</v>
      </c>
      <c r="O184" s="38">
        <f t="shared" si="82"/>
        <v>0</v>
      </c>
      <c r="P184" s="38">
        <f t="shared" si="82"/>
        <v>0</v>
      </c>
      <c r="Q184" s="39"/>
      <c r="R184" s="39"/>
      <c r="S184" s="39"/>
      <c r="T184" s="38">
        <f t="shared" si="82"/>
        <v>30620</v>
      </c>
      <c r="U184" s="38">
        <f t="shared" si="82"/>
        <v>40163</v>
      </c>
      <c r="V184" s="38">
        <f aca="true" t="shared" si="83" ref="V184:AG184">(SUM(V182:V183))</f>
        <v>44139</v>
      </c>
      <c r="W184" s="38">
        <f t="shared" si="83"/>
        <v>43627</v>
      </c>
      <c r="X184" s="38">
        <f t="shared" si="83"/>
        <v>41153</v>
      </c>
      <c r="Y184" s="38">
        <f t="shared" si="83"/>
        <v>42500</v>
      </c>
      <c r="Z184" s="38">
        <f t="shared" si="83"/>
        <v>39233</v>
      </c>
      <c r="AA184" s="38">
        <f t="shared" si="83"/>
        <v>39861</v>
      </c>
      <c r="AB184" s="38">
        <f t="shared" si="83"/>
        <v>36228</v>
      </c>
      <c r="AC184" s="38">
        <f t="shared" si="83"/>
        <v>36228</v>
      </c>
      <c r="AD184" s="38">
        <f t="shared" si="83"/>
        <v>35993</v>
      </c>
      <c r="AE184" s="38">
        <f t="shared" si="83"/>
        <v>44191</v>
      </c>
      <c r="AF184" s="38">
        <f t="shared" si="83"/>
        <v>37965.673</v>
      </c>
      <c r="AG184" s="38">
        <f t="shared" si="83"/>
        <v>37966.404</v>
      </c>
      <c r="AH184" s="38">
        <f aca="true" t="shared" si="84" ref="AH184:AP184">(SUM(AH182:AH183))</f>
        <v>46275</v>
      </c>
      <c r="AI184" s="38">
        <f t="shared" si="84"/>
        <v>47625</v>
      </c>
      <c r="AJ184" s="38">
        <f t="shared" si="84"/>
        <v>47625</v>
      </c>
      <c r="AK184" s="38">
        <f t="shared" si="84"/>
        <v>34007</v>
      </c>
      <c r="AL184" s="109">
        <f t="shared" si="84"/>
        <v>34007</v>
      </c>
      <c r="AM184" s="109">
        <f t="shared" si="84"/>
        <v>40155</v>
      </c>
      <c r="AN184" s="109">
        <f t="shared" si="84"/>
        <v>34138</v>
      </c>
      <c r="AO184" s="109">
        <f>SUM(AO182:AO183)</f>
        <v>34020</v>
      </c>
      <c r="AP184" s="109">
        <f t="shared" si="84"/>
        <v>43000</v>
      </c>
    </row>
    <row r="185" spans="1:42" ht="15.75">
      <c r="A185" s="35" t="s">
        <v>401</v>
      </c>
      <c r="B185" s="15" t="s">
        <v>357</v>
      </c>
      <c r="C185" s="14"/>
      <c r="D185" s="14"/>
      <c r="E185" s="14"/>
      <c r="F185" s="38">
        <f aca="true" t="shared" si="85" ref="F185:U185">F184</f>
        <v>0</v>
      </c>
      <c r="G185" s="38">
        <f t="shared" si="85"/>
        <v>0</v>
      </c>
      <c r="H185" s="38">
        <f t="shared" si="85"/>
        <v>0</v>
      </c>
      <c r="I185" s="38">
        <f t="shared" si="85"/>
        <v>0</v>
      </c>
      <c r="J185" s="38">
        <f t="shared" si="85"/>
        <v>0</v>
      </c>
      <c r="K185" s="38">
        <f t="shared" si="85"/>
        <v>0</v>
      </c>
      <c r="L185" s="38">
        <f t="shared" si="85"/>
        <v>0</v>
      </c>
      <c r="M185" s="38">
        <f t="shared" si="85"/>
        <v>0</v>
      </c>
      <c r="N185" s="38">
        <f t="shared" si="85"/>
        <v>0</v>
      </c>
      <c r="O185" s="38">
        <f t="shared" si="85"/>
        <v>0</v>
      </c>
      <c r="P185" s="38">
        <f t="shared" si="85"/>
        <v>0</v>
      </c>
      <c r="Q185" s="39"/>
      <c r="R185" s="39"/>
      <c r="S185" s="39"/>
      <c r="T185" s="38">
        <f t="shared" si="85"/>
        <v>30620</v>
      </c>
      <c r="U185" s="38">
        <f t="shared" si="85"/>
        <v>40163</v>
      </c>
      <c r="V185" s="38">
        <f aca="true" t="shared" si="86" ref="V185:AG185">(V184)</f>
        <v>44139</v>
      </c>
      <c r="W185" s="38">
        <f t="shared" si="86"/>
        <v>43627</v>
      </c>
      <c r="X185" s="38">
        <f t="shared" si="86"/>
        <v>41153</v>
      </c>
      <c r="Y185" s="38">
        <f t="shared" si="86"/>
        <v>42500</v>
      </c>
      <c r="Z185" s="38">
        <f t="shared" si="86"/>
        <v>39233</v>
      </c>
      <c r="AA185" s="38">
        <f t="shared" si="86"/>
        <v>39861</v>
      </c>
      <c r="AB185" s="38">
        <f t="shared" si="86"/>
        <v>36228</v>
      </c>
      <c r="AC185" s="38">
        <f t="shared" si="86"/>
        <v>36228</v>
      </c>
      <c r="AD185" s="38">
        <f t="shared" si="86"/>
        <v>35993</v>
      </c>
      <c r="AE185" s="38">
        <f t="shared" si="86"/>
        <v>44191</v>
      </c>
      <c r="AF185" s="38">
        <f t="shared" si="86"/>
        <v>37965.673</v>
      </c>
      <c r="AG185" s="38">
        <f t="shared" si="86"/>
        <v>37966.404</v>
      </c>
      <c r="AH185" s="38">
        <f aca="true" t="shared" si="87" ref="AH185:AP185">(AH184)</f>
        <v>46275</v>
      </c>
      <c r="AI185" s="38">
        <f t="shared" si="87"/>
        <v>47625</v>
      </c>
      <c r="AJ185" s="38">
        <f t="shared" si="87"/>
        <v>47625</v>
      </c>
      <c r="AK185" s="38">
        <f t="shared" si="87"/>
        <v>34007</v>
      </c>
      <c r="AL185" s="109">
        <f t="shared" si="87"/>
        <v>34007</v>
      </c>
      <c r="AM185" s="109">
        <f t="shared" si="87"/>
        <v>40155</v>
      </c>
      <c r="AN185" s="109">
        <f t="shared" si="87"/>
        <v>34138</v>
      </c>
      <c r="AO185" s="109">
        <f t="shared" si="87"/>
        <v>34020</v>
      </c>
      <c r="AP185" s="109">
        <f t="shared" si="87"/>
        <v>43000</v>
      </c>
    </row>
    <row r="186" spans="1:33" ht="15.75">
      <c r="A186" s="14"/>
      <c r="B186" s="15" t="s">
        <v>357</v>
      </c>
      <c r="C186" s="14"/>
      <c r="D186" s="14"/>
      <c r="E186" s="14"/>
      <c r="F186" s="14"/>
      <c r="G186" s="14"/>
      <c r="H186" s="14"/>
      <c r="I186" s="14"/>
      <c r="J186" s="14"/>
      <c r="K186" s="48">
        <v>0</v>
      </c>
      <c r="L186" s="14"/>
      <c r="M186" s="14"/>
      <c r="N186" s="14"/>
      <c r="O186" s="14"/>
      <c r="P186" s="14"/>
      <c r="Q186" s="14"/>
      <c r="R186" s="14"/>
      <c r="S186" s="14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92" t="s">
        <v>31</v>
      </c>
      <c r="AF186" s="92"/>
      <c r="AG186" s="92"/>
    </row>
    <row r="187" spans="1:33" ht="15.75">
      <c r="A187" s="10" t="s">
        <v>402</v>
      </c>
      <c r="B187" s="15" t="s">
        <v>357</v>
      </c>
      <c r="C187" s="14"/>
      <c r="D187" s="14"/>
      <c r="E187" s="14"/>
      <c r="F187" s="14"/>
      <c r="G187" s="14"/>
      <c r="H187" s="14"/>
      <c r="I187" s="14"/>
      <c r="J187" s="14"/>
      <c r="K187" s="48">
        <v>0</v>
      </c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ht="9.75" customHeight="1">
      <c r="A188" s="14"/>
      <c r="B188" s="15" t="s">
        <v>357</v>
      </c>
      <c r="C188" s="14"/>
      <c r="D188" s="14"/>
      <c r="E188" s="14"/>
      <c r="F188" s="14"/>
      <c r="G188" s="14"/>
      <c r="H188" s="14"/>
      <c r="I188" s="14"/>
      <c r="J188" s="14"/>
      <c r="K188" s="48">
        <v>0</v>
      </c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ht="15.75">
      <c r="A189" s="15" t="s">
        <v>102</v>
      </c>
      <c r="B189" s="15"/>
      <c r="C189" s="14"/>
      <c r="D189" s="14"/>
      <c r="E189" s="14"/>
      <c r="F189" s="14"/>
      <c r="G189" s="14"/>
      <c r="H189" s="14"/>
      <c r="I189" s="14"/>
      <c r="J189" s="14"/>
      <c r="K189" s="48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42" ht="15.75">
      <c r="A190" s="35" t="s">
        <v>443</v>
      </c>
      <c r="B190" s="15"/>
      <c r="C190" s="14"/>
      <c r="D190" s="14"/>
      <c r="E190" s="14"/>
      <c r="F190" s="14"/>
      <c r="G190" s="14"/>
      <c r="H190" s="14"/>
      <c r="I190" s="14"/>
      <c r="J190" s="14"/>
      <c r="K190" s="48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>
        <v>1944</v>
      </c>
      <c r="Z190" s="14">
        <v>5907</v>
      </c>
      <c r="AA190" s="14">
        <v>6841</v>
      </c>
      <c r="AB190" s="14">
        <v>3500</v>
      </c>
      <c r="AC190" s="14"/>
      <c r="AD190" s="14">
        <v>4861</v>
      </c>
      <c r="AE190" s="14"/>
      <c r="AF190" s="14"/>
      <c r="AG190" s="14">
        <v>3482</v>
      </c>
      <c r="AJ190" s="14">
        <v>-1946</v>
      </c>
      <c r="AK190" s="14">
        <v>6633</v>
      </c>
      <c r="AL190" s="14">
        <v>6633</v>
      </c>
      <c r="AN190" s="100">
        <v>0</v>
      </c>
      <c r="AO190" s="100">
        <v>0</v>
      </c>
      <c r="AP190" s="100">
        <v>0</v>
      </c>
    </row>
    <row r="191" spans="1:33" ht="15.75">
      <c r="A191" s="15" t="s">
        <v>394</v>
      </c>
      <c r="B191" s="15" t="s">
        <v>357</v>
      </c>
      <c r="C191" s="14"/>
      <c r="D191" s="14"/>
      <c r="E191" s="14"/>
      <c r="F191" s="14"/>
      <c r="G191" s="14"/>
      <c r="H191" s="14"/>
      <c r="I191" s="14"/>
      <c r="J191" s="14"/>
      <c r="K191" s="48">
        <v>0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ht="15.75">
      <c r="A192" s="35" t="s">
        <v>443</v>
      </c>
      <c r="B192" s="15" t="s">
        <v>357</v>
      </c>
      <c r="C192" s="14"/>
      <c r="D192" s="14"/>
      <c r="E192" s="14"/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/>
      <c r="R192" s="39"/>
      <c r="S192" s="39"/>
      <c r="T192" s="14">
        <v>250</v>
      </c>
      <c r="U192" s="14">
        <v>1029</v>
      </c>
      <c r="V192" s="14"/>
      <c r="W192" s="14"/>
      <c r="X192" s="14"/>
      <c r="Y192" s="14">
        <v>2397</v>
      </c>
      <c r="Z192" s="14"/>
      <c r="AA192" s="14"/>
      <c r="AB192" s="14"/>
      <c r="AC192" s="14"/>
      <c r="AD192" s="14"/>
      <c r="AE192" s="14"/>
      <c r="AF192" s="14"/>
      <c r="AG192" s="14"/>
    </row>
    <row r="193" spans="1:42" ht="15.75">
      <c r="A193" s="35" t="s">
        <v>9</v>
      </c>
      <c r="B193" s="15" t="s">
        <v>357</v>
      </c>
      <c r="C193" s="43"/>
      <c r="D193" s="43"/>
      <c r="E193" s="43"/>
      <c r="F193" s="38">
        <f aca="true" t="shared" si="88" ref="F193:U193">F192</f>
        <v>0</v>
      </c>
      <c r="G193" s="38">
        <f t="shared" si="88"/>
        <v>0</v>
      </c>
      <c r="H193" s="38">
        <f t="shared" si="88"/>
        <v>0</v>
      </c>
      <c r="I193" s="38">
        <f t="shared" si="88"/>
        <v>0</v>
      </c>
      <c r="J193" s="38">
        <f t="shared" si="88"/>
        <v>0</v>
      </c>
      <c r="K193" s="38">
        <f t="shared" si="88"/>
        <v>0</v>
      </c>
      <c r="L193" s="38">
        <f t="shared" si="88"/>
        <v>0</v>
      </c>
      <c r="M193" s="38">
        <f t="shared" si="88"/>
        <v>0</v>
      </c>
      <c r="N193" s="38">
        <f t="shared" si="88"/>
        <v>0</v>
      </c>
      <c r="O193" s="38">
        <f t="shared" si="88"/>
        <v>0</v>
      </c>
      <c r="P193" s="38">
        <f t="shared" si="88"/>
        <v>0</v>
      </c>
      <c r="Q193" s="39"/>
      <c r="R193" s="39"/>
      <c r="S193" s="39"/>
      <c r="T193" s="38">
        <f t="shared" si="88"/>
        <v>250</v>
      </c>
      <c r="U193" s="38">
        <f t="shared" si="88"/>
        <v>1029</v>
      </c>
      <c r="V193" s="38">
        <f aca="true" t="shared" si="89" ref="V193:AG194">(V192)</f>
        <v>0</v>
      </c>
      <c r="W193" s="38">
        <f t="shared" si="89"/>
        <v>0</v>
      </c>
      <c r="X193" s="38">
        <f t="shared" si="89"/>
        <v>0</v>
      </c>
      <c r="Y193" s="38">
        <f aca="true" t="shared" si="90" ref="Y193:AG193">+Y190+Y192</f>
        <v>4341</v>
      </c>
      <c r="Z193" s="38">
        <f t="shared" si="90"/>
        <v>5907</v>
      </c>
      <c r="AA193" s="38">
        <f t="shared" si="90"/>
        <v>6841</v>
      </c>
      <c r="AB193" s="38">
        <f t="shared" si="90"/>
        <v>3500</v>
      </c>
      <c r="AC193" s="38">
        <f t="shared" si="90"/>
        <v>0</v>
      </c>
      <c r="AD193" s="38">
        <f t="shared" si="90"/>
        <v>4861</v>
      </c>
      <c r="AE193" s="38">
        <f t="shared" si="90"/>
        <v>0</v>
      </c>
      <c r="AF193" s="38">
        <f t="shared" si="90"/>
        <v>0</v>
      </c>
      <c r="AG193" s="38">
        <f t="shared" si="90"/>
        <v>3482</v>
      </c>
      <c r="AH193" s="38">
        <f aca="true" t="shared" si="91" ref="AH193:AP193">+AH190+AH192</f>
        <v>0</v>
      </c>
      <c r="AI193" s="38">
        <f t="shared" si="91"/>
        <v>0</v>
      </c>
      <c r="AJ193" s="38">
        <f t="shared" si="91"/>
        <v>-1946</v>
      </c>
      <c r="AK193" s="38">
        <f t="shared" si="91"/>
        <v>6633</v>
      </c>
      <c r="AL193" s="109">
        <f t="shared" si="91"/>
        <v>6633</v>
      </c>
      <c r="AM193" s="109">
        <f t="shared" si="91"/>
        <v>0</v>
      </c>
      <c r="AN193" s="109">
        <f t="shared" si="91"/>
        <v>0</v>
      </c>
      <c r="AO193" s="109">
        <f t="shared" si="91"/>
        <v>0</v>
      </c>
      <c r="AP193" s="109">
        <f t="shared" si="91"/>
        <v>0</v>
      </c>
    </row>
    <row r="194" spans="1:42" ht="15.75">
      <c r="A194" s="35" t="s">
        <v>10</v>
      </c>
      <c r="B194" s="15" t="s">
        <v>357</v>
      </c>
      <c r="C194" s="14"/>
      <c r="D194" s="14"/>
      <c r="E194" s="14"/>
      <c r="F194" s="38">
        <f aca="true" t="shared" si="92" ref="F194:U194">F193</f>
        <v>0</v>
      </c>
      <c r="G194" s="38">
        <f t="shared" si="92"/>
        <v>0</v>
      </c>
      <c r="H194" s="38">
        <f t="shared" si="92"/>
        <v>0</v>
      </c>
      <c r="I194" s="38">
        <f t="shared" si="92"/>
        <v>0</v>
      </c>
      <c r="J194" s="38">
        <f t="shared" si="92"/>
        <v>0</v>
      </c>
      <c r="K194" s="38">
        <f t="shared" si="92"/>
        <v>0</v>
      </c>
      <c r="L194" s="38">
        <f t="shared" si="92"/>
        <v>0</v>
      </c>
      <c r="M194" s="38">
        <f t="shared" si="92"/>
        <v>0</v>
      </c>
      <c r="N194" s="38">
        <f t="shared" si="92"/>
        <v>0</v>
      </c>
      <c r="O194" s="38">
        <f t="shared" si="92"/>
        <v>0</v>
      </c>
      <c r="P194" s="38">
        <f t="shared" si="92"/>
        <v>0</v>
      </c>
      <c r="Q194" s="39"/>
      <c r="R194" s="39"/>
      <c r="S194" s="39"/>
      <c r="T194" s="38">
        <f t="shared" si="92"/>
        <v>250</v>
      </c>
      <c r="U194" s="38">
        <f t="shared" si="92"/>
        <v>1029</v>
      </c>
      <c r="V194" s="38">
        <f t="shared" si="89"/>
        <v>0</v>
      </c>
      <c r="W194" s="38">
        <f t="shared" si="89"/>
        <v>0</v>
      </c>
      <c r="X194" s="38">
        <f t="shared" si="89"/>
        <v>0</v>
      </c>
      <c r="Y194" s="38">
        <f t="shared" si="89"/>
        <v>4341</v>
      </c>
      <c r="Z194" s="38">
        <f t="shared" si="89"/>
        <v>5907</v>
      </c>
      <c r="AA194" s="38">
        <f t="shared" si="89"/>
        <v>6841</v>
      </c>
      <c r="AB194" s="38">
        <f t="shared" si="89"/>
        <v>3500</v>
      </c>
      <c r="AC194" s="38">
        <f t="shared" si="89"/>
        <v>0</v>
      </c>
      <c r="AD194" s="38">
        <f t="shared" si="89"/>
        <v>4861</v>
      </c>
      <c r="AE194" s="38">
        <f t="shared" si="89"/>
        <v>0</v>
      </c>
      <c r="AF194" s="38">
        <f t="shared" si="89"/>
        <v>0</v>
      </c>
      <c r="AG194" s="38">
        <f t="shared" si="89"/>
        <v>3482</v>
      </c>
      <c r="AH194" s="38">
        <f aca="true" t="shared" si="93" ref="AH194:AP194">(AH193)</f>
        <v>0</v>
      </c>
      <c r="AI194" s="38">
        <f t="shared" si="93"/>
        <v>0</v>
      </c>
      <c r="AJ194" s="38">
        <f t="shared" si="93"/>
        <v>-1946</v>
      </c>
      <c r="AK194" s="38">
        <f t="shared" si="93"/>
        <v>6633</v>
      </c>
      <c r="AL194" s="109">
        <f t="shared" si="93"/>
        <v>6633</v>
      </c>
      <c r="AM194" s="109">
        <f t="shared" si="93"/>
        <v>0</v>
      </c>
      <c r="AN194" s="109">
        <f t="shared" si="93"/>
        <v>0</v>
      </c>
      <c r="AO194" s="109">
        <f t="shared" si="93"/>
        <v>0</v>
      </c>
      <c r="AP194" s="109">
        <f t="shared" si="93"/>
        <v>0</v>
      </c>
    </row>
    <row r="195" spans="1:30" ht="15.75">
      <c r="A195" s="35"/>
      <c r="B195" s="15" t="s">
        <v>357</v>
      </c>
      <c r="C195" s="14"/>
      <c r="D195" s="14"/>
      <c r="E195" s="14"/>
      <c r="F195" s="14"/>
      <c r="G195" s="14"/>
      <c r="H195" s="14"/>
      <c r="I195" s="14"/>
      <c r="J195" s="14"/>
      <c r="K195" s="48">
        <v>0</v>
      </c>
      <c r="L195" s="14"/>
      <c r="M195" s="14"/>
      <c r="N195" s="14"/>
      <c r="O195" s="14"/>
      <c r="P195" s="14"/>
      <c r="Q195" s="39"/>
      <c r="R195" s="39"/>
      <c r="S195" s="39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</row>
    <row r="196" spans="1:30" ht="15.75">
      <c r="A196" s="49" t="s">
        <v>369</v>
      </c>
      <c r="B196" s="50"/>
      <c r="C196" s="16"/>
      <c r="D196" s="16"/>
      <c r="E196" s="16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42" ht="15.75">
      <c r="A197" s="35" t="s">
        <v>370</v>
      </c>
      <c r="B197" s="15" t="s">
        <v>357</v>
      </c>
      <c r="C197" s="14"/>
      <c r="D197" s="14"/>
      <c r="E197" s="14"/>
      <c r="F197" s="38">
        <f aca="true" t="shared" si="94" ref="F197:U197">F194+F185</f>
        <v>0</v>
      </c>
      <c r="G197" s="38">
        <f t="shared" si="94"/>
        <v>0</v>
      </c>
      <c r="H197" s="38">
        <f t="shared" si="94"/>
        <v>0</v>
      </c>
      <c r="I197" s="38">
        <f t="shared" si="94"/>
        <v>0</v>
      </c>
      <c r="J197" s="38">
        <f t="shared" si="94"/>
        <v>0</v>
      </c>
      <c r="K197" s="38">
        <f t="shared" si="94"/>
        <v>0</v>
      </c>
      <c r="L197" s="38">
        <f t="shared" si="94"/>
        <v>0</v>
      </c>
      <c r="M197" s="38">
        <f t="shared" si="94"/>
        <v>0</v>
      </c>
      <c r="N197" s="38">
        <f t="shared" si="94"/>
        <v>0</v>
      </c>
      <c r="O197" s="38">
        <f t="shared" si="94"/>
        <v>0</v>
      </c>
      <c r="P197" s="38">
        <f t="shared" si="94"/>
        <v>0</v>
      </c>
      <c r="Q197" s="39"/>
      <c r="R197" s="39"/>
      <c r="S197" s="39"/>
      <c r="T197" s="38">
        <f t="shared" si="94"/>
        <v>30870</v>
      </c>
      <c r="U197" s="38">
        <f t="shared" si="94"/>
        <v>41192</v>
      </c>
      <c r="V197" s="38">
        <f aca="true" t="shared" si="95" ref="V197:AA197">(V194+V185)</f>
        <v>44139</v>
      </c>
      <c r="W197" s="38">
        <f t="shared" si="95"/>
        <v>43627</v>
      </c>
      <c r="X197" s="38">
        <f t="shared" si="95"/>
        <v>41153</v>
      </c>
      <c r="Y197" s="38">
        <f t="shared" si="95"/>
        <v>46841</v>
      </c>
      <c r="Z197" s="38">
        <f t="shared" si="95"/>
        <v>45140</v>
      </c>
      <c r="AA197" s="38">
        <f t="shared" si="95"/>
        <v>46702</v>
      </c>
      <c r="AB197" s="38">
        <f aca="true" t="shared" si="96" ref="AB197:AH197">(AB194+AB185)</f>
        <v>39728</v>
      </c>
      <c r="AC197" s="38">
        <f t="shared" si="96"/>
        <v>36228</v>
      </c>
      <c r="AD197" s="38">
        <f t="shared" si="96"/>
        <v>40854</v>
      </c>
      <c r="AE197" s="38">
        <f t="shared" si="96"/>
        <v>44191</v>
      </c>
      <c r="AF197" s="38">
        <f t="shared" si="96"/>
        <v>37965.673</v>
      </c>
      <c r="AG197" s="38">
        <f>(AG194+AG185)</f>
        <v>41448.404</v>
      </c>
      <c r="AH197" s="38">
        <f t="shared" si="96"/>
        <v>46275</v>
      </c>
      <c r="AI197" s="38">
        <f aca="true" t="shared" si="97" ref="AI197:AP197">(AI194+AI185)</f>
        <v>47625</v>
      </c>
      <c r="AJ197" s="38">
        <f t="shared" si="97"/>
        <v>45679</v>
      </c>
      <c r="AK197" s="38">
        <f t="shared" si="97"/>
        <v>40640</v>
      </c>
      <c r="AL197" s="109">
        <f t="shared" si="97"/>
        <v>40640</v>
      </c>
      <c r="AM197" s="109">
        <f t="shared" si="97"/>
        <v>40155</v>
      </c>
      <c r="AN197" s="109">
        <f t="shared" si="97"/>
        <v>34138</v>
      </c>
      <c r="AO197" s="109">
        <f>(AO194+AO185)</f>
        <v>34020</v>
      </c>
      <c r="AP197" s="109">
        <f t="shared" si="97"/>
        <v>43000</v>
      </c>
    </row>
    <row r="198" spans="1:30" ht="15.75">
      <c r="A198" s="35"/>
      <c r="B198" s="15" t="s">
        <v>357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C198" s="14"/>
      <c r="AD198" s="14"/>
    </row>
    <row r="199" spans="1:30" ht="15.75">
      <c r="A199" s="34" t="s">
        <v>371</v>
      </c>
      <c r="B199" s="15" t="s">
        <v>357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C199" s="14"/>
      <c r="AD199" s="14"/>
    </row>
    <row r="200" spans="1:30" ht="15.75">
      <c r="A200" s="14"/>
      <c r="B200" s="15" t="s">
        <v>357</v>
      </c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C200" s="14"/>
      <c r="AD200" s="14"/>
    </row>
    <row r="201" spans="1:30" ht="15.75">
      <c r="A201" s="10" t="s">
        <v>101</v>
      </c>
      <c r="B201" s="15" t="s">
        <v>357</v>
      </c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C201" s="14"/>
      <c r="AD201" s="14"/>
    </row>
    <row r="202" spans="1:30" ht="15.75">
      <c r="A202" s="14"/>
      <c r="B202" s="15" t="s">
        <v>357</v>
      </c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C202" s="14"/>
      <c r="AD202" s="14"/>
    </row>
    <row r="203" spans="1:30" ht="15.75">
      <c r="A203" s="15" t="s">
        <v>102</v>
      </c>
      <c r="B203" s="15" t="s">
        <v>357</v>
      </c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C203" s="14"/>
      <c r="AD203" s="14"/>
    </row>
    <row r="204" spans="1:42" ht="15.75">
      <c r="A204" s="35" t="s">
        <v>372</v>
      </c>
      <c r="B204" s="15" t="s">
        <v>357</v>
      </c>
      <c r="C204" s="14">
        <v>320433</v>
      </c>
      <c r="D204" s="14">
        <v>375899</v>
      </c>
      <c r="E204" s="14">
        <v>418519</v>
      </c>
      <c r="F204" s="14">
        <v>469862</v>
      </c>
      <c r="G204" s="14">
        <v>516056</v>
      </c>
      <c r="H204" s="14">
        <v>507846</v>
      </c>
      <c r="I204" s="14">
        <v>371784</v>
      </c>
      <c r="J204" s="14">
        <v>377672</v>
      </c>
      <c r="K204" s="14">
        <v>416368</v>
      </c>
      <c r="L204" s="14">
        <v>412306</v>
      </c>
      <c r="M204" s="14">
        <v>430943</v>
      </c>
      <c r="N204" s="14">
        <v>447747</v>
      </c>
      <c r="O204" s="14">
        <v>451506</v>
      </c>
      <c r="P204" s="14">
        <v>501402</v>
      </c>
      <c r="Q204" s="14">
        <v>570690</v>
      </c>
      <c r="R204" s="14">
        <v>584194</v>
      </c>
      <c r="S204" s="14">
        <v>581087</v>
      </c>
      <c r="T204" s="14">
        <v>596985</v>
      </c>
      <c r="U204" s="14">
        <v>570507</v>
      </c>
      <c r="V204" s="14">
        <v>731296</v>
      </c>
      <c r="W204" s="14">
        <v>744701</v>
      </c>
      <c r="X204" s="14">
        <v>760358</v>
      </c>
      <c r="Y204" s="14">
        <v>797241</v>
      </c>
      <c r="Z204" s="14">
        <v>814626</v>
      </c>
      <c r="AA204" s="14">
        <f>884746-1946+850</f>
        <v>883650</v>
      </c>
      <c r="AB204" s="14">
        <f>914002-916+827</f>
        <v>913913</v>
      </c>
      <c r="AC204" s="14">
        <v>867338</v>
      </c>
      <c r="AD204" s="14">
        <v>919273</v>
      </c>
      <c r="AE204" s="14">
        <v>895505</v>
      </c>
      <c r="AF204" s="14">
        <v>937984.077</v>
      </c>
      <c r="AG204" s="14">
        <v>937984</v>
      </c>
      <c r="AH204" s="14">
        <v>919788</v>
      </c>
      <c r="AI204" s="14">
        <v>935464</v>
      </c>
      <c r="AJ204" s="14">
        <v>948564</v>
      </c>
      <c r="AK204" s="14">
        <v>976845</v>
      </c>
      <c r="AL204" s="70">
        <v>961345</v>
      </c>
      <c r="AM204" s="70">
        <v>944760</v>
      </c>
      <c r="AN204" s="70">
        <v>962676</v>
      </c>
      <c r="AO204" s="70">
        <f>982780+5270</f>
        <v>988050</v>
      </c>
      <c r="AP204" s="70">
        <v>974952</v>
      </c>
    </row>
    <row r="205" spans="1:42" ht="15.75" hidden="1" outlineLevel="1">
      <c r="A205" s="35" t="s">
        <v>451</v>
      </c>
      <c r="B205" s="15" t="s">
        <v>357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6400</v>
      </c>
      <c r="J205" s="14">
        <v>13000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70"/>
      <c r="AM205" s="70"/>
      <c r="AN205" s="70"/>
      <c r="AO205" s="70"/>
      <c r="AP205" s="70"/>
    </row>
    <row r="206" spans="1:42" ht="15.75" hidden="1" outlineLevel="1">
      <c r="A206" s="35" t="s">
        <v>168</v>
      </c>
      <c r="B206" s="15" t="s">
        <v>357</v>
      </c>
      <c r="C206" s="14">
        <v>0</v>
      </c>
      <c r="D206" s="14">
        <v>209541</v>
      </c>
      <c r="E206" s="14">
        <v>231048</v>
      </c>
      <c r="F206" s="14">
        <v>175627</v>
      </c>
      <c r="G206" s="14">
        <v>107001</v>
      </c>
      <c r="H206" s="16">
        <v>2196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04"/>
      <c r="AM206" s="104"/>
      <c r="AN206" s="104"/>
      <c r="AO206" s="104"/>
      <c r="AP206" s="104"/>
    </row>
    <row r="207" spans="1:42" ht="15.75" collapsed="1">
      <c r="A207" s="35" t="s">
        <v>344</v>
      </c>
      <c r="B207" s="15" t="s">
        <v>357</v>
      </c>
      <c r="C207" s="16">
        <f aca="true" t="shared" si="98" ref="C207:L207">SUM(C204:C206)</f>
        <v>320433</v>
      </c>
      <c r="D207" s="16">
        <f t="shared" si="98"/>
        <v>585440</v>
      </c>
      <c r="E207" s="16">
        <f t="shared" si="98"/>
        <v>649567</v>
      </c>
      <c r="F207" s="16">
        <f t="shared" si="98"/>
        <v>645489</v>
      </c>
      <c r="G207" s="16">
        <f t="shared" si="98"/>
        <v>623057</v>
      </c>
      <c r="H207" s="16">
        <f t="shared" si="98"/>
        <v>510042</v>
      </c>
      <c r="I207" s="16">
        <f t="shared" si="98"/>
        <v>378184</v>
      </c>
      <c r="J207" s="16">
        <f t="shared" si="98"/>
        <v>390672</v>
      </c>
      <c r="K207" s="43">
        <f t="shared" si="98"/>
        <v>416368</v>
      </c>
      <c r="L207" s="43">
        <f t="shared" si="98"/>
        <v>412306</v>
      </c>
      <c r="M207" s="43">
        <f aca="true" t="shared" si="99" ref="M207:U207">SUM(M204:M206)</f>
        <v>430943</v>
      </c>
      <c r="N207" s="43">
        <f t="shared" si="99"/>
        <v>447747</v>
      </c>
      <c r="O207" s="43">
        <f t="shared" si="99"/>
        <v>451506</v>
      </c>
      <c r="P207" s="43">
        <f t="shared" si="99"/>
        <v>501402</v>
      </c>
      <c r="Q207" s="43">
        <f t="shared" si="99"/>
        <v>570690</v>
      </c>
      <c r="R207" s="43">
        <f t="shared" si="99"/>
        <v>584194</v>
      </c>
      <c r="S207" s="43">
        <f t="shared" si="99"/>
        <v>581087</v>
      </c>
      <c r="T207" s="43">
        <f t="shared" si="99"/>
        <v>596985</v>
      </c>
      <c r="U207" s="43">
        <f t="shared" si="99"/>
        <v>570507</v>
      </c>
      <c r="V207" s="43">
        <f aca="true" t="shared" si="100" ref="V207:AG207">(SUM(V204:V206))</f>
        <v>731296</v>
      </c>
      <c r="W207" s="43">
        <f t="shared" si="100"/>
        <v>744701</v>
      </c>
      <c r="X207" s="43">
        <f t="shared" si="100"/>
        <v>760358</v>
      </c>
      <c r="Y207" s="43">
        <f t="shared" si="100"/>
        <v>797241</v>
      </c>
      <c r="Z207" s="43">
        <f t="shared" si="100"/>
        <v>814626</v>
      </c>
      <c r="AA207" s="43">
        <f t="shared" si="100"/>
        <v>883650</v>
      </c>
      <c r="AB207" s="43">
        <f t="shared" si="100"/>
        <v>913913</v>
      </c>
      <c r="AC207" s="43">
        <f t="shared" si="100"/>
        <v>867338</v>
      </c>
      <c r="AD207" s="43">
        <f t="shared" si="100"/>
        <v>919273</v>
      </c>
      <c r="AE207" s="43">
        <f t="shared" si="100"/>
        <v>895505</v>
      </c>
      <c r="AF207" s="43">
        <f t="shared" si="100"/>
        <v>937984.077</v>
      </c>
      <c r="AG207" s="43">
        <f t="shared" si="100"/>
        <v>937984</v>
      </c>
      <c r="AH207" s="43">
        <f aca="true" t="shared" si="101" ref="AH207:AP207">(SUM(AH204:AH206))</f>
        <v>919788</v>
      </c>
      <c r="AI207" s="43">
        <f t="shared" si="101"/>
        <v>935464</v>
      </c>
      <c r="AJ207" s="43">
        <f t="shared" si="101"/>
        <v>948564</v>
      </c>
      <c r="AK207" s="43">
        <f t="shared" si="101"/>
        <v>976845</v>
      </c>
      <c r="AL207" s="106">
        <f t="shared" si="101"/>
        <v>961345</v>
      </c>
      <c r="AM207" s="106">
        <f t="shared" si="101"/>
        <v>944760</v>
      </c>
      <c r="AN207" s="106">
        <f t="shared" si="101"/>
        <v>962676</v>
      </c>
      <c r="AO207" s="106">
        <f t="shared" si="101"/>
        <v>988050</v>
      </c>
      <c r="AP207" s="106">
        <f t="shared" si="101"/>
        <v>974952</v>
      </c>
    </row>
    <row r="208" spans="1:42" ht="15.75">
      <c r="A208" s="14"/>
      <c r="B208" s="15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110"/>
      <c r="AM208" s="110"/>
      <c r="AN208" s="110"/>
      <c r="AO208" s="110"/>
      <c r="AP208" s="110"/>
    </row>
    <row r="209" spans="1:42" ht="15.75">
      <c r="A209" s="35" t="s">
        <v>401</v>
      </c>
      <c r="B209" s="15" t="s">
        <v>357</v>
      </c>
      <c r="C209" s="14">
        <f aca="true" t="shared" si="102" ref="C209:U209">C207</f>
        <v>320433</v>
      </c>
      <c r="D209" s="14">
        <f t="shared" si="102"/>
        <v>585440</v>
      </c>
      <c r="E209" s="14">
        <f t="shared" si="102"/>
        <v>649567</v>
      </c>
      <c r="F209" s="14">
        <f t="shared" si="102"/>
        <v>645489</v>
      </c>
      <c r="G209" s="14">
        <f t="shared" si="102"/>
        <v>623057</v>
      </c>
      <c r="H209" s="14">
        <f t="shared" si="102"/>
        <v>510042</v>
      </c>
      <c r="I209" s="14">
        <f t="shared" si="102"/>
        <v>378184</v>
      </c>
      <c r="J209" s="14">
        <f t="shared" si="102"/>
        <v>390672</v>
      </c>
      <c r="K209" s="14">
        <f t="shared" si="102"/>
        <v>416368</v>
      </c>
      <c r="L209" s="14">
        <f t="shared" si="102"/>
        <v>412306</v>
      </c>
      <c r="M209" s="14">
        <f t="shared" si="102"/>
        <v>430943</v>
      </c>
      <c r="N209" s="14">
        <f t="shared" si="102"/>
        <v>447747</v>
      </c>
      <c r="O209" s="14">
        <f t="shared" si="102"/>
        <v>451506</v>
      </c>
      <c r="P209" s="14">
        <f t="shared" si="102"/>
        <v>501402</v>
      </c>
      <c r="Q209" s="14">
        <f t="shared" si="102"/>
        <v>570690</v>
      </c>
      <c r="R209" s="14">
        <f t="shared" si="102"/>
        <v>584194</v>
      </c>
      <c r="S209" s="14">
        <f t="shared" si="102"/>
        <v>581087</v>
      </c>
      <c r="T209" s="14">
        <f t="shared" si="102"/>
        <v>596985</v>
      </c>
      <c r="U209" s="14">
        <f t="shared" si="102"/>
        <v>570507</v>
      </c>
      <c r="V209" s="14">
        <f aca="true" t="shared" si="103" ref="V209:AD209">(V207)</f>
        <v>731296</v>
      </c>
      <c r="W209" s="14">
        <f t="shared" si="103"/>
        <v>744701</v>
      </c>
      <c r="X209" s="14">
        <f t="shared" si="103"/>
        <v>760358</v>
      </c>
      <c r="Y209" s="14">
        <f t="shared" si="103"/>
        <v>797241</v>
      </c>
      <c r="Z209" s="14">
        <f t="shared" si="103"/>
        <v>814626</v>
      </c>
      <c r="AA209" s="14">
        <f t="shared" si="103"/>
        <v>883650</v>
      </c>
      <c r="AB209" s="14">
        <f t="shared" si="103"/>
        <v>913913</v>
      </c>
      <c r="AC209" s="14">
        <f t="shared" si="103"/>
        <v>867338</v>
      </c>
      <c r="AD209" s="14">
        <f t="shared" si="103"/>
        <v>919273</v>
      </c>
      <c r="AE209" s="14">
        <f aca="true" t="shared" si="104" ref="AE209:AL209">(AE207)</f>
        <v>895505</v>
      </c>
      <c r="AF209" s="14">
        <f t="shared" si="104"/>
        <v>937984.077</v>
      </c>
      <c r="AG209" s="14">
        <f t="shared" si="104"/>
        <v>937984</v>
      </c>
      <c r="AH209" s="14">
        <f t="shared" si="104"/>
        <v>919788</v>
      </c>
      <c r="AI209" s="14">
        <f t="shared" si="104"/>
        <v>935464</v>
      </c>
      <c r="AJ209" s="14">
        <f>(AJ207)</f>
        <v>948564</v>
      </c>
      <c r="AK209" s="14">
        <f>(AK207)</f>
        <v>976845</v>
      </c>
      <c r="AL209" s="70">
        <f t="shared" si="104"/>
        <v>961345</v>
      </c>
      <c r="AM209" s="70">
        <f>(AM207)</f>
        <v>944760</v>
      </c>
      <c r="AN209" s="70">
        <f>(AN207)</f>
        <v>962676</v>
      </c>
      <c r="AO209" s="70">
        <f>(AO207)</f>
        <v>988050</v>
      </c>
      <c r="AP209" s="70">
        <f>(AP207)</f>
        <v>974952</v>
      </c>
    </row>
    <row r="210" spans="1:30" ht="15.75">
      <c r="A210" s="14"/>
      <c r="B210" s="15" t="s">
        <v>357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</row>
    <row r="211" spans="1:30" ht="15.75">
      <c r="A211" s="10" t="s">
        <v>402</v>
      </c>
      <c r="B211" s="15" t="s">
        <v>357</v>
      </c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</row>
    <row r="212" spans="1:30" ht="15.75">
      <c r="A212" s="14"/>
      <c r="B212" s="15" t="s">
        <v>357</v>
      </c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</row>
    <row r="213" spans="1:30" ht="15.75">
      <c r="A213" s="15" t="s">
        <v>394</v>
      </c>
      <c r="B213" s="15" t="s">
        <v>357</v>
      </c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</row>
    <row r="214" spans="1:42" ht="15.75">
      <c r="A214" s="35" t="s">
        <v>1</v>
      </c>
      <c r="B214" s="1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M214" s="70">
        <v>6159</v>
      </c>
      <c r="AN214" s="70">
        <v>6159</v>
      </c>
      <c r="AO214" s="70">
        <v>6159</v>
      </c>
      <c r="AP214" s="70"/>
    </row>
    <row r="215" spans="1:30" ht="14.25" customHeight="1" hidden="1">
      <c r="A215" s="35" t="s">
        <v>372</v>
      </c>
      <c r="B215" s="15" t="s">
        <v>357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250</v>
      </c>
      <c r="N215" s="14">
        <v>0</v>
      </c>
      <c r="O215" s="14">
        <v>250</v>
      </c>
      <c r="P215" s="14">
        <v>325</v>
      </c>
      <c r="Q215" s="14">
        <v>50</v>
      </c>
      <c r="R215" s="14">
        <v>0</v>
      </c>
      <c r="S215" s="14">
        <v>1800</v>
      </c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ht="15.75" hidden="1" outlineLevel="1">
      <c r="A216" s="35" t="s">
        <v>286</v>
      </c>
      <c r="B216" s="15" t="s">
        <v>357</v>
      </c>
      <c r="C216" s="14">
        <v>2</v>
      </c>
      <c r="D216" s="14">
        <v>3</v>
      </c>
      <c r="E216" s="14">
        <v>3</v>
      </c>
      <c r="F216" s="14">
        <v>3</v>
      </c>
      <c r="G216" s="14">
        <v>2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15.75" hidden="1" outlineLevel="1" collapsed="1">
      <c r="A217" s="35" t="s">
        <v>169</v>
      </c>
      <c r="B217" s="15" t="s">
        <v>357</v>
      </c>
      <c r="C217" s="14"/>
      <c r="D217" s="14"/>
      <c r="E217" s="14"/>
      <c r="F217" s="14"/>
      <c r="G217" s="14"/>
      <c r="H217" s="14"/>
      <c r="I217" s="14"/>
      <c r="J217" s="14"/>
      <c r="K217" s="14" t="s">
        <v>357</v>
      </c>
      <c r="L217" s="14"/>
      <c r="M217" s="14"/>
      <c r="N217" s="14"/>
      <c r="O217" s="14"/>
      <c r="P217" s="14"/>
      <c r="Q217" s="14"/>
      <c r="R217" s="14">
        <v>0</v>
      </c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42" s="83" customFormat="1" ht="15.75" outlineLevel="1">
      <c r="A218" s="96" t="s">
        <v>162</v>
      </c>
      <c r="B218" s="17" t="s">
        <v>357</v>
      </c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>
        <v>81</v>
      </c>
      <c r="Y218" s="16">
        <v>96</v>
      </c>
      <c r="Z218" s="16">
        <v>102</v>
      </c>
      <c r="AA218" s="16">
        <v>72</v>
      </c>
      <c r="AB218" s="16">
        <v>81</v>
      </c>
      <c r="AC218" s="16">
        <v>50</v>
      </c>
      <c r="AD218" s="16">
        <v>50</v>
      </c>
      <c r="AE218" s="16">
        <v>48</v>
      </c>
      <c r="AF218" s="16">
        <v>48</v>
      </c>
      <c r="AG218" s="16">
        <v>66</v>
      </c>
      <c r="AH218" s="16">
        <v>48</v>
      </c>
      <c r="AI218" s="16">
        <v>55</v>
      </c>
      <c r="AJ218" s="16">
        <v>81</v>
      </c>
      <c r="AK218" s="16">
        <v>88</v>
      </c>
      <c r="AL218" s="104">
        <v>88</v>
      </c>
      <c r="AM218" s="104">
        <v>50</v>
      </c>
      <c r="AN218" s="104">
        <v>61</v>
      </c>
      <c r="AO218" s="104">
        <v>61</v>
      </c>
      <c r="AP218" s="104">
        <v>51</v>
      </c>
    </row>
    <row r="219" spans="1:42" ht="15.75" outlineLevel="1">
      <c r="A219" s="35" t="s">
        <v>380</v>
      </c>
      <c r="B219" s="15" t="s">
        <v>357</v>
      </c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>
        <v>84</v>
      </c>
      <c r="W219" s="14">
        <v>63</v>
      </c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70"/>
      <c r="AM219" s="70"/>
      <c r="AN219" s="70"/>
      <c r="AO219" s="70"/>
      <c r="AP219" s="70"/>
    </row>
    <row r="220" spans="1:42" ht="15.75" hidden="1" collapsed="1">
      <c r="A220" s="35" t="s">
        <v>381</v>
      </c>
      <c r="B220" s="15" t="s">
        <v>357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42</v>
      </c>
      <c r="O220" s="16">
        <v>58</v>
      </c>
      <c r="P220" s="16">
        <v>53</v>
      </c>
      <c r="Q220" s="16">
        <v>41</v>
      </c>
      <c r="R220" s="16">
        <v>44</v>
      </c>
      <c r="S220" s="16">
        <v>38</v>
      </c>
      <c r="T220" s="16">
        <v>25</v>
      </c>
      <c r="U220" s="16">
        <v>17</v>
      </c>
      <c r="V220" s="16">
        <v>11</v>
      </c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04"/>
      <c r="AM220" s="104"/>
      <c r="AN220" s="104"/>
      <c r="AO220" s="104"/>
      <c r="AP220" s="104"/>
    </row>
    <row r="221" spans="1:42" ht="15.75">
      <c r="A221" s="35" t="s">
        <v>9</v>
      </c>
      <c r="B221" s="15" t="s">
        <v>357</v>
      </c>
      <c r="C221" s="14">
        <f aca="true" t="shared" si="105" ref="C221:L221">SUM(C215:C220)</f>
        <v>2</v>
      </c>
      <c r="D221" s="14">
        <f t="shared" si="105"/>
        <v>3</v>
      </c>
      <c r="E221" s="14">
        <f t="shared" si="105"/>
        <v>3</v>
      </c>
      <c r="F221" s="14">
        <f t="shared" si="105"/>
        <v>3</v>
      </c>
      <c r="G221" s="14">
        <f t="shared" si="105"/>
        <v>2</v>
      </c>
      <c r="H221" s="14">
        <f t="shared" si="105"/>
        <v>0</v>
      </c>
      <c r="I221" s="14">
        <f t="shared" si="105"/>
        <v>0</v>
      </c>
      <c r="J221" s="14">
        <f t="shared" si="105"/>
        <v>0</v>
      </c>
      <c r="K221" s="14">
        <f t="shared" si="105"/>
        <v>0</v>
      </c>
      <c r="L221" s="14">
        <f t="shared" si="105"/>
        <v>0</v>
      </c>
      <c r="M221" s="14">
        <f aca="true" t="shared" si="106" ref="M221:U221">SUM(M215:M220)</f>
        <v>250</v>
      </c>
      <c r="N221" s="14">
        <f t="shared" si="106"/>
        <v>42</v>
      </c>
      <c r="O221" s="14">
        <f t="shared" si="106"/>
        <v>308</v>
      </c>
      <c r="P221" s="14">
        <f t="shared" si="106"/>
        <v>378</v>
      </c>
      <c r="Q221" s="14">
        <f t="shared" si="106"/>
        <v>91</v>
      </c>
      <c r="R221" s="14">
        <f t="shared" si="106"/>
        <v>44</v>
      </c>
      <c r="S221" s="14">
        <f t="shared" si="106"/>
        <v>1838</v>
      </c>
      <c r="T221" s="14">
        <f t="shared" si="106"/>
        <v>25</v>
      </c>
      <c r="U221" s="14">
        <f t="shared" si="106"/>
        <v>17</v>
      </c>
      <c r="V221" s="14">
        <f aca="true" t="shared" si="107" ref="V221:AG221">(SUM(V215:V220))</f>
        <v>95</v>
      </c>
      <c r="W221" s="43">
        <f t="shared" si="107"/>
        <v>63</v>
      </c>
      <c r="X221" s="43">
        <f t="shared" si="107"/>
        <v>81</v>
      </c>
      <c r="Y221" s="43">
        <f t="shared" si="107"/>
        <v>96</v>
      </c>
      <c r="Z221" s="43">
        <f t="shared" si="107"/>
        <v>102</v>
      </c>
      <c r="AA221" s="43">
        <f t="shared" si="107"/>
        <v>72</v>
      </c>
      <c r="AB221" s="43">
        <f t="shared" si="107"/>
        <v>81</v>
      </c>
      <c r="AC221" s="43">
        <f t="shared" si="107"/>
        <v>50</v>
      </c>
      <c r="AD221" s="43">
        <f t="shared" si="107"/>
        <v>50</v>
      </c>
      <c r="AE221" s="43">
        <f t="shared" si="107"/>
        <v>48</v>
      </c>
      <c r="AF221" s="43">
        <f t="shared" si="107"/>
        <v>48</v>
      </c>
      <c r="AG221" s="43">
        <f t="shared" si="107"/>
        <v>66</v>
      </c>
      <c r="AH221" s="43">
        <f>(SUM(AH215:AH220))</f>
        <v>48</v>
      </c>
      <c r="AI221" s="43">
        <f>(SUM(AI215:AI220))</f>
        <v>55</v>
      </c>
      <c r="AJ221" s="43">
        <f>(SUM(AJ215:AJ220))</f>
        <v>81</v>
      </c>
      <c r="AK221" s="43">
        <f>(SUM(AK215:AK220))</f>
        <v>88</v>
      </c>
      <c r="AL221" s="106">
        <f>(SUM(AL215:AL220))</f>
        <v>88</v>
      </c>
      <c r="AM221" s="106">
        <f>(SUM(AM214:AM220))</f>
        <v>6209</v>
      </c>
      <c r="AN221" s="106">
        <f>(SUM(AN214:AN220))</f>
        <v>6220</v>
      </c>
      <c r="AO221" s="106">
        <f>(SUM(AO214:AO220))</f>
        <v>6220</v>
      </c>
      <c r="AP221" s="106">
        <f>(SUM(AP214:AP220))</f>
        <v>51</v>
      </c>
    </row>
    <row r="222" spans="1:42" ht="15.75">
      <c r="A222" s="14"/>
      <c r="B222" s="15" t="s">
        <v>357</v>
      </c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70"/>
      <c r="AM222" s="70"/>
      <c r="AN222" s="70"/>
      <c r="AO222" s="70"/>
      <c r="AP222" s="70"/>
    </row>
    <row r="223" spans="1:42" ht="15.75">
      <c r="A223" s="15" t="s">
        <v>316</v>
      </c>
      <c r="B223" s="15" t="s">
        <v>357</v>
      </c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70"/>
      <c r="AM223" s="70"/>
      <c r="AN223" s="70"/>
      <c r="AO223" s="70"/>
      <c r="AP223" s="70"/>
    </row>
    <row r="224" spans="1:42" ht="15.75">
      <c r="A224" s="35" t="s">
        <v>444</v>
      </c>
      <c r="B224" s="15" t="s">
        <v>357</v>
      </c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>
        <v>1028</v>
      </c>
      <c r="Y224" s="14">
        <v>317</v>
      </c>
      <c r="Z224" s="14">
        <v>776</v>
      </c>
      <c r="AA224" s="14">
        <v>1233</v>
      </c>
      <c r="AB224" s="14">
        <v>666</v>
      </c>
      <c r="AC224" s="14">
        <v>738</v>
      </c>
      <c r="AD224" s="14">
        <v>738</v>
      </c>
      <c r="AE224" s="14">
        <v>737</v>
      </c>
      <c r="AF224" s="14">
        <v>737</v>
      </c>
      <c r="AG224" s="14">
        <v>1629</v>
      </c>
      <c r="AH224" s="14">
        <v>737</v>
      </c>
      <c r="AI224" s="14">
        <v>750</v>
      </c>
      <c r="AJ224" s="14">
        <v>2272</v>
      </c>
      <c r="AK224" s="14">
        <v>2399</v>
      </c>
      <c r="AL224" s="70">
        <v>2399</v>
      </c>
      <c r="AM224" s="70">
        <v>1394</v>
      </c>
      <c r="AN224" s="70">
        <v>1408</v>
      </c>
      <c r="AO224" s="70">
        <v>1408</v>
      </c>
      <c r="AP224" s="70">
        <v>1045</v>
      </c>
    </row>
    <row r="225" spans="1:30" ht="15" customHeight="1">
      <c r="A225" s="35" t="s">
        <v>220</v>
      </c>
      <c r="B225" s="15" t="s">
        <v>357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39">
        <v>0</v>
      </c>
      <c r="I225" s="39">
        <v>0</v>
      </c>
      <c r="J225" s="39">
        <v>0</v>
      </c>
      <c r="K225" s="39">
        <v>50</v>
      </c>
      <c r="L225" s="39">
        <v>0</v>
      </c>
      <c r="M225" s="39">
        <v>261</v>
      </c>
      <c r="N225" s="39">
        <v>73</v>
      </c>
      <c r="O225" s="39">
        <v>140</v>
      </c>
      <c r="P225" s="39">
        <v>99</v>
      </c>
      <c r="Q225" s="39">
        <v>162</v>
      </c>
      <c r="R225" s="39">
        <v>185</v>
      </c>
      <c r="S225" s="39">
        <v>24</v>
      </c>
      <c r="T225" s="39">
        <v>165</v>
      </c>
      <c r="U225" s="39">
        <v>311</v>
      </c>
      <c r="V225" s="39">
        <v>311</v>
      </c>
      <c r="W225" s="39">
        <v>1575</v>
      </c>
      <c r="X225" s="39"/>
      <c r="Y225" s="39"/>
      <c r="Z225" s="39"/>
      <c r="AA225" s="39"/>
      <c r="AB225" s="39"/>
      <c r="AC225" s="39"/>
      <c r="AD225" s="39"/>
    </row>
    <row r="226" spans="1:42" ht="15.75">
      <c r="A226" s="35" t="s">
        <v>59</v>
      </c>
      <c r="B226" s="15" t="s">
        <v>357</v>
      </c>
      <c r="C226" s="14"/>
      <c r="D226" s="14"/>
      <c r="E226" s="14"/>
      <c r="F226" s="14"/>
      <c r="G226" s="14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>
        <v>293</v>
      </c>
      <c r="W226" s="16">
        <v>425</v>
      </c>
      <c r="X226" s="16"/>
      <c r="Y226" s="16"/>
      <c r="Z226" s="16"/>
      <c r="AA226" s="16"/>
      <c r="AB226" s="16"/>
      <c r="AC226" s="16"/>
      <c r="AD226" s="16"/>
      <c r="AE226" s="83"/>
      <c r="AF226" s="83"/>
      <c r="AG226" s="83"/>
      <c r="AH226" s="83"/>
      <c r="AI226" s="83"/>
      <c r="AJ226" s="83"/>
      <c r="AK226" s="83"/>
      <c r="AL226" s="111"/>
      <c r="AM226" s="111"/>
      <c r="AN226" s="111"/>
      <c r="AO226" s="111"/>
      <c r="AP226" s="111"/>
    </row>
    <row r="227" spans="1:42" ht="15.75">
      <c r="A227" s="35" t="s">
        <v>251</v>
      </c>
      <c r="B227" s="15" t="s">
        <v>357</v>
      </c>
      <c r="C227" s="43">
        <v>0</v>
      </c>
      <c r="D227" s="43">
        <v>0</v>
      </c>
      <c r="E227" s="43">
        <v>0</v>
      </c>
      <c r="F227" s="43">
        <v>0</v>
      </c>
      <c r="G227" s="43">
        <v>0</v>
      </c>
      <c r="H227" s="16">
        <v>0</v>
      </c>
      <c r="I227" s="16">
        <v>0</v>
      </c>
      <c r="J227" s="16">
        <f>SUM(J225:J226)</f>
        <v>0</v>
      </c>
      <c r="K227" s="16">
        <f aca="true" t="shared" si="108" ref="K227:W227">SUM(K225:K226)</f>
        <v>50</v>
      </c>
      <c r="L227" s="16">
        <f t="shared" si="108"/>
        <v>0</v>
      </c>
      <c r="M227" s="16">
        <f t="shared" si="108"/>
        <v>261</v>
      </c>
      <c r="N227" s="16">
        <f t="shared" si="108"/>
        <v>73</v>
      </c>
      <c r="O227" s="16">
        <f t="shared" si="108"/>
        <v>140</v>
      </c>
      <c r="P227" s="16">
        <f t="shared" si="108"/>
        <v>99</v>
      </c>
      <c r="Q227" s="16">
        <f t="shared" si="108"/>
        <v>162</v>
      </c>
      <c r="R227" s="16">
        <f t="shared" si="108"/>
        <v>185</v>
      </c>
      <c r="S227" s="16">
        <f t="shared" si="108"/>
        <v>24</v>
      </c>
      <c r="T227" s="16">
        <f t="shared" si="108"/>
        <v>165</v>
      </c>
      <c r="U227" s="16">
        <f t="shared" si="108"/>
        <v>311</v>
      </c>
      <c r="V227" s="16">
        <f t="shared" si="108"/>
        <v>604</v>
      </c>
      <c r="W227" s="16">
        <f t="shared" si="108"/>
        <v>2000</v>
      </c>
      <c r="X227" s="16">
        <f aca="true" t="shared" si="109" ref="X227:AG227">SUM(X224:X226)</f>
        <v>1028</v>
      </c>
      <c r="Y227" s="16">
        <f t="shared" si="109"/>
        <v>317</v>
      </c>
      <c r="Z227" s="16">
        <f t="shared" si="109"/>
        <v>776</v>
      </c>
      <c r="AA227" s="16">
        <f t="shared" si="109"/>
        <v>1233</v>
      </c>
      <c r="AB227" s="16">
        <f t="shared" si="109"/>
        <v>666</v>
      </c>
      <c r="AC227" s="16">
        <f t="shared" si="109"/>
        <v>738</v>
      </c>
      <c r="AD227" s="16">
        <f t="shared" si="109"/>
        <v>738</v>
      </c>
      <c r="AE227" s="16">
        <f t="shared" si="109"/>
        <v>737</v>
      </c>
      <c r="AF227" s="16">
        <f t="shared" si="109"/>
        <v>737</v>
      </c>
      <c r="AG227" s="16">
        <f t="shared" si="109"/>
        <v>1629</v>
      </c>
      <c r="AH227" s="16">
        <f aca="true" t="shared" si="110" ref="AH227:AP227">SUM(AH224:AH226)</f>
        <v>737</v>
      </c>
      <c r="AI227" s="16">
        <f t="shared" si="110"/>
        <v>750</v>
      </c>
      <c r="AJ227" s="16">
        <f t="shared" si="110"/>
        <v>2272</v>
      </c>
      <c r="AK227" s="16">
        <f t="shared" si="110"/>
        <v>2399</v>
      </c>
      <c r="AL227" s="104">
        <f t="shared" si="110"/>
        <v>2399</v>
      </c>
      <c r="AM227" s="104">
        <f t="shared" si="110"/>
        <v>1394</v>
      </c>
      <c r="AN227" s="104">
        <f t="shared" si="110"/>
        <v>1408</v>
      </c>
      <c r="AO227" s="104">
        <f t="shared" si="110"/>
        <v>1408</v>
      </c>
      <c r="AP227" s="104">
        <f t="shared" si="110"/>
        <v>1045</v>
      </c>
    </row>
    <row r="228" spans="1:42" ht="15.75">
      <c r="A228" s="14"/>
      <c r="B228" s="15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110"/>
      <c r="AM228" s="110"/>
      <c r="AN228" s="110"/>
      <c r="AO228" s="110"/>
      <c r="AP228" s="110"/>
    </row>
    <row r="229" spans="1:42" ht="15.75">
      <c r="A229" s="35" t="s">
        <v>10</v>
      </c>
      <c r="B229" s="15" t="s">
        <v>357</v>
      </c>
      <c r="C229" s="16">
        <f aca="true" t="shared" si="111" ref="C229:L229">C221+C227</f>
        <v>2</v>
      </c>
      <c r="D229" s="16">
        <f t="shared" si="111"/>
        <v>3</v>
      </c>
      <c r="E229" s="16">
        <f t="shared" si="111"/>
        <v>3</v>
      </c>
      <c r="F229" s="16">
        <f t="shared" si="111"/>
        <v>3</v>
      </c>
      <c r="G229" s="16">
        <f t="shared" si="111"/>
        <v>2</v>
      </c>
      <c r="H229" s="16">
        <f t="shared" si="111"/>
        <v>0</v>
      </c>
      <c r="I229" s="16">
        <f t="shared" si="111"/>
        <v>0</v>
      </c>
      <c r="J229" s="16">
        <f t="shared" si="111"/>
        <v>0</v>
      </c>
      <c r="K229" s="16">
        <f t="shared" si="111"/>
        <v>50</v>
      </c>
      <c r="L229" s="16">
        <f t="shared" si="111"/>
        <v>0</v>
      </c>
      <c r="M229" s="16">
        <f aca="true" t="shared" si="112" ref="M229:U229">M221+M227</f>
        <v>511</v>
      </c>
      <c r="N229" s="16">
        <f t="shared" si="112"/>
        <v>115</v>
      </c>
      <c r="O229" s="16">
        <f t="shared" si="112"/>
        <v>448</v>
      </c>
      <c r="P229" s="16">
        <f t="shared" si="112"/>
        <v>477</v>
      </c>
      <c r="Q229" s="16">
        <f t="shared" si="112"/>
        <v>253</v>
      </c>
      <c r="R229" s="16">
        <f t="shared" si="112"/>
        <v>229</v>
      </c>
      <c r="S229" s="16">
        <f t="shared" si="112"/>
        <v>1862</v>
      </c>
      <c r="T229" s="16">
        <f t="shared" si="112"/>
        <v>190</v>
      </c>
      <c r="U229" s="16">
        <f t="shared" si="112"/>
        <v>328</v>
      </c>
      <c r="V229" s="16">
        <f aca="true" t="shared" si="113" ref="V229:AC229">(V221+V227)</f>
        <v>699</v>
      </c>
      <c r="W229" s="16">
        <f t="shared" si="113"/>
        <v>2063</v>
      </c>
      <c r="X229" s="16">
        <f t="shared" si="113"/>
        <v>1109</v>
      </c>
      <c r="Y229" s="16">
        <f t="shared" si="113"/>
        <v>413</v>
      </c>
      <c r="Z229" s="16">
        <f t="shared" si="113"/>
        <v>878</v>
      </c>
      <c r="AA229" s="16">
        <f t="shared" si="113"/>
        <v>1305</v>
      </c>
      <c r="AB229" s="16">
        <f t="shared" si="113"/>
        <v>747</v>
      </c>
      <c r="AC229" s="16">
        <f t="shared" si="113"/>
        <v>788</v>
      </c>
      <c r="AD229" s="16">
        <f aca="true" t="shared" si="114" ref="AD229:AL229">(AD221+AD227)</f>
        <v>788</v>
      </c>
      <c r="AE229" s="16">
        <f t="shared" si="114"/>
        <v>785</v>
      </c>
      <c r="AF229" s="16">
        <f t="shared" si="114"/>
        <v>785</v>
      </c>
      <c r="AG229" s="16">
        <f t="shared" si="114"/>
        <v>1695</v>
      </c>
      <c r="AH229" s="16">
        <f t="shared" si="114"/>
        <v>785</v>
      </c>
      <c r="AI229" s="16">
        <f t="shared" si="114"/>
        <v>805</v>
      </c>
      <c r="AJ229" s="16">
        <f>(AJ221+AJ227)</f>
        <v>2353</v>
      </c>
      <c r="AK229" s="16">
        <f>(AK221+AK227)</f>
        <v>2487</v>
      </c>
      <c r="AL229" s="104">
        <f t="shared" si="114"/>
        <v>2487</v>
      </c>
      <c r="AM229" s="104">
        <f>(AM221+AM227)</f>
        <v>7603</v>
      </c>
      <c r="AN229" s="104">
        <f>(AN221+AN227)</f>
        <v>7628</v>
      </c>
      <c r="AO229" s="104">
        <f>(AO221+AO227)</f>
        <v>7628</v>
      </c>
      <c r="AP229" s="104">
        <f>(AP221+AP227)</f>
        <v>1096</v>
      </c>
    </row>
    <row r="230" spans="1:42" ht="15.75">
      <c r="A230" s="14"/>
      <c r="B230" s="15" t="s">
        <v>357</v>
      </c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70"/>
      <c r="AM230" s="70"/>
      <c r="AN230" s="70"/>
      <c r="AO230" s="70"/>
      <c r="AP230" s="70"/>
    </row>
    <row r="231" spans="1:42" ht="15.75">
      <c r="A231" s="35" t="s">
        <v>20</v>
      </c>
      <c r="B231" s="15" t="s">
        <v>357</v>
      </c>
      <c r="C231" s="14">
        <f aca="true" t="shared" si="115" ref="C231:L231">C209+C229</f>
        <v>320435</v>
      </c>
      <c r="D231" s="14">
        <f t="shared" si="115"/>
        <v>585443</v>
      </c>
      <c r="E231" s="14">
        <f t="shared" si="115"/>
        <v>649570</v>
      </c>
      <c r="F231" s="14">
        <f t="shared" si="115"/>
        <v>645492</v>
      </c>
      <c r="G231" s="14">
        <f t="shared" si="115"/>
        <v>623059</v>
      </c>
      <c r="H231" s="14">
        <f t="shared" si="115"/>
        <v>510042</v>
      </c>
      <c r="I231" s="14">
        <f t="shared" si="115"/>
        <v>378184</v>
      </c>
      <c r="J231" s="14">
        <f t="shared" si="115"/>
        <v>390672</v>
      </c>
      <c r="K231" s="14">
        <f t="shared" si="115"/>
        <v>416418</v>
      </c>
      <c r="L231" s="14">
        <f t="shared" si="115"/>
        <v>412306</v>
      </c>
      <c r="M231" s="14">
        <f aca="true" t="shared" si="116" ref="M231:U231">M209+M229</f>
        <v>431454</v>
      </c>
      <c r="N231" s="14">
        <f t="shared" si="116"/>
        <v>447862</v>
      </c>
      <c r="O231" s="14">
        <f t="shared" si="116"/>
        <v>451954</v>
      </c>
      <c r="P231" s="14">
        <f t="shared" si="116"/>
        <v>501879</v>
      </c>
      <c r="Q231" s="14">
        <f t="shared" si="116"/>
        <v>570943</v>
      </c>
      <c r="R231" s="14">
        <f t="shared" si="116"/>
        <v>584423</v>
      </c>
      <c r="S231" s="14">
        <f t="shared" si="116"/>
        <v>582949</v>
      </c>
      <c r="T231" s="14">
        <f t="shared" si="116"/>
        <v>597175</v>
      </c>
      <c r="U231" s="14">
        <f t="shared" si="116"/>
        <v>570835</v>
      </c>
      <c r="V231" s="14">
        <f aca="true" t="shared" si="117" ref="V231:AC231">(V209+V229)</f>
        <v>731995</v>
      </c>
      <c r="W231" s="14">
        <f t="shared" si="117"/>
        <v>746764</v>
      </c>
      <c r="X231" s="14">
        <f t="shared" si="117"/>
        <v>761467</v>
      </c>
      <c r="Y231" s="14">
        <f t="shared" si="117"/>
        <v>797654</v>
      </c>
      <c r="Z231" s="14">
        <f t="shared" si="117"/>
        <v>815504</v>
      </c>
      <c r="AA231" s="14">
        <f t="shared" si="117"/>
        <v>884955</v>
      </c>
      <c r="AB231" s="14">
        <f t="shared" si="117"/>
        <v>914660</v>
      </c>
      <c r="AC231" s="14">
        <f t="shared" si="117"/>
        <v>868126</v>
      </c>
      <c r="AD231" s="14">
        <f aca="true" t="shared" si="118" ref="AD231:AL231">(AD209+AD229)</f>
        <v>920061</v>
      </c>
      <c r="AE231" s="14">
        <f t="shared" si="118"/>
        <v>896290</v>
      </c>
      <c r="AF231" s="14">
        <f t="shared" si="118"/>
        <v>938769.077</v>
      </c>
      <c r="AG231" s="14">
        <f t="shared" si="118"/>
        <v>939679</v>
      </c>
      <c r="AH231" s="14">
        <f t="shared" si="118"/>
        <v>920573</v>
      </c>
      <c r="AI231" s="14">
        <f t="shared" si="118"/>
        <v>936269</v>
      </c>
      <c r="AJ231" s="14">
        <f>(AJ209+AJ229)</f>
        <v>950917</v>
      </c>
      <c r="AK231" s="14">
        <f>(AK209+AK229)</f>
        <v>979332</v>
      </c>
      <c r="AL231" s="70">
        <f t="shared" si="118"/>
        <v>963832</v>
      </c>
      <c r="AM231" s="70">
        <f>(AM209+AM229)</f>
        <v>952363</v>
      </c>
      <c r="AN231" s="70">
        <f>(AN209+AN229)</f>
        <v>970304</v>
      </c>
      <c r="AO231" s="70">
        <f>(AO209+AO229)</f>
        <v>995678</v>
      </c>
      <c r="AP231" s="70">
        <f>(AP209+AP229)</f>
        <v>976048</v>
      </c>
    </row>
    <row r="232" spans="1:30" ht="15.75">
      <c r="A232" s="14"/>
      <c r="B232" s="15" t="s">
        <v>357</v>
      </c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C232" s="14"/>
      <c r="AD232" s="14"/>
    </row>
    <row r="233" spans="1:30" ht="15.75" hidden="1">
      <c r="A233" s="34" t="s">
        <v>21</v>
      </c>
      <c r="B233" s="15" t="s">
        <v>357</v>
      </c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C233" s="14"/>
      <c r="AD233" s="14"/>
    </row>
    <row r="234" spans="1:30" ht="9.75" customHeight="1" hidden="1">
      <c r="A234" s="14"/>
      <c r="B234" s="15" t="s">
        <v>357</v>
      </c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C234" s="14"/>
      <c r="AD234" s="14"/>
    </row>
    <row r="235" spans="1:30" ht="15.75" hidden="1">
      <c r="A235" s="10" t="s">
        <v>101</v>
      </c>
      <c r="B235" s="15" t="s">
        <v>357</v>
      </c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C235" s="14"/>
      <c r="AD235" s="14"/>
    </row>
    <row r="236" spans="1:30" ht="6" customHeight="1" hidden="1">
      <c r="A236" s="14"/>
      <c r="B236" s="15" t="s">
        <v>357</v>
      </c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C236" s="14"/>
      <c r="AD236" s="14"/>
    </row>
    <row r="237" spans="1:30" ht="15.75" hidden="1">
      <c r="A237" s="15" t="s">
        <v>102</v>
      </c>
      <c r="B237" s="15" t="s">
        <v>357</v>
      </c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C237" s="14"/>
      <c r="AD237" s="14"/>
    </row>
    <row r="238" spans="1:30" ht="15.75" hidden="1">
      <c r="A238" s="35" t="s">
        <v>410</v>
      </c>
      <c r="B238" s="15" t="s">
        <v>357</v>
      </c>
      <c r="C238" s="14">
        <v>133611</v>
      </c>
      <c r="D238" s="14">
        <v>138200</v>
      </c>
      <c r="E238" s="14">
        <v>148476</v>
      </c>
      <c r="F238" s="14">
        <v>134033</v>
      </c>
      <c r="G238" s="14">
        <v>142319</v>
      </c>
      <c r="H238" s="16">
        <v>150602</v>
      </c>
      <c r="I238" s="16">
        <v>144568</v>
      </c>
      <c r="J238" s="16">
        <v>136855</v>
      </c>
      <c r="K238" s="16">
        <v>135959</v>
      </c>
      <c r="L238" s="16">
        <v>127711</v>
      </c>
      <c r="M238" s="16">
        <v>140412</v>
      </c>
      <c r="N238" s="16">
        <v>146398</v>
      </c>
      <c r="O238" s="16">
        <v>159208</v>
      </c>
      <c r="P238" s="16">
        <v>178443</v>
      </c>
      <c r="Q238" s="16">
        <v>175225</v>
      </c>
      <c r="R238" s="16">
        <v>173477</v>
      </c>
      <c r="S238" s="16">
        <v>174235</v>
      </c>
      <c r="T238" s="16">
        <v>169436</v>
      </c>
      <c r="U238" s="16">
        <f>152427-289</f>
        <v>152138</v>
      </c>
      <c r="V238" s="16">
        <v>63911</v>
      </c>
      <c r="W238" s="16">
        <v>0</v>
      </c>
      <c r="X238" s="16">
        <v>-1605</v>
      </c>
      <c r="Y238" s="39"/>
      <c r="Z238" s="39"/>
      <c r="AA238" s="39"/>
      <c r="AB238" s="39"/>
      <c r="AC238" s="39"/>
      <c r="AD238" s="39"/>
    </row>
    <row r="239" spans="1:30" ht="15.75" hidden="1">
      <c r="A239" s="35" t="s">
        <v>411</v>
      </c>
      <c r="B239" s="15" t="s">
        <v>357</v>
      </c>
      <c r="C239" s="43">
        <f aca="true" t="shared" si="119" ref="C239:U239">C238</f>
        <v>133611</v>
      </c>
      <c r="D239" s="43">
        <f t="shared" si="119"/>
        <v>138200</v>
      </c>
      <c r="E239" s="43">
        <f t="shared" si="119"/>
        <v>148476</v>
      </c>
      <c r="F239" s="43">
        <f t="shared" si="119"/>
        <v>134033</v>
      </c>
      <c r="G239" s="43">
        <f t="shared" si="119"/>
        <v>142319</v>
      </c>
      <c r="H239" s="16">
        <f t="shared" si="119"/>
        <v>150602</v>
      </c>
      <c r="I239" s="16">
        <f t="shared" si="119"/>
        <v>144568</v>
      </c>
      <c r="J239" s="16">
        <f t="shared" si="119"/>
        <v>136855</v>
      </c>
      <c r="K239" s="16">
        <f t="shared" si="119"/>
        <v>135959</v>
      </c>
      <c r="L239" s="16">
        <f t="shared" si="119"/>
        <v>127711</v>
      </c>
      <c r="M239" s="16">
        <f t="shared" si="119"/>
        <v>140412</v>
      </c>
      <c r="N239" s="16">
        <f t="shared" si="119"/>
        <v>146398</v>
      </c>
      <c r="O239" s="16">
        <f t="shared" si="119"/>
        <v>159208</v>
      </c>
      <c r="P239" s="16">
        <f t="shared" si="119"/>
        <v>178443</v>
      </c>
      <c r="Q239" s="16">
        <f t="shared" si="119"/>
        <v>175225</v>
      </c>
      <c r="R239" s="16">
        <f t="shared" si="119"/>
        <v>173477</v>
      </c>
      <c r="S239" s="16">
        <f t="shared" si="119"/>
        <v>174235</v>
      </c>
      <c r="T239" s="16">
        <f t="shared" si="119"/>
        <v>169436</v>
      </c>
      <c r="U239" s="16">
        <f t="shared" si="119"/>
        <v>152138</v>
      </c>
      <c r="V239" s="16">
        <f>(V238)</f>
        <v>63911</v>
      </c>
      <c r="W239" s="16">
        <f>(W238)</f>
        <v>0</v>
      </c>
      <c r="X239" s="16">
        <f>(X238)</f>
        <v>-1605</v>
      </c>
      <c r="Y239" s="39"/>
      <c r="Z239" s="39"/>
      <c r="AA239" s="39"/>
      <c r="AB239" s="39"/>
      <c r="AC239" s="39"/>
      <c r="AD239" s="39"/>
    </row>
    <row r="240" spans="1:30" ht="15.75" hidden="1">
      <c r="A240" s="14"/>
      <c r="B240" s="15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15"/>
      <c r="T240" s="36"/>
      <c r="U240" s="36"/>
      <c r="V240" s="36"/>
      <c r="W240" s="36"/>
      <c r="X240" s="36"/>
      <c r="Y240" s="58"/>
      <c r="Z240" s="58"/>
      <c r="AA240" s="58"/>
      <c r="AB240" s="58"/>
      <c r="AC240" s="58"/>
      <c r="AD240" s="58"/>
    </row>
    <row r="241" spans="1:30" ht="15.75" hidden="1">
      <c r="A241" s="35" t="s">
        <v>412</v>
      </c>
      <c r="B241" s="15" t="s">
        <v>357</v>
      </c>
      <c r="C241" s="14">
        <f aca="true" t="shared" si="120" ref="C241:U241">C239</f>
        <v>133611</v>
      </c>
      <c r="D241" s="14">
        <f t="shared" si="120"/>
        <v>138200</v>
      </c>
      <c r="E241" s="14">
        <f t="shared" si="120"/>
        <v>148476</v>
      </c>
      <c r="F241" s="14">
        <f t="shared" si="120"/>
        <v>134033</v>
      </c>
      <c r="G241" s="14">
        <f t="shared" si="120"/>
        <v>142319</v>
      </c>
      <c r="H241" s="14">
        <f t="shared" si="120"/>
        <v>150602</v>
      </c>
      <c r="I241" s="14">
        <f t="shared" si="120"/>
        <v>144568</v>
      </c>
      <c r="J241" s="14">
        <f t="shared" si="120"/>
        <v>136855</v>
      </c>
      <c r="K241" s="14">
        <f t="shared" si="120"/>
        <v>135959</v>
      </c>
      <c r="L241" s="14">
        <f t="shared" si="120"/>
        <v>127711</v>
      </c>
      <c r="M241" s="14">
        <f t="shared" si="120"/>
        <v>140412</v>
      </c>
      <c r="N241" s="14">
        <f t="shared" si="120"/>
        <v>146398</v>
      </c>
      <c r="O241" s="14">
        <f t="shared" si="120"/>
        <v>159208</v>
      </c>
      <c r="P241" s="14">
        <f t="shared" si="120"/>
        <v>178443</v>
      </c>
      <c r="Q241" s="14">
        <f t="shared" si="120"/>
        <v>175225</v>
      </c>
      <c r="R241" s="14">
        <f t="shared" si="120"/>
        <v>173477</v>
      </c>
      <c r="S241" s="14">
        <f t="shared" si="120"/>
        <v>174235</v>
      </c>
      <c r="T241" s="14">
        <f t="shared" si="120"/>
        <v>169436</v>
      </c>
      <c r="U241" s="14">
        <f t="shared" si="120"/>
        <v>152138</v>
      </c>
      <c r="V241" s="14">
        <f>(V239)</f>
        <v>63911</v>
      </c>
      <c r="W241" s="14">
        <f>(W239)</f>
        <v>0</v>
      </c>
      <c r="X241" s="14">
        <f>(X239)</f>
        <v>-1605</v>
      </c>
      <c r="Y241" s="39"/>
      <c r="Z241" s="39"/>
      <c r="AA241" s="39"/>
      <c r="AB241" s="39"/>
      <c r="AC241" s="39"/>
      <c r="AD241" s="39"/>
    </row>
    <row r="242" spans="1:30" ht="7.5" customHeight="1" hidden="1">
      <c r="A242" s="14"/>
      <c r="B242" s="15" t="s">
        <v>357</v>
      </c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ht="15.75" hidden="1">
      <c r="A243" s="10" t="s">
        <v>402</v>
      </c>
      <c r="B243" s="15" t="s">
        <v>357</v>
      </c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ht="7.5" customHeight="1" hidden="1">
      <c r="A244" s="14"/>
      <c r="B244" s="15" t="s">
        <v>357</v>
      </c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ht="15.75" hidden="1">
      <c r="A245" s="15" t="s">
        <v>316</v>
      </c>
      <c r="B245" s="15" t="s">
        <v>357</v>
      </c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ht="15.75" hidden="1">
      <c r="A246" s="35" t="s">
        <v>220</v>
      </c>
      <c r="B246" s="15" t="s">
        <v>357</v>
      </c>
      <c r="C246" s="14">
        <v>452</v>
      </c>
      <c r="D246" s="14">
        <v>731</v>
      </c>
      <c r="E246" s="14">
        <v>625</v>
      </c>
      <c r="F246" s="14">
        <v>506</v>
      </c>
      <c r="G246" s="14">
        <v>692</v>
      </c>
      <c r="H246" s="16">
        <v>243</v>
      </c>
      <c r="I246" s="16">
        <v>639</v>
      </c>
      <c r="J246" s="16">
        <v>433</v>
      </c>
      <c r="K246" s="16">
        <v>495</v>
      </c>
      <c r="L246" s="16">
        <v>669</v>
      </c>
      <c r="M246" s="16">
        <v>713</v>
      </c>
      <c r="N246" s="16">
        <v>440</v>
      </c>
      <c r="O246" s="16">
        <v>736</v>
      </c>
      <c r="P246" s="16">
        <v>508</v>
      </c>
      <c r="Q246" s="16">
        <v>902</v>
      </c>
      <c r="R246" s="16">
        <v>887</v>
      </c>
      <c r="S246" s="16">
        <v>1584</v>
      </c>
      <c r="T246" s="16">
        <v>1369</v>
      </c>
      <c r="U246" s="16">
        <v>2521</v>
      </c>
      <c r="V246" s="16">
        <v>1486</v>
      </c>
      <c r="W246" s="51">
        <v>0</v>
      </c>
      <c r="X246" s="51"/>
      <c r="Y246" s="80"/>
      <c r="Z246" s="80"/>
      <c r="AA246" s="80"/>
      <c r="AB246" s="80"/>
      <c r="AC246" s="80"/>
      <c r="AD246" s="80"/>
    </row>
    <row r="247" spans="1:30" ht="15.75" hidden="1">
      <c r="A247" s="35" t="s">
        <v>251</v>
      </c>
      <c r="B247" s="15" t="s">
        <v>357</v>
      </c>
      <c r="C247" s="43">
        <f aca="true" t="shared" si="121" ref="C247:U247">C246</f>
        <v>452</v>
      </c>
      <c r="D247" s="43">
        <f t="shared" si="121"/>
        <v>731</v>
      </c>
      <c r="E247" s="43">
        <f t="shared" si="121"/>
        <v>625</v>
      </c>
      <c r="F247" s="43">
        <f t="shared" si="121"/>
        <v>506</v>
      </c>
      <c r="G247" s="43">
        <f t="shared" si="121"/>
        <v>692</v>
      </c>
      <c r="H247" s="16">
        <f t="shared" si="121"/>
        <v>243</v>
      </c>
      <c r="I247" s="16">
        <f t="shared" si="121"/>
        <v>639</v>
      </c>
      <c r="J247" s="16">
        <f t="shared" si="121"/>
        <v>433</v>
      </c>
      <c r="K247" s="16">
        <f t="shared" si="121"/>
        <v>495</v>
      </c>
      <c r="L247" s="16">
        <f t="shared" si="121"/>
        <v>669</v>
      </c>
      <c r="M247" s="16">
        <f t="shared" si="121"/>
        <v>713</v>
      </c>
      <c r="N247" s="16">
        <f t="shared" si="121"/>
        <v>440</v>
      </c>
      <c r="O247" s="16">
        <f t="shared" si="121"/>
        <v>736</v>
      </c>
      <c r="P247" s="16">
        <f t="shared" si="121"/>
        <v>508</v>
      </c>
      <c r="Q247" s="16">
        <f t="shared" si="121"/>
        <v>902</v>
      </c>
      <c r="R247" s="16">
        <f t="shared" si="121"/>
        <v>887</v>
      </c>
      <c r="S247" s="16">
        <f t="shared" si="121"/>
        <v>1584</v>
      </c>
      <c r="T247" s="16">
        <f t="shared" si="121"/>
        <v>1369</v>
      </c>
      <c r="U247" s="16">
        <f t="shared" si="121"/>
        <v>2521</v>
      </c>
      <c r="V247" s="16">
        <f>(V246)</f>
        <v>1486</v>
      </c>
      <c r="W247" s="16">
        <f>(W246)</f>
        <v>0</v>
      </c>
      <c r="X247" s="16">
        <f>(X246)</f>
        <v>0</v>
      </c>
      <c r="Y247" s="39"/>
      <c r="Z247" s="39"/>
      <c r="AA247" s="39"/>
      <c r="AB247" s="39"/>
      <c r="AC247" s="39"/>
      <c r="AD247" s="39"/>
    </row>
    <row r="248" spans="1:30" ht="15.75" hidden="1">
      <c r="A248" s="14"/>
      <c r="B248" s="15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13"/>
      <c r="U248" s="15" t="s">
        <v>413</v>
      </c>
      <c r="V248" s="36"/>
      <c r="W248" s="36"/>
      <c r="X248" s="36"/>
      <c r="Y248" s="58"/>
      <c r="Z248" s="58"/>
      <c r="AA248" s="58"/>
      <c r="AB248" s="58"/>
      <c r="AC248" s="58"/>
      <c r="AD248" s="58"/>
    </row>
    <row r="249" spans="1:30" ht="15.75" hidden="1">
      <c r="A249" s="35" t="s">
        <v>10</v>
      </c>
      <c r="B249" s="15" t="s">
        <v>357</v>
      </c>
      <c r="C249" s="16">
        <f aca="true" t="shared" si="122" ref="C249:U249">C247</f>
        <v>452</v>
      </c>
      <c r="D249" s="16">
        <f t="shared" si="122"/>
        <v>731</v>
      </c>
      <c r="E249" s="16">
        <f t="shared" si="122"/>
        <v>625</v>
      </c>
      <c r="F249" s="16">
        <f t="shared" si="122"/>
        <v>506</v>
      </c>
      <c r="G249" s="16">
        <f t="shared" si="122"/>
        <v>692</v>
      </c>
      <c r="H249" s="16">
        <f t="shared" si="122"/>
        <v>243</v>
      </c>
      <c r="I249" s="16">
        <f t="shared" si="122"/>
        <v>639</v>
      </c>
      <c r="J249" s="16">
        <f t="shared" si="122"/>
        <v>433</v>
      </c>
      <c r="K249" s="16">
        <f t="shared" si="122"/>
        <v>495</v>
      </c>
      <c r="L249" s="16">
        <f t="shared" si="122"/>
        <v>669</v>
      </c>
      <c r="M249" s="16">
        <f t="shared" si="122"/>
        <v>713</v>
      </c>
      <c r="N249" s="16">
        <f t="shared" si="122"/>
        <v>440</v>
      </c>
      <c r="O249" s="16">
        <f t="shared" si="122"/>
        <v>736</v>
      </c>
      <c r="P249" s="16">
        <f t="shared" si="122"/>
        <v>508</v>
      </c>
      <c r="Q249" s="16">
        <f t="shared" si="122"/>
        <v>902</v>
      </c>
      <c r="R249" s="16">
        <f t="shared" si="122"/>
        <v>887</v>
      </c>
      <c r="S249" s="16">
        <f t="shared" si="122"/>
        <v>1584</v>
      </c>
      <c r="T249" s="16">
        <f t="shared" si="122"/>
        <v>1369</v>
      </c>
      <c r="U249" s="16">
        <f t="shared" si="122"/>
        <v>2521</v>
      </c>
      <c r="V249" s="16">
        <f>(V247)</f>
        <v>1486</v>
      </c>
      <c r="W249" s="16">
        <f>(W247)</f>
        <v>0</v>
      </c>
      <c r="X249" s="16">
        <f>(X247)</f>
        <v>0</v>
      </c>
      <c r="Y249" s="39"/>
      <c r="Z249" s="39"/>
      <c r="AA249" s="39"/>
      <c r="AB249" s="39"/>
      <c r="AC249" s="39"/>
      <c r="AD249" s="39"/>
    </row>
    <row r="250" spans="1:30" ht="7.5" customHeight="1" hidden="1">
      <c r="A250" s="14"/>
      <c r="B250" s="15" t="s">
        <v>357</v>
      </c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39"/>
      <c r="Z250" s="39"/>
      <c r="AA250" s="39"/>
      <c r="AB250" s="39"/>
      <c r="AC250" s="39"/>
      <c r="AD250" s="39"/>
    </row>
    <row r="251" spans="1:30" ht="15.75" hidden="1">
      <c r="A251" s="35" t="s">
        <v>414</v>
      </c>
      <c r="B251" s="15" t="s">
        <v>357</v>
      </c>
      <c r="C251" s="14">
        <f aca="true" t="shared" si="123" ref="C251:L251">C241+C249</f>
        <v>134063</v>
      </c>
      <c r="D251" s="14">
        <f t="shared" si="123"/>
        <v>138931</v>
      </c>
      <c r="E251" s="14">
        <f t="shared" si="123"/>
        <v>149101</v>
      </c>
      <c r="F251" s="14">
        <f t="shared" si="123"/>
        <v>134539</v>
      </c>
      <c r="G251" s="14">
        <f t="shared" si="123"/>
        <v>143011</v>
      </c>
      <c r="H251" s="14">
        <f t="shared" si="123"/>
        <v>150845</v>
      </c>
      <c r="I251" s="14">
        <f t="shared" si="123"/>
        <v>145207</v>
      </c>
      <c r="J251" s="14">
        <f t="shared" si="123"/>
        <v>137288</v>
      </c>
      <c r="K251" s="14">
        <f t="shared" si="123"/>
        <v>136454</v>
      </c>
      <c r="L251" s="14">
        <f t="shared" si="123"/>
        <v>128380</v>
      </c>
      <c r="M251" s="14">
        <f aca="true" t="shared" si="124" ref="M251:U251">M241+M249</f>
        <v>141125</v>
      </c>
      <c r="N251" s="14">
        <f t="shared" si="124"/>
        <v>146838</v>
      </c>
      <c r="O251" s="14">
        <f t="shared" si="124"/>
        <v>159944</v>
      </c>
      <c r="P251" s="14">
        <f t="shared" si="124"/>
        <v>178951</v>
      </c>
      <c r="Q251" s="14">
        <f t="shared" si="124"/>
        <v>176127</v>
      </c>
      <c r="R251" s="14">
        <f t="shared" si="124"/>
        <v>174364</v>
      </c>
      <c r="S251" s="14">
        <f t="shared" si="124"/>
        <v>175819</v>
      </c>
      <c r="T251" s="14">
        <f t="shared" si="124"/>
        <v>170805</v>
      </c>
      <c r="U251" s="14">
        <f t="shared" si="124"/>
        <v>154659</v>
      </c>
      <c r="V251" s="14">
        <f>(V241+V249)</f>
        <v>65397</v>
      </c>
      <c r="W251" s="14">
        <f>(W241+W249)</f>
        <v>0</v>
      </c>
      <c r="X251" s="14">
        <f>(X241+X249)</f>
        <v>-1605</v>
      </c>
      <c r="Y251" s="39"/>
      <c r="Z251" s="39"/>
      <c r="AA251" s="39"/>
      <c r="AB251" s="39"/>
      <c r="AC251" s="39"/>
      <c r="AD251" s="39"/>
    </row>
    <row r="252" spans="1:30" ht="15.75" hidden="1">
      <c r="A252" s="14"/>
      <c r="B252" s="15" t="s">
        <v>357</v>
      </c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C252" s="14"/>
      <c r="AD252" s="14"/>
    </row>
    <row r="253" spans="1:30" ht="15.75">
      <c r="A253" s="34" t="s">
        <v>232</v>
      </c>
      <c r="B253" s="15" t="s">
        <v>357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C253" s="14"/>
      <c r="AD253" s="14"/>
    </row>
    <row r="254" spans="1:30" ht="15.75">
      <c r="A254" s="14"/>
      <c r="B254" s="15" t="s">
        <v>357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C254" s="14"/>
      <c r="AD254" s="14"/>
    </row>
    <row r="255" spans="1:30" ht="15.75">
      <c r="A255" s="10" t="s">
        <v>101</v>
      </c>
      <c r="B255" s="15" t="s">
        <v>357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C255" s="14"/>
      <c r="AD255" s="14"/>
    </row>
    <row r="256" spans="1:30" ht="15.75">
      <c r="A256" s="14"/>
      <c r="B256" s="15" t="s">
        <v>357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C256" s="14"/>
      <c r="AD256" s="14"/>
    </row>
    <row r="257" spans="1:30" ht="15.75">
      <c r="A257" s="15" t="s">
        <v>102</v>
      </c>
      <c r="B257" s="15" t="s">
        <v>357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C257" s="14"/>
      <c r="AD257" s="14"/>
    </row>
    <row r="258" spans="1:42" ht="15.75">
      <c r="A258" s="35" t="s">
        <v>290</v>
      </c>
      <c r="B258" s="15" t="s">
        <v>357</v>
      </c>
      <c r="C258" s="14">
        <v>148506</v>
      </c>
      <c r="D258" s="14">
        <v>177082</v>
      </c>
      <c r="E258" s="14">
        <v>200397</v>
      </c>
      <c r="F258" s="14">
        <v>211349</v>
      </c>
      <c r="G258" s="14">
        <v>233183</v>
      </c>
      <c r="H258" s="14">
        <v>226722</v>
      </c>
      <c r="I258" s="14">
        <v>266017</v>
      </c>
      <c r="J258" s="14">
        <v>277534</v>
      </c>
      <c r="K258" s="14">
        <v>308438</v>
      </c>
      <c r="L258" s="14">
        <v>286529</v>
      </c>
      <c r="M258" s="14">
        <v>323638</v>
      </c>
      <c r="N258" s="14">
        <v>343794</v>
      </c>
      <c r="O258" s="14">
        <v>366790</v>
      </c>
      <c r="P258" s="14">
        <v>405749</v>
      </c>
      <c r="Q258" s="14">
        <v>474820</v>
      </c>
      <c r="R258" s="14">
        <v>515812</v>
      </c>
      <c r="S258" s="14">
        <v>530537</v>
      </c>
      <c r="T258" s="14">
        <v>494283</v>
      </c>
      <c r="U258" s="14">
        <v>511039</v>
      </c>
      <c r="V258" s="14">
        <v>507041</v>
      </c>
      <c r="W258" s="14">
        <v>531347</v>
      </c>
      <c r="X258" s="14">
        <v>594604</v>
      </c>
      <c r="Y258" s="14">
        <v>660002</v>
      </c>
      <c r="Z258" s="14">
        <v>714543</v>
      </c>
      <c r="AA258" s="14">
        <v>806816</v>
      </c>
      <c r="AB258" s="14">
        <f>850597-534</f>
        <v>850063</v>
      </c>
      <c r="AC258" s="14">
        <v>903604</v>
      </c>
      <c r="AD258" s="14">
        <f>917429+5000-5963+15000</f>
        <v>931466</v>
      </c>
      <c r="AE258" s="14">
        <v>941526</v>
      </c>
      <c r="AF258" s="14">
        <v>956481.939</v>
      </c>
      <c r="AG258" s="14">
        <v>971978</v>
      </c>
      <c r="AH258" s="14">
        <v>950987</v>
      </c>
      <c r="AI258" s="14">
        <v>962940</v>
      </c>
      <c r="AJ258" s="14">
        <v>974023</v>
      </c>
      <c r="AK258" s="14">
        <v>1004525</v>
      </c>
      <c r="AL258" s="70">
        <v>1004525</v>
      </c>
      <c r="AM258" s="70">
        <v>995594</v>
      </c>
      <c r="AN258" s="70">
        <v>997574</v>
      </c>
      <c r="AO258" s="70">
        <f>1013969+7398</f>
        <v>1021367</v>
      </c>
      <c r="AP258" s="70">
        <v>1034520</v>
      </c>
    </row>
    <row r="259" spans="1:42" ht="15.75">
      <c r="A259" s="35" t="s">
        <v>147</v>
      </c>
      <c r="B259" s="15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36" t="s">
        <v>156</v>
      </c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70"/>
      <c r="AM259" s="70"/>
      <c r="AN259" s="70"/>
      <c r="AO259" s="70"/>
      <c r="AP259" s="70"/>
    </row>
    <row r="260" spans="1:42" ht="15.75">
      <c r="A260" s="35" t="s">
        <v>265</v>
      </c>
      <c r="B260" s="15" t="s">
        <v>357</v>
      </c>
      <c r="C260" s="14"/>
      <c r="D260" s="14"/>
      <c r="E260" s="14"/>
      <c r="F260" s="14"/>
      <c r="G260" s="14"/>
      <c r="H260" s="14"/>
      <c r="I260" s="14"/>
      <c r="J260" s="14"/>
      <c r="K260" s="48">
        <v>0</v>
      </c>
      <c r="L260" s="14"/>
      <c r="M260" s="14"/>
      <c r="N260" s="14"/>
      <c r="O260" s="14"/>
      <c r="P260" s="14"/>
      <c r="Q260" s="14"/>
      <c r="R260" s="14">
        <v>-297</v>
      </c>
      <c r="S260" s="14">
        <v>4645</v>
      </c>
      <c r="T260" s="14">
        <v>6700</v>
      </c>
      <c r="U260" s="14">
        <v>6687</v>
      </c>
      <c r="V260" s="14">
        <v>3995</v>
      </c>
      <c r="W260" s="14">
        <v>4000</v>
      </c>
      <c r="X260" s="14" t="s">
        <v>283</v>
      </c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70"/>
      <c r="AM260" s="70"/>
      <c r="AN260" s="70"/>
      <c r="AO260" s="70"/>
      <c r="AP260" s="70"/>
    </row>
    <row r="261" spans="1:42" ht="15.75">
      <c r="A261" s="35" t="s">
        <v>367</v>
      </c>
      <c r="B261" s="15" t="s">
        <v>357</v>
      </c>
      <c r="C261" s="14">
        <v>24211</v>
      </c>
      <c r="D261" s="14">
        <v>68660</v>
      </c>
      <c r="E261" s="14">
        <v>97856</v>
      </c>
      <c r="F261" s="14">
        <v>58757</v>
      </c>
      <c r="G261" s="14">
        <v>35397</v>
      </c>
      <c r="H261" s="14">
        <v>10683</v>
      </c>
      <c r="I261" s="14">
        <v>18815</v>
      </c>
      <c r="J261" s="14">
        <v>31781</v>
      </c>
      <c r="K261" s="14">
        <v>28258</v>
      </c>
      <c r="L261" s="14">
        <v>20258</v>
      </c>
      <c r="M261" s="14">
        <v>52348</v>
      </c>
      <c r="N261" s="14">
        <v>19507</v>
      </c>
      <c r="O261" s="14">
        <v>41135</v>
      </c>
      <c r="P261" s="14">
        <v>81417</v>
      </c>
      <c r="Q261" s="14">
        <v>92624</v>
      </c>
      <c r="R261" s="14">
        <v>126212</v>
      </c>
      <c r="S261" s="14">
        <v>109887</v>
      </c>
      <c r="T261" s="14">
        <v>74833</v>
      </c>
      <c r="U261" s="14">
        <f>53768-12372</f>
        <v>41396</v>
      </c>
      <c r="V261" s="14">
        <v>74905</v>
      </c>
      <c r="W261" s="14">
        <v>147256</v>
      </c>
      <c r="X261" s="14">
        <v>76622</v>
      </c>
      <c r="Y261" s="14">
        <v>88065</v>
      </c>
      <c r="Z261" s="14">
        <v>53528</v>
      </c>
      <c r="AA261" s="14">
        <f>71515+17700-157</f>
        <v>89058</v>
      </c>
      <c r="AB261" s="14">
        <f>55543-11700</f>
        <v>43843</v>
      </c>
      <c r="AC261" s="14">
        <v>35402</v>
      </c>
      <c r="AD261" s="14">
        <v>54073</v>
      </c>
      <c r="AE261" s="14">
        <v>35393</v>
      </c>
      <c r="AF261" s="14">
        <v>59807.861</v>
      </c>
      <c r="AG261" s="14">
        <v>59808</v>
      </c>
      <c r="AH261" s="14">
        <v>22111</v>
      </c>
      <c r="AI261" s="14">
        <v>52658</v>
      </c>
      <c r="AJ261" s="14">
        <v>81710</v>
      </c>
      <c r="AK261" s="14">
        <v>201616</v>
      </c>
      <c r="AL261" s="70">
        <v>45216</v>
      </c>
      <c r="AM261" s="70">
        <v>19722</v>
      </c>
      <c r="AN261" s="70">
        <v>39756</v>
      </c>
      <c r="AO261" s="70">
        <v>45300</v>
      </c>
      <c r="AP261" s="70">
        <v>23071</v>
      </c>
    </row>
    <row r="262" spans="1:42" ht="15.75">
      <c r="A262" s="35" t="s">
        <v>326</v>
      </c>
      <c r="B262" s="15" t="s">
        <v>357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16491</v>
      </c>
      <c r="I262" s="14">
        <v>32700</v>
      </c>
      <c r="J262" s="14">
        <v>52297</v>
      </c>
      <c r="K262" s="14">
        <v>70218</v>
      </c>
      <c r="L262" s="14">
        <v>41061</v>
      </c>
      <c r="M262" s="14">
        <v>57655</v>
      </c>
      <c r="N262" s="14">
        <v>50688</v>
      </c>
      <c r="O262" s="14">
        <v>65449</v>
      </c>
      <c r="P262" s="14">
        <v>92830</v>
      </c>
      <c r="Q262" s="14">
        <v>98659</v>
      </c>
      <c r="R262" s="14">
        <v>99851</v>
      </c>
      <c r="S262" s="14">
        <v>76544</v>
      </c>
      <c r="T262" s="14">
        <v>95555</v>
      </c>
      <c r="U262" s="14">
        <f>66964-936</f>
        <v>66028</v>
      </c>
      <c r="V262" s="14">
        <v>40319</v>
      </c>
      <c r="W262" s="14">
        <v>54479</v>
      </c>
      <c r="X262" s="14">
        <f>62632+94695</f>
        <v>157327</v>
      </c>
      <c r="Y262" s="14">
        <v>47792</v>
      </c>
      <c r="Z262" s="14">
        <v>61938</v>
      </c>
      <c r="AA262" s="14">
        <f>121455-267</f>
        <v>121188</v>
      </c>
      <c r="AB262" s="14">
        <f>99135-4862</f>
        <v>94273</v>
      </c>
      <c r="AC262" s="14">
        <v>70384</v>
      </c>
      <c r="AD262" s="14">
        <v>72893</v>
      </c>
      <c r="AE262" s="14">
        <v>40737</v>
      </c>
      <c r="AF262" s="14">
        <v>38122.259</v>
      </c>
      <c r="AG262" s="14">
        <v>38122</v>
      </c>
      <c r="AH262" s="14">
        <v>45041</v>
      </c>
      <c r="AI262" s="14">
        <v>37005</v>
      </c>
      <c r="AJ262" s="14">
        <v>37005</v>
      </c>
      <c r="AK262" s="14">
        <v>23990</v>
      </c>
      <c r="AL262" s="70">
        <v>27990</v>
      </c>
      <c r="AM262" s="70">
        <v>27079</v>
      </c>
      <c r="AN262" s="70">
        <v>19751</v>
      </c>
      <c r="AO262" s="70">
        <v>28046</v>
      </c>
      <c r="AP262" s="70">
        <v>18011</v>
      </c>
    </row>
    <row r="263" spans="1:42" ht="15.75">
      <c r="A263" s="35" t="s">
        <v>105</v>
      </c>
      <c r="B263" s="15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>
        <v>40000</v>
      </c>
      <c r="AC263" s="14">
        <v>50000</v>
      </c>
      <c r="AD263" s="84">
        <f>40000-(40000*0.0065)-39920.688</f>
        <v>-180.68800000000192</v>
      </c>
      <c r="AE263" s="14">
        <v>40000</v>
      </c>
      <c r="AF263" s="14">
        <v>29630.343</v>
      </c>
      <c r="AG263" s="14">
        <v>29630</v>
      </c>
      <c r="AH263" s="14">
        <v>50000</v>
      </c>
      <c r="AI263" s="14">
        <v>21694</v>
      </c>
      <c r="AJ263" s="14">
        <v>21694</v>
      </c>
      <c r="AK263" s="14">
        <v>21667</v>
      </c>
      <c r="AL263" s="70">
        <v>21667</v>
      </c>
      <c r="AM263" s="70">
        <v>24400</v>
      </c>
      <c r="AN263" s="70">
        <v>15000</v>
      </c>
      <c r="AO263" s="70">
        <v>23667</v>
      </c>
      <c r="AP263" s="70">
        <v>0</v>
      </c>
    </row>
    <row r="264" spans="1:42" ht="15.75">
      <c r="A264" s="35" t="s">
        <v>106</v>
      </c>
      <c r="B264" s="15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>
        <v>10000</v>
      </c>
      <c r="AC264" s="14">
        <v>10000</v>
      </c>
      <c r="AD264" s="84">
        <f>10000-(10000*0.0065)-10000</f>
        <v>-65</v>
      </c>
      <c r="AE264" s="14">
        <v>10000</v>
      </c>
      <c r="AF264" s="14">
        <v>7407.586</v>
      </c>
      <c r="AG264" s="14">
        <v>7408</v>
      </c>
      <c r="AH264" s="14">
        <v>10000</v>
      </c>
      <c r="AI264" s="14">
        <v>6903</v>
      </c>
      <c r="AJ264" s="14">
        <v>6903</v>
      </c>
      <c r="AK264" s="14">
        <v>7277</v>
      </c>
      <c r="AL264" s="70">
        <v>7277</v>
      </c>
      <c r="AM264" s="70">
        <v>9400</v>
      </c>
      <c r="AN264" s="70">
        <v>7000</v>
      </c>
      <c r="AO264" s="70">
        <v>7277</v>
      </c>
      <c r="AP264" s="70">
        <v>0</v>
      </c>
    </row>
    <row r="265" spans="1:42" ht="15.75">
      <c r="A265" s="35" t="s">
        <v>70</v>
      </c>
      <c r="B265" s="15" t="s">
        <v>357</v>
      </c>
      <c r="C265" s="14"/>
      <c r="D265" s="14"/>
      <c r="E265" s="14"/>
      <c r="F265" s="14"/>
      <c r="G265" s="14"/>
      <c r="H265" s="14"/>
      <c r="I265" s="14"/>
      <c r="J265" s="14"/>
      <c r="K265" s="48">
        <v>0</v>
      </c>
      <c r="L265" s="14"/>
      <c r="M265" s="14"/>
      <c r="N265" s="14"/>
      <c r="O265" s="14"/>
      <c r="P265" s="14"/>
      <c r="Q265" s="14">
        <v>0</v>
      </c>
      <c r="R265" s="14">
        <v>6621</v>
      </c>
      <c r="S265" s="14">
        <v>6565</v>
      </c>
      <c r="T265" s="14">
        <v>9000</v>
      </c>
      <c r="U265" s="14">
        <v>8983</v>
      </c>
      <c r="V265" s="14">
        <v>8074</v>
      </c>
      <c r="W265" s="14">
        <v>14085</v>
      </c>
      <c r="X265" s="14">
        <v>14000</v>
      </c>
      <c r="Y265" s="14">
        <v>14000</v>
      </c>
      <c r="Z265" s="14">
        <v>23000</v>
      </c>
      <c r="AA265" s="14">
        <v>104694</v>
      </c>
      <c r="AB265" s="14">
        <v>96235</v>
      </c>
      <c r="AC265" s="14">
        <f>91000-2100</f>
        <v>88900</v>
      </c>
      <c r="AD265" s="14">
        <v>80474</v>
      </c>
      <c r="AE265" s="14">
        <v>86614</v>
      </c>
      <c r="AF265" s="14">
        <v>81596.04</v>
      </c>
      <c r="AG265" s="14">
        <v>81596</v>
      </c>
      <c r="AH265" s="14">
        <v>90000</v>
      </c>
      <c r="AI265" s="14">
        <v>80462</v>
      </c>
      <c r="AJ265" s="14">
        <v>80462</v>
      </c>
      <c r="AK265" s="14">
        <v>80001</v>
      </c>
      <c r="AL265" s="70">
        <v>80001</v>
      </c>
      <c r="AM265" s="70">
        <v>80001</v>
      </c>
      <c r="AN265" s="70">
        <v>80507</v>
      </c>
      <c r="AO265" s="70">
        <v>81001</v>
      </c>
      <c r="AP265" s="70">
        <v>80001</v>
      </c>
    </row>
    <row r="266" spans="1:42" ht="15.75">
      <c r="A266" s="35" t="s">
        <v>208</v>
      </c>
      <c r="B266" s="15" t="s">
        <v>357</v>
      </c>
      <c r="C266" s="14">
        <v>14000</v>
      </c>
      <c r="D266" s="14">
        <v>10000</v>
      </c>
      <c r="E266" s="14">
        <v>10000</v>
      </c>
      <c r="F266" s="14">
        <v>15000</v>
      </c>
      <c r="G266" s="14">
        <v>1250</v>
      </c>
      <c r="H266" s="14">
        <v>1200</v>
      </c>
      <c r="I266" s="14">
        <v>2000</v>
      </c>
      <c r="J266" s="14">
        <v>7000</v>
      </c>
      <c r="K266" s="14">
        <v>21266</v>
      </c>
      <c r="L266" s="14">
        <v>14323</v>
      </c>
      <c r="M266" s="14">
        <v>7000</v>
      </c>
      <c r="N266" s="14">
        <v>1000</v>
      </c>
      <c r="O266" s="14">
        <v>0</v>
      </c>
      <c r="P266" s="14">
        <v>0</v>
      </c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70"/>
      <c r="AM266" s="70"/>
      <c r="AN266" s="70"/>
      <c r="AO266" s="70"/>
      <c r="AP266" s="70"/>
    </row>
    <row r="267" spans="1:42" ht="15.75">
      <c r="A267" s="35" t="s">
        <v>176</v>
      </c>
      <c r="B267" s="15" t="s">
        <v>357</v>
      </c>
      <c r="C267" s="14">
        <v>0</v>
      </c>
      <c r="D267" s="14">
        <v>0</v>
      </c>
      <c r="E267" s="14">
        <v>0</v>
      </c>
      <c r="F267" s="14">
        <v>1950</v>
      </c>
      <c r="G267" s="14">
        <v>8500</v>
      </c>
      <c r="H267" s="14">
        <v>5760</v>
      </c>
      <c r="I267" s="14">
        <v>5760</v>
      </c>
      <c r="J267" s="14">
        <v>5760</v>
      </c>
      <c r="K267" s="14">
        <v>5645</v>
      </c>
      <c r="L267" s="14">
        <v>5370</v>
      </c>
      <c r="M267" s="14">
        <v>5645</v>
      </c>
      <c r="N267" s="14">
        <v>5645</v>
      </c>
      <c r="O267" s="14">
        <v>6645</v>
      </c>
      <c r="P267" s="14">
        <v>8904</v>
      </c>
      <c r="Q267" s="14">
        <v>10942</v>
      </c>
      <c r="R267" s="14">
        <v>11849</v>
      </c>
      <c r="S267" s="14">
        <v>11748</v>
      </c>
      <c r="T267" s="14">
        <v>12000</v>
      </c>
      <c r="U267" s="14">
        <v>11977</v>
      </c>
      <c r="V267" s="14">
        <v>10779</v>
      </c>
      <c r="W267" s="14">
        <v>10779</v>
      </c>
      <c r="X267" s="14">
        <v>10779</v>
      </c>
      <c r="Y267" s="14">
        <v>10779</v>
      </c>
      <c r="Z267" s="14">
        <v>10739</v>
      </c>
      <c r="AA267" s="14">
        <v>11414</v>
      </c>
      <c r="AB267" s="14">
        <v>14414</v>
      </c>
      <c r="AC267" s="14">
        <v>14414</v>
      </c>
      <c r="AD267" s="14">
        <v>14320</v>
      </c>
      <c r="AE267" s="14">
        <v>14414</v>
      </c>
      <c r="AF267" s="14">
        <v>14236.392</v>
      </c>
      <c r="AG267" s="14">
        <v>14236</v>
      </c>
      <c r="AH267" s="14">
        <v>14414</v>
      </c>
      <c r="AI267" s="14">
        <v>14214</v>
      </c>
      <c r="AJ267" s="14">
        <v>14214</v>
      </c>
      <c r="AK267" s="14">
        <v>14202</v>
      </c>
      <c r="AL267" s="70">
        <v>14202</v>
      </c>
      <c r="AM267" s="70">
        <v>10811</v>
      </c>
      <c r="AN267" s="70">
        <v>14202</v>
      </c>
      <c r="AO267" s="70">
        <v>14202</v>
      </c>
      <c r="AP267" s="70">
        <v>10811</v>
      </c>
    </row>
    <row r="268" spans="1:42" ht="15.75">
      <c r="A268" s="35" t="s">
        <v>209</v>
      </c>
      <c r="B268" s="15" t="s">
        <v>357</v>
      </c>
      <c r="C268" s="14"/>
      <c r="D268" s="14"/>
      <c r="E268" s="14"/>
      <c r="F268" s="14"/>
      <c r="G268" s="14"/>
      <c r="H268" s="14"/>
      <c r="I268" s="14"/>
      <c r="J268" s="14"/>
      <c r="K268" s="48">
        <v>0</v>
      </c>
      <c r="L268" s="14"/>
      <c r="M268" s="14"/>
      <c r="N268" s="14"/>
      <c r="O268" s="14"/>
      <c r="P268" s="14"/>
      <c r="Q268" s="14">
        <v>14921</v>
      </c>
      <c r="R268" s="14">
        <v>0</v>
      </c>
      <c r="S268" s="14">
        <v>9171</v>
      </c>
      <c r="T268" s="14">
        <v>12000</v>
      </c>
      <c r="U268" s="14">
        <v>8983</v>
      </c>
      <c r="V268" s="14">
        <v>6750</v>
      </c>
      <c r="W268" s="14">
        <v>9750</v>
      </c>
      <c r="X268" s="14">
        <v>11700</v>
      </c>
      <c r="Y268" s="14">
        <v>15000</v>
      </c>
      <c r="Z268" s="14">
        <v>14957</v>
      </c>
      <c r="AA268" s="14">
        <f>20000+20000-88</f>
        <v>39912</v>
      </c>
      <c r="AB268" s="14">
        <v>43500</v>
      </c>
      <c r="AC268" s="14">
        <v>43560</v>
      </c>
      <c r="AD268" s="14">
        <v>38309</v>
      </c>
      <c r="AE268" s="14">
        <v>49560</v>
      </c>
      <c r="AF268" s="14">
        <v>37531.768</v>
      </c>
      <c r="AG268" s="14">
        <v>37532</v>
      </c>
      <c r="AH268" s="14">
        <v>54000</v>
      </c>
      <c r="AI268" s="14">
        <v>37472</v>
      </c>
      <c r="AJ268" s="14">
        <v>37472</v>
      </c>
      <c r="AK268" s="14">
        <v>39412</v>
      </c>
      <c r="AL268" s="70">
        <v>39412</v>
      </c>
      <c r="AM268" s="70">
        <v>41646</v>
      </c>
      <c r="AN268" s="70">
        <v>36646</v>
      </c>
      <c r="AO268" s="70">
        <v>39412</v>
      </c>
      <c r="AP268" s="70">
        <v>42646</v>
      </c>
    </row>
    <row r="269" spans="1:42" ht="15.75">
      <c r="A269" s="35" t="s">
        <v>107</v>
      </c>
      <c r="B269" s="15" t="s">
        <v>357</v>
      </c>
      <c r="C269" s="14"/>
      <c r="D269" s="14"/>
      <c r="E269" s="14"/>
      <c r="F269" s="14"/>
      <c r="G269" s="14"/>
      <c r="H269" s="14"/>
      <c r="I269" s="14"/>
      <c r="J269" s="14"/>
      <c r="K269" s="48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>
        <v>3000</v>
      </c>
      <c r="AC269" s="36" t="s">
        <v>148</v>
      </c>
      <c r="AD269" s="36">
        <v>2981</v>
      </c>
      <c r="AE269" s="36"/>
      <c r="AF269" s="36">
        <v>3950.712</v>
      </c>
      <c r="AG269" s="36">
        <v>3951</v>
      </c>
      <c r="AH269" s="36"/>
      <c r="AI269" s="36">
        <v>3944</v>
      </c>
      <c r="AJ269" s="36">
        <v>3944</v>
      </c>
      <c r="AK269" s="36">
        <v>3941</v>
      </c>
      <c r="AL269" s="110">
        <v>3941</v>
      </c>
      <c r="AM269" s="110">
        <v>0</v>
      </c>
      <c r="AN269" s="110">
        <v>4000</v>
      </c>
      <c r="AO269" s="110">
        <v>3941</v>
      </c>
      <c r="AP269" s="110">
        <v>3960</v>
      </c>
    </row>
    <row r="270" spans="1:42" ht="15.75">
      <c r="A270" s="35" t="s">
        <v>210</v>
      </c>
      <c r="B270" s="15" t="s">
        <v>357</v>
      </c>
      <c r="C270" s="14"/>
      <c r="D270" s="14"/>
      <c r="E270" s="14"/>
      <c r="F270" s="14"/>
      <c r="G270" s="14"/>
      <c r="H270" s="14"/>
      <c r="I270" s="14"/>
      <c r="J270" s="14"/>
      <c r="K270" s="48">
        <v>0</v>
      </c>
      <c r="L270" s="14"/>
      <c r="M270" s="14"/>
      <c r="N270" s="14"/>
      <c r="O270" s="14"/>
      <c r="P270" s="14"/>
      <c r="Q270" s="14">
        <v>995</v>
      </c>
      <c r="R270" s="14">
        <v>1186</v>
      </c>
      <c r="S270" s="14">
        <v>1191</v>
      </c>
      <c r="T270" s="14">
        <v>1169</v>
      </c>
      <c r="U270" s="14">
        <v>1167</v>
      </c>
      <c r="V270" s="14">
        <v>600</v>
      </c>
      <c r="W270" s="14">
        <v>1000</v>
      </c>
      <c r="X270" s="14">
        <v>1000</v>
      </c>
      <c r="Y270" s="36" t="s">
        <v>211</v>
      </c>
      <c r="Z270" s="36" t="s">
        <v>211</v>
      </c>
      <c r="AA270" s="36" t="s">
        <v>211</v>
      </c>
      <c r="AB270" s="36" t="s">
        <v>211</v>
      </c>
      <c r="AC270" s="36" t="s">
        <v>211</v>
      </c>
      <c r="AD270" s="36"/>
      <c r="AE270" s="36"/>
      <c r="AF270" s="36"/>
      <c r="AG270" s="36"/>
      <c r="AH270" s="36"/>
      <c r="AI270" s="36"/>
      <c r="AJ270" s="36"/>
      <c r="AK270" s="36"/>
      <c r="AL270" s="110"/>
      <c r="AM270" s="110"/>
      <c r="AN270" s="110"/>
      <c r="AO270" s="110"/>
      <c r="AP270" s="110"/>
    </row>
    <row r="271" spans="1:42" ht="15.75">
      <c r="A271" s="35" t="s">
        <v>71</v>
      </c>
      <c r="B271" s="15" t="s">
        <v>357</v>
      </c>
      <c r="C271" s="14"/>
      <c r="D271" s="14"/>
      <c r="E271" s="14"/>
      <c r="F271" s="14"/>
      <c r="G271" s="14"/>
      <c r="H271" s="14"/>
      <c r="I271" s="14"/>
      <c r="J271" s="14"/>
      <c r="K271" s="48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36" t="s">
        <v>174</v>
      </c>
      <c r="Y271" s="14">
        <v>2000</v>
      </c>
      <c r="Z271" s="14">
        <v>2391</v>
      </c>
      <c r="AA271" s="14">
        <f>3250-7</f>
        <v>3243</v>
      </c>
      <c r="AB271" s="14">
        <v>4000</v>
      </c>
      <c r="AC271" s="14">
        <v>5000</v>
      </c>
      <c r="AD271" s="14">
        <v>4769</v>
      </c>
      <c r="AE271" s="14">
        <v>7000</v>
      </c>
      <c r="AF271" s="14">
        <v>5530.997</v>
      </c>
      <c r="AG271" s="14">
        <v>5531</v>
      </c>
      <c r="AH271" s="14">
        <v>9500</v>
      </c>
      <c r="AI271" s="14">
        <v>5719</v>
      </c>
      <c r="AJ271" s="14">
        <v>5719</v>
      </c>
      <c r="AK271" s="14">
        <v>6404</v>
      </c>
      <c r="AL271" s="70">
        <v>6404</v>
      </c>
      <c r="AM271" s="70">
        <v>8217</v>
      </c>
      <c r="AN271" s="70">
        <v>6057</v>
      </c>
      <c r="AO271" s="70">
        <v>6404</v>
      </c>
      <c r="AP271" s="70">
        <v>4257</v>
      </c>
    </row>
    <row r="272" spans="1:42" ht="15.75" outlineLevel="1">
      <c r="A272" s="35" t="s">
        <v>175</v>
      </c>
      <c r="B272" s="15" t="s">
        <v>357</v>
      </c>
      <c r="C272" s="14">
        <v>0</v>
      </c>
      <c r="D272" s="14">
        <v>150</v>
      </c>
      <c r="E272" s="14">
        <v>150</v>
      </c>
      <c r="F272" s="14">
        <v>200</v>
      </c>
      <c r="G272" s="14">
        <v>0</v>
      </c>
      <c r="H272" s="14">
        <v>0</v>
      </c>
      <c r="I272" s="14">
        <v>0</v>
      </c>
      <c r="J272" s="14">
        <v>0</v>
      </c>
      <c r="K272" s="48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70"/>
      <c r="AM272" s="70"/>
      <c r="AN272" s="70"/>
      <c r="AO272" s="70"/>
      <c r="AP272" s="70"/>
    </row>
    <row r="273" spans="1:42" ht="15.75" collapsed="1">
      <c r="A273" s="35" t="s">
        <v>72</v>
      </c>
      <c r="B273" s="15" t="s">
        <v>357</v>
      </c>
      <c r="C273" s="14"/>
      <c r="D273" s="14"/>
      <c r="E273" s="14"/>
      <c r="F273" s="14"/>
      <c r="G273" s="14"/>
      <c r="H273" s="14"/>
      <c r="I273" s="14"/>
      <c r="J273" s="14"/>
      <c r="K273" s="48">
        <v>0</v>
      </c>
      <c r="L273" s="14"/>
      <c r="M273" s="14"/>
      <c r="N273" s="14"/>
      <c r="O273" s="14"/>
      <c r="P273" s="14"/>
      <c r="Q273" s="14"/>
      <c r="R273" s="14"/>
      <c r="S273" s="14"/>
      <c r="T273" s="14">
        <v>1000</v>
      </c>
      <c r="U273" s="14">
        <v>998</v>
      </c>
      <c r="V273" s="14">
        <v>800</v>
      </c>
      <c r="W273" s="14">
        <v>800</v>
      </c>
      <c r="X273" s="14">
        <v>800</v>
      </c>
      <c r="Y273" s="14">
        <v>800</v>
      </c>
      <c r="Z273" s="14">
        <v>797</v>
      </c>
      <c r="AA273" s="14">
        <v>795</v>
      </c>
      <c r="AB273" s="14">
        <v>0</v>
      </c>
      <c r="AC273" s="14">
        <v>0</v>
      </c>
      <c r="AD273" s="14"/>
      <c r="AE273" s="14"/>
      <c r="AF273" s="14"/>
      <c r="AG273" s="14"/>
      <c r="AH273" s="14"/>
      <c r="AI273" s="14"/>
      <c r="AJ273" s="14"/>
      <c r="AK273" s="14"/>
      <c r="AL273" s="70"/>
      <c r="AM273" s="70"/>
      <c r="AN273" s="70"/>
      <c r="AO273" s="70"/>
      <c r="AP273" s="70"/>
    </row>
    <row r="274" spans="1:42" ht="15.75">
      <c r="A274" s="35" t="s">
        <v>177</v>
      </c>
      <c r="B274" s="15" t="s">
        <v>357</v>
      </c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>
        <v>200</v>
      </c>
      <c r="W274" s="14">
        <v>400</v>
      </c>
      <c r="X274" s="14">
        <v>400</v>
      </c>
      <c r="Y274" s="36" t="s">
        <v>178</v>
      </c>
      <c r="Z274" s="36" t="s">
        <v>178</v>
      </c>
      <c r="AA274" s="36" t="s">
        <v>178</v>
      </c>
      <c r="AB274" s="36" t="s">
        <v>178</v>
      </c>
      <c r="AC274" s="36" t="s">
        <v>178</v>
      </c>
      <c r="AD274" s="36"/>
      <c r="AE274" s="36"/>
      <c r="AF274" s="36"/>
      <c r="AG274" s="36"/>
      <c r="AH274" s="36"/>
      <c r="AI274" s="36"/>
      <c r="AJ274" s="36"/>
      <c r="AK274" s="36"/>
      <c r="AL274" s="110"/>
      <c r="AM274" s="110"/>
      <c r="AN274" s="110"/>
      <c r="AO274" s="110"/>
      <c r="AP274" s="110"/>
    </row>
    <row r="275" spans="1:42" ht="15.75" hidden="1">
      <c r="A275" s="35" t="s">
        <v>266</v>
      </c>
      <c r="B275" s="15" t="s">
        <v>357</v>
      </c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>
        <v>152</v>
      </c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70"/>
      <c r="AM275" s="70"/>
      <c r="AN275" s="70"/>
      <c r="AO275" s="70"/>
      <c r="AP275" s="70"/>
    </row>
    <row r="276" spans="1:42" ht="15.75">
      <c r="A276" s="35" t="s">
        <v>73</v>
      </c>
      <c r="B276" s="15" t="s">
        <v>357</v>
      </c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>
        <v>4625</v>
      </c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70"/>
      <c r="AM276" s="70"/>
      <c r="AN276" s="70"/>
      <c r="AO276" s="70"/>
      <c r="AP276" s="70"/>
    </row>
    <row r="277" spans="1:42" ht="15.75">
      <c r="A277" s="35" t="s">
        <v>45</v>
      </c>
      <c r="B277" s="15" t="s">
        <v>357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>
        <f>50000-110</f>
        <v>49890</v>
      </c>
      <c r="AB277" s="14">
        <f>85000-25000-200</f>
        <v>59800</v>
      </c>
      <c r="AC277" s="14">
        <v>60000</v>
      </c>
      <c r="AD277" s="14">
        <v>64578</v>
      </c>
      <c r="AE277" s="14">
        <v>59983</v>
      </c>
      <c r="AF277" s="14">
        <v>69137.468</v>
      </c>
      <c r="AG277" s="14">
        <v>69138</v>
      </c>
      <c r="AH277" s="14">
        <v>80000</v>
      </c>
      <c r="AI277" s="14">
        <v>69028</v>
      </c>
      <c r="AJ277" s="14">
        <v>69028</v>
      </c>
      <c r="AK277" s="14">
        <v>67492</v>
      </c>
      <c r="AL277" s="70">
        <v>67492</v>
      </c>
      <c r="AM277" s="70">
        <v>74666</v>
      </c>
      <c r="AN277" s="70">
        <v>50000</v>
      </c>
      <c r="AO277" s="70">
        <v>67492</v>
      </c>
      <c r="AP277" s="70">
        <v>69492</v>
      </c>
    </row>
    <row r="278" spans="1:42" ht="15.75">
      <c r="A278" s="35" t="s">
        <v>327</v>
      </c>
      <c r="B278" s="15" t="s">
        <v>357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2800</v>
      </c>
      <c r="O278" s="16">
        <v>0</v>
      </c>
      <c r="P278" s="16">
        <v>0</v>
      </c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>
        <v>49890</v>
      </c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04"/>
      <c r="AM278" s="104"/>
      <c r="AN278" s="104"/>
      <c r="AO278" s="104"/>
      <c r="AP278" s="104"/>
    </row>
    <row r="279" spans="1:42" ht="15.75">
      <c r="A279" s="35" t="s">
        <v>411</v>
      </c>
      <c r="B279" s="15" t="s">
        <v>357</v>
      </c>
      <c r="C279" s="43">
        <f aca="true" t="shared" si="125" ref="C279:U279">SUM(C258:C278)</f>
        <v>186717</v>
      </c>
      <c r="D279" s="43">
        <f t="shared" si="125"/>
        <v>255892</v>
      </c>
      <c r="E279" s="43">
        <f t="shared" si="125"/>
        <v>308403</v>
      </c>
      <c r="F279" s="43">
        <f t="shared" si="125"/>
        <v>287256</v>
      </c>
      <c r="G279" s="43">
        <f t="shared" si="125"/>
        <v>278330</v>
      </c>
      <c r="H279" s="16">
        <f t="shared" si="125"/>
        <v>260856</v>
      </c>
      <c r="I279" s="16">
        <f t="shared" si="125"/>
        <v>325292</v>
      </c>
      <c r="J279" s="16">
        <f t="shared" si="125"/>
        <v>374372</v>
      </c>
      <c r="K279" s="16">
        <f t="shared" si="125"/>
        <v>433825</v>
      </c>
      <c r="L279" s="16">
        <f t="shared" si="125"/>
        <v>367541</v>
      </c>
      <c r="M279" s="16">
        <f t="shared" si="125"/>
        <v>446286</v>
      </c>
      <c r="N279" s="16">
        <f t="shared" si="125"/>
        <v>423434</v>
      </c>
      <c r="O279" s="16">
        <f t="shared" si="125"/>
        <v>480019</v>
      </c>
      <c r="P279" s="16">
        <f t="shared" si="125"/>
        <v>588900</v>
      </c>
      <c r="Q279" s="16">
        <f t="shared" si="125"/>
        <v>692961</v>
      </c>
      <c r="R279" s="16">
        <f t="shared" si="125"/>
        <v>761234</v>
      </c>
      <c r="S279" s="16">
        <f t="shared" si="125"/>
        <v>750288</v>
      </c>
      <c r="T279" s="16">
        <f t="shared" si="125"/>
        <v>706540</v>
      </c>
      <c r="U279" s="16">
        <f t="shared" si="125"/>
        <v>657258</v>
      </c>
      <c r="V279" s="16">
        <f aca="true" t="shared" si="126" ref="V279:AF279">(SUM(V258:V278))</f>
        <v>653615</v>
      </c>
      <c r="W279" s="16">
        <f t="shared" si="126"/>
        <v>773896</v>
      </c>
      <c r="X279" s="16">
        <f t="shared" si="126"/>
        <v>867232</v>
      </c>
      <c r="Y279" s="16">
        <f t="shared" si="126"/>
        <v>838438</v>
      </c>
      <c r="Z279" s="16">
        <f t="shared" si="126"/>
        <v>886518</v>
      </c>
      <c r="AA279" s="16">
        <f t="shared" si="126"/>
        <v>1276900</v>
      </c>
      <c r="AB279" s="16">
        <f t="shared" si="126"/>
        <v>1259128</v>
      </c>
      <c r="AC279" s="16">
        <f t="shared" si="126"/>
        <v>1281264</v>
      </c>
      <c r="AD279" s="16">
        <f>(SUM(AD258:AD278))</f>
        <v>1263617.312</v>
      </c>
      <c r="AE279" s="16">
        <f t="shared" si="126"/>
        <v>1285227</v>
      </c>
      <c r="AF279" s="16">
        <f t="shared" si="126"/>
        <v>1303433.3650000002</v>
      </c>
      <c r="AG279" s="16">
        <f>(SUM(AG258:AG278))-1</f>
        <v>1318929</v>
      </c>
      <c r="AH279" s="16">
        <f aca="true" t="shared" si="127" ref="AH279:AP279">(SUM(AH258:AH278))</f>
        <v>1326053</v>
      </c>
      <c r="AI279" s="16">
        <f t="shared" si="127"/>
        <v>1292039</v>
      </c>
      <c r="AJ279" s="16">
        <f t="shared" si="127"/>
        <v>1332174</v>
      </c>
      <c r="AK279" s="16">
        <f t="shared" si="127"/>
        <v>1470527</v>
      </c>
      <c r="AL279" s="104">
        <f t="shared" si="127"/>
        <v>1318127</v>
      </c>
      <c r="AM279" s="104">
        <f t="shared" si="127"/>
        <v>1291536</v>
      </c>
      <c r="AN279" s="104">
        <f t="shared" si="127"/>
        <v>1270493</v>
      </c>
      <c r="AO279" s="104">
        <f t="shared" si="127"/>
        <v>1338109</v>
      </c>
      <c r="AP279" s="104">
        <f t="shared" si="127"/>
        <v>1286769</v>
      </c>
    </row>
    <row r="280" spans="1:30" ht="15.75">
      <c r="A280" s="14"/>
      <c r="B280" s="15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42" ht="15.75">
      <c r="A281" s="35" t="s">
        <v>412</v>
      </c>
      <c r="B281" s="15" t="s">
        <v>357</v>
      </c>
      <c r="C281" s="14">
        <f aca="true" t="shared" si="128" ref="C281:Q281">C279</f>
        <v>186717</v>
      </c>
      <c r="D281" s="14">
        <f t="shared" si="128"/>
        <v>255892</v>
      </c>
      <c r="E281" s="14">
        <f t="shared" si="128"/>
        <v>308403</v>
      </c>
      <c r="F281" s="14">
        <f t="shared" si="128"/>
        <v>287256</v>
      </c>
      <c r="G281" s="14">
        <f t="shared" si="128"/>
        <v>278330</v>
      </c>
      <c r="H281" s="14">
        <f t="shared" si="128"/>
        <v>260856</v>
      </c>
      <c r="I281" s="14">
        <f t="shared" si="128"/>
        <v>325292</v>
      </c>
      <c r="J281" s="14">
        <f t="shared" si="128"/>
        <v>374372</v>
      </c>
      <c r="K281" s="14">
        <f t="shared" si="128"/>
        <v>433825</v>
      </c>
      <c r="L281" s="14">
        <f t="shared" si="128"/>
        <v>367541</v>
      </c>
      <c r="M281" s="14">
        <f t="shared" si="128"/>
        <v>446286</v>
      </c>
      <c r="N281" s="14">
        <f t="shared" si="128"/>
        <v>423434</v>
      </c>
      <c r="O281" s="14">
        <f t="shared" si="128"/>
        <v>480019</v>
      </c>
      <c r="P281" s="14">
        <f t="shared" si="128"/>
        <v>588900</v>
      </c>
      <c r="Q281" s="14">
        <f t="shared" si="128"/>
        <v>692961</v>
      </c>
      <c r="R281" s="14">
        <f>R279+R280</f>
        <v>761234</v>
      </c>
      <c r="S281" s="14">
        <f>S279+S280</f>
        <v>750288</v>
      </c>
      <c r="T281" s="14">
        <f>T279+T280</f>
        <v>706540</v>
      </c>
      <c r="U281" s="14">
        <f>U279+U280</f>
        <v>657258</v>
      </c>
      <c r="V281" s="14">
        <f aca="true" t="shared" si="129" ref="V281:AG281">(V279+V280)</f>
        <v>653615</v>
      </c>
      <c r="W281" s="14">
        <f t="shared" si="129"/>
        <v>773896</v>
      </c>
      <c r="X281" s="14">
        <f t="shared" si="129"/>
        <v>867232</v>
      </c>
      <c r="Y281" s="14">
        <f t="shared" si="129"/>
        <v>838438</v>
      </c>
      <c r="Z281" s="14">
        <f t="shared" si="129"/>
        <v>886518</v>
      </c>
      <c r="AA281" s="14">
        <f t="shared" si="129"/>
        <v>1276900</v>
      </c>
      <c r="AB281" s="14">
        <f t="shared" si="129"/>
        <v>1259128</v>
      </c>
      <c r="AC281" s="14">
        <f t="shared" si="129"/>
        <v>1281264</v>
      </c>
      <c r="AD281" s="14">
        <f t="shared" si="129"/>
        <v>1263617.312</v>
      </c>
      <c r="AE281" s="14">
        <f t="shared" si="129"/>
        <v>1285227</v>
      </c>
      <c r="AF281" s="14">
        <f t="shared" si="129"/>
        <v>1303433.3650000002</v>
      </c>
      <c r="AG281" s="14">
        <f t="shared" si="129"/>
        <v>1318929</v>
      </c>
      <c r="AH281" s="14">
        <f aca="true" t="shared" si="130" ref="AH281:AP281">(AH279+AH280)</f>
        <v>1326053</v>
      </c>
      <c r="AI281" s="14">
        <f t="shared" si="130"/>
        <v>1292039</v>
      </c>
      <c r="AJ281" s="14">
        <f t="shared" si="130"/>
        <v>1332174</v>
      </c>
      <c r="AK281" s="14">
        <f t="shared" si="130"/>
        <v>1470527</v>
      </c>
      <c r="AL281" s="70">
        <f t="shared" si="130"/>
        <v>1318127</v>
      </c>
      <c r="AM281" s="70">
        <f t="shared" si="130"/>
        <v>1291536</v>
      </c>
      <c r="AN281" s="70">
        <f t="shared" si="130"/>
        <v>1270493</v>
      </c>
      <c r="AO281" s="70">
        <f t="shared" si="130"/>
        <v>1338109</v>
      </c>
      <c r="AP281" s="70">
        <f t="shared" si="130"/>
        <v>1286769</v>
      </c>
    </row>
    <row r="282" spans="1:30" ht="15.75">
      <c r="A282" s="78" t="s">
        <v>4</v>
      </c>
      <c r="B282" s="15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</row>
    <row r="283" spans="1:30" ht="15.75">
      <c r="A283" s="10" t="s">
        <v>402</v>
      </c>
      <c r="B283" s="15" t="s">
        <v>357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</row>
    <row r="284" spans="1:30" ht="15.75">
      <c r="A284" s="14"/>
      <c r="B284" s="15" t="s">
        <v>357</v>
      </c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</row>
    <row r="285" spans="1:30" ht="15.75">
      <c r="A285" s="15" t="s">
        <v>394</v>
      </c>
      <c r="B285" s="15" t="s">
        <v>357</v>
      </c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</row>
    <row r="286" spans="1:42" ht="15.75">
      <c r="A286" s="35" t="s">
        <v>208</v>
      </c>
      <c r="B286" s="15" t="s">
        <v>357</v>
      </c>
      <c r="C286" s="14">
        <v>10691</v>
      </c>
      <c r="D286" s="14">
        <v>11219</v>
      </c>
      <c r="E286" s="14">
        <v>11166</v>
      </c>
      <c r="F286" s="14">
        <v>16917</v>
      </c>
      <c r="G286" s="14">
        <v>15140</v>
      </c>
      <c r="H286" s="14">
        <v>15845</v>
      </c>
      <c r="I286" s="14">
        <v>14897</v>
      </c>
      <c r="J286" s="14">
        <v>13999</v>
      </c>
      <c r="K286" s="14">
        <v>14535</v>
      </c>
      <c r="L286" s="14">
        <v>14357</v>
      </c>
      <c r="M286" s="14">
        <v>14690</v>
      </c>
      <c r="N286" s="14">
        <v>30335</v>
      </c>
      <c r="O286" s="14">
        <v>28662</v>
      </c>
      <c r="P286" s="14">
        <v>34056</v>
      </c>
      <c r="Q286" s="14">
        <v>30840</v>
      </c>
      <c r="R286" s="14">
        <v>38817</v>
      </c>
      <c r="S286" s="14">
        <v>42009</v>
      </c>
      <c r="T286" s="14">
        <v>44078</v>
      </c>
      <c r="U286" s="14">
        <v>46458</v>
      </c>
      <c r="V286" s="14">
        <v>44928</v>
      </c>
      <c r="W286" s="14">
        <v>41856</v>
      </c>
      <c r="X286" s="14">
        <v>43682</v>
      </c>
      <c r="Y286" s="14">
        <v>64662</v>
      </c>
      <c r="Z286" s="14">
        <v>44430</v>
      </c>
      <c r="AA286" s="14">
        <v>42245</v>
      </c>
      <c r="AB286" s="14">
        <v>42055</v>
      </c>
      <c r="AC286" s="14">
        <v>42250</v>
      </c>
      <c r="AD286" s="14">
        <v>43802</v>
      </c>
      <c r="AE286" s="14">
        <v>42250</v>
      </c>
      <c r="AF286" s="14">
        <v>42250</v>
      </c>
      <c r="AG286" s="14">
        <v>44350</v>
      </c>
      <c r="AH286" s="14">
        <v>43250</v>
      </c>
      <c r="AI286" s="14">
        <v>44600</v>
      </c>
      <c r="AJ286" s="14">
        <v>39398</v>
      </c>
      <c r="AK286" s="14">
        <v>39895</v>
      </c>
      <c r="AL286" s="14">
        <v>39895</v>
      </c>
      <c r="AM286" s="70">
        <v>45000</v>
      </c>
      <c r="AN286" s="70">
        <v>38000</v>
      </c>
      <c r="AO286" s="70">
        <v>38000</v>
      </c>
      <c r="AP286" s="70">
        <v>38000</v>
      </c>
    </row>
    <row r="287" spans="1:42" ht="15.75">
      <c r="A287" s="35" t="s">
        <v>176</v>
      </c>
      <c r="B287" s="15" t="s">
        <v>357</v>
      </c>
      <c r="C287" s="14">
        <v>0</v>
      </c>
      <c r="D287" s="14">
        <v>0</v>
      </c>
      <c r="E287" s="14">
        <v>4693</v>
      </c>
      <c r="F287" s="14">
        <v>4624</v>
      </c>
      <c r="G287" s="14">
        <v>5892</v>
      </c>
      <c r="H287" s="14">
        <v>7054</v>
      </c>
      <c r="I287" s="14">
        <v>5480</v>
      </c>
      <c r="J287" s="14">
        <v>7057</v>
      </c>
      <c r="K287" s="14">
        <v>7425</v>
      </c>
      <c r="L287" s="14">
        <v>5471</v>
      </c>
      <c r="M287" s="14">
        <v>5447</v>
      </c>
      <c r="N287" s="14">
        <v>6799</v>
      </c>
      <c r="O287" s="14">
        <v>6096</v>
      </c>
      <c r="P287" s="14">
        <v>7209</v>
      </c>
      <c r="Q287" s="14">
        <v>6747</v>
      </c>
      <c r="R287" s="14">
        <v>6454</v>
      </c>
      <c r="S287" s="14">
        <v>6131</v>
      </c>
      <c r="T287" s="14">
        <v>7063</v>
      </c>
      <c r="U287" s="14">
        <v>6681</v>
      </c>
      <c r="V287" s="14">
        <v>6828</v>
      </c>
      <c r="W287" s="14">
        <v>9362</v>
      </c>
      <c r="X287" s="14">
        <v>8502</v>
      </c>
      <c r="Y287" s="14">
        <v>5695</v>
      </c>
      <c r="Z287" s="14">
        <v>6692</v>
      </c>
      <c r="AA287" s="14">
        <v>5695</v>
      </c>
      <c r="AB287" s="14">
        <v>6150</v>
      </c>
      <c r="AC287" s="14">
        <v>6242</v>
      </c>
      <c r="AD287" s="14">
        <v>6985</v>
      </c>
      <c r="AE287" s="14">
        <v>6336</v>
      </c>
      <c r="AF287" s="14">
        <v>6300</v>
      </c>
      <c r="AG287" s="14">
        <v>6632</v>
      </c>
      <c r="AH287" s="14">
        <v>6400</v>
      </c>
      <c r="AI287" s="14">
        <v>6400</v>
      </c>
      <c r="AJ287" s="14">
        <v>11531</v>
      </c>
      <c r="AK287" s="14">
        <v>11609</v>
      </c>
      <c r="AL287" s="14">
        <v>11609</v>
      </c>
      <c r="AM287" s="70">
        <v>6500</v>
      </c>
      <c r="AN287" s="70">
        <v>8500</v>
      </c>
      <c r="AO287" s="70">
        <v>8500</v>
      </c>
      <c r="AP287" s="70">
        <v>8500</v>
      </c>
    </row>
    <row r="288" spans="1:42" ht="15.75">
      <c r="A288" s="35" t="s">
        <v>403</v>
      </c>
      <c r="B288" s="15" t="s">
        <v>357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1454</v>
      </c>
      <c r="L288" s="14">
        <v>1621</v>
      </c>
      <c r="M288" s="14">
        <v>1655</v>
      </c>
      <c r="N288" s="14">
        <v>1662</v>
      </c>
      <c r="O288" s="14">
        <v>1604</v>
      </c>
      <c r="P288" s="14">
        <v>1619</v>
      </c>
      <c r="Q288" s="14">
        <v>1816</v>
      </c>
      <c r="R288" s="14">
        <v>1658</v>
      </c>
      <c r="S288" s="14">
        <v>1789</v>
      </c>
      <c r="T288" s="14">
        <v>1868</v>
      </c>
      <c r="U288" s="14">
        <v>1152</v>
      </c>
      <c r="V288" s="14">
        <v>1738</v>
      </c>
      <c r="W288" s="14"/>
      <c r="X288" s="14"/>
      <c r="Y288" s="36" t="s">
        <v>179</v>
      </c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110"/>
      <c r="AN288" s="110"/>
      <c r="AO288" s="110"/>
      <c r="AP288" s="110"/>
    </row>
    <row r="289" spans="1:42" ht="15.75">
      <c r="A289" s="35" t="s">
        <v>58</v>
      </c>
      <c r="B289" s="15" t="s">
        <v>357</v>
      </c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36" t="s">
        <v>392</v>
      </c>
      <c r="W289" s="14">
        <v>203444</v>
      </c>
      <c r="X289" s="14">
        <v>192777</v>
      </c>
      <c r="Y289" s="36">
        <v>198874</v>
      </c>
      <c r="Z289" s="36">
        <v>225870</v>
      </c>
      <c r="AA289" s="36">
        <v>239052</v>
      </c>
      <c r="AB289" s="36">
        <v>213481</v>
      </c>
      <c r="AC289" s="36">
        <v>236812</v>
      </c>
      <c r="AD289" s="36">
        <v>235466</v>
      </c>
      <c r="AE289" s="36">
        <v>238000</v>
      </c>
      <c r="AF289" s="36">
        <v>227634</v>
      </c>
      <c r="AG289" s="36">
        <v>222889</v>
      </c>
      <c r="AH289" s="36">
        <v>238028</v>
      </c>
      <c r="AI289" s="36">
        <v>249648</v>
      </c>
      <c r="AJ289" s="36">
        <v>251218</v>
      </c>
      <c r="AK289" s="36">
        <v>265300</v>
      </c>
      <c r="AL289" s="36">
        <v>265300</v>
      </c>
      <c r="AM289" s="110">
        <v>277116</v>
      </c>
      <c r="AN289" s="110">
        <v>293015</v>
      </c>
      <c r="AO289" s="110">
        <v>293015</v>
      </c>
      <c r="AP289" s="110">
        <v>300391</v>
      </c>
    </row>
    <row r="290" spans="1:42" ht="15.75">
      <c r="A290" s="35" t="s">
        <v>209</v>
      </c>
      <c r="B290" s="15" t="s">
        <v>357</v>
      </c>
      <c r="C290" s="14"/>
      <c r="D290" s="14"/>
      <c r="E290" s="14"/>
      <c r="F290" s="14"/>
      <c r="G290" s="14"/>
      <c r="H290" s="14"/>
      <c r="I290" s="14"/>
      <c r="J290" s="14"/>
      <c r="K290" s="48">
        <v>0</v>
      </c>
      <c r="L290" s="14"/>
      <c r="M290" s="14"/>
      <c r="N290" s="14"/>
      <c r="O290" s="14"/>
      <c r="P290" s="14"/>
      <c r="Q290" s="14"/>
      <c r="R290" s="14">
        <v>11000</v>
      </c>
      <c r="S290" s="14">
        <v>1000</v>
      </c>
      <c r="T290" s="14">
        <v>10</v>
      </c>
      <c r="U290" s="14">
        <v>0</v>
      </c>
      <c r="V290" s="14">
        <v>1</v>
      </c>
      <c r="W290" s="14">
        <v>105</v>
      </c>
      <c r="X290" s="14">
        <v>0</v>
      </c>
      <c r="Y290" s="14">
        <v>3722</v>
      </c>
      <c r="Z290" s="14">
        <v>596</v>
      </c>
      <c r="AA290" s="14">
        <v>643</v>
      </c>
      <c r="AB290" s="14">
        <v>518</v>
      </c>
      <c r="AC290" s="14">
        <v>526</v>
      </c>
      <c r="AD290" s="14">
        <v>447</v>
      </c>
      <c r="AE290" s="14">
        <v>500</v>
      </c>
      <c r="AF290" s="14">
        <v>500</v>
      </c>
      <c r="AG290" s="14">
        <v>447</v>
      </c>
      <c r="AH290" s="14">
        <v>500</v>
      </c>
      <c r="AI290" s="14">
        <v>7744</v>
      </c>
      <c r="AJ290" s="14">
        <v>7744</v>
      </c>
      <c r="AK290" s="14">
        <v>800</v>
      </c>
      <c r="AL290" s="14">
        <v>800</v>
      </c>
      <c r="AM290" s="70">
        <v>500</v>
      </c>
      <c r="AN290" s="70">
        <v>481</v>
      </c>
      <c r="AO290" s="70">
        <v>481</v>
      </c>
      <c r="AP290" s="70">
        <v>500</v>
      </c>
    </row>
    <row r="291" spans="1:42" ht="15.75">
      <c r="A291" s="35" t="s">
        <v>142</v>
      </c>
      <c r="B291" s="15" t="s">
        <v>357</v>
      </c>
      <c r="C291" s="14"/>
      <c r="D291" s="14"/>
      <c r="E291" s="14"/>
      <c r="F291" s="14"/>
      <c r="G291" s="14"/>
      <c r="H291" s="14"/>
      <c r="I291" s="14"/>
      <c r="J291" s="14"/>
      <c r="K291" s="48">
        <v>0</v>
      </c>
      <c r="L291" s="14"/>
      <c r="M291" s="14"/>
      <c r="N291" s="14"/>
      <c r="O291" s="14"/>
      <c r="P291" s="14"/>
      <c r="Q291" s="14"/>
      <c r="R291" s="14"/>
      <c r="S291" s="14">
        <v>26000</v>
      </c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70"/>
      <c r="AN291" s="70"/>
      <c r="AO291" s="70"/>
      <c r="AP291" s="70"/>
    </row>
    <row r="292" spans="1:42" ht="15.75">
      <c r="A292" s="35" t="s">
        <v>143</v>
      </c>
      <c r="B292" s="15" t="s">
        <v>357</v>
      </c>
      <c r="C292" s="14"/>
      <c r="D292" s="14"/>
      <c r="E292" s="14"/>
      <c r="F292" s="14"/>
      <c r="G292" s="14"/>
      <c r="H292" s="14"/>
      <c r="I292" s="14"/>
      <c r="J292" s="14"/>
      <c r="K292" s="48">
        <v>0</v>
      </c>
      <c r="L292" s="14"/>
      <c r="M292" s="14"/>
      <c r="N292" s="14"/>
      <c r="O292" s="14"/>
      <c r="P292" s="14"/>
      <c r="Q292" s="14"/>
      <c r="R292" s="14"/>
      <c r="S292" s="14">
        <v>79761</v>
      </c>
      <c r="T292" s="14">
        <v>22424</v>
      </c>
      <c r="U292" s="14">
        <v>25458</v>
      </c>
      <c r="V292" s="14">
        <v>27266</v>
      </c>
      <c r="W292" s="14">
        <v>27773</v>
      </c>
      <c r="X292" s="14">
        <v>28250</v>
      </c>
      <c r="Y292" s="14">
        <v>29278</v>
      </c>
      <c r="Z292" s="14">
        <v>33128</v>
      </c>
      <c r="AA292" s="14">
        <v>32975</v>
      </c>
      <c r="AB292" s="14">
        <v>35813</v>
      </c>
      <c r="AC292" s="14">
        <v>34835</v>
      </c>
      <c r="AD292" s="14">
        <v>34835</v>
      </c>
      <c r="AE292" s="14">
        <v>35650</v>
      </c>
      <c r="AF292" s="14">
        <v>35094</v>
      </c>
      <c r="AG292" s="14">
        <v>35094</v>
      </c>
      <c r="AH292" s="14">
        <v>36721</v>
      </c>
      <c r="AI292" s="14">
        <v>35527</v>
      </c>
      <c r="AJ292" s="14">
        <v>35470</v>
      </c>
      <c r="AK292" s="14">
        <v>39302</v>
      </c>
      <c r="AL292" s="14">
        <v>39302</v>
      </c>
      <c r="AM292" s="70">
        <v>43161</v>
      </c>
      <c r="AN292" s="70">
        <v>46200</v>
      </c>
      <c r="AO292" s="70">
        <v>46200</v>
      </c>
      <c r="AP292" s="70">
        <v>48288</v>
      </c>
    </row>
    <row r="293" spans="1:42" ht="15.75">
      <c r="A293" s="35" t="s">
        <v>265</v>
      </c>
      <c r="B293" s="15" t="s">
        <v>357</v>
      </c>
      <c r="C293" s="14"/>
      <c r="D293" s="14"/>
      <c r="E293" s="14"/>
      <c r="F293" s="14"/>
      <c r="G293" s="14"/>
      <c r="H293" s="14"/>
      <c r="I293" s="14"/>
      <c r="J293" s="14"/>
      <c r="K293" s="48">
        <v>0</v>
      </c>
      <c r="L293" s="14"/>
      <c r="M293" s="14"/>
      <c r="N293" s="14"/>
      <c r="O293" s="14"/>
      <c r="P293" s="14"/>
      <c r="Q293" s="14"/>
      <c r="R293" s="14"/>
      <c r="S293" s="14"/>
      <c r="T293" s="14">
        <v>11000</v>
      </c>
      <c r="U293" s="14">
        <v>47900</v>
      </c>
      <c r="V293" s="14">
        <v>26290</v>
      </c>
      <c r="W293" s="14">
        <v>50306</v>
      </c>
      <c r="X293" s="14" t="s">
        <v>283</v>
      </c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70"/>
      <c r="AN293" s="70"/>
      <c r="AO293" s="70"/>
      <c r="AP293" s="70"/>
    </row>
    <row r="294" spans="1:42" ht="15.75">
      <c r="A294" s="35" t="s">
        <v>72</v>
      </c>
      <c r="B294" s="15" t="s">
        <v>357</v>
      </c>
      <c r="C294" s="14"/>
      <c r="D294" s="14"/>
      <c r="E294" s="14"/>
      <c r="F294" s="14"/>
      <c r="G294" s="14"/>
      <c r="H294" s="14"/>
      <c r="I294" s="14"/>
      <c r="J294" s="14"/>
      <c r="K294" s="48">
        <v>0</v>
      </c>
      <c r="L294" s="14"/>
      <c r="M294" s="14"/>
      <c r="N294" s="14"/>
      <c r="O294" s="14"/>
      <c r="P294" s="14"/>
      <c r="Q294" s="14"/>
      <c r="R294" s="14"/>
      <c r="S294" s="14"/>
      <c r="T294" s="14">
        <v>352</v>
      </c>
      <c r="U294" s="14">
        <v>208</v>
      </c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70"/>
      <c r="AN294" s="70"/>
      <c r="AO294" s="70"/>
      <c r="AP294" s="70"/>
    </row>
    <row r="295" spans="1:42" ht="15.75">
      <c r="A295" s="35" t="s">
        <v>144</v>
      </c>
      <c r="B295" s="15" t="s">
        <v>357</v>
      </c>
      <c r="C295" s="14"/>
      <c r="D295" s="14"/>
      <c r="E295" s="14"/>
      <c r="F295" s="14"/>
      <c r="G295" s="14"/>
      <c r="H295" s="14"/>
      <c r="I295" s="14"/>
      <c r="J295" s="14"/>
      <c r="K295" s="48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36" t="s">
        <v>179</v>
      </c>
      <c r="Z295" s="36" t="s">
        <v>179</v>
      </c>
      <c r="AA295" s="36" t="s">
        <v>179</v>
      </c>
      <c r="AB295" s="36" t="s">
        <v>179</v>
      </c>
      <c r="AC295" s="36" t="s">
        <v>179</v>
      </c>
      <c r="AD295" s="36" t="s">
        <v>179</v>
      </c>
      <c r="AE295" s="36"/>
      <c r="AF295" s="36"/>
      <c r="AG295" s="36"/>
      <c r="AH295" s="36"/>
      <c r="AI295" s="36"/>
      <c r="AJ295" s="36"/>
      <c r="AK295" s="36"/>
      <c r="AL295" s="36"/>
      <c r="AM295" s="110"/>
      <c r="AN295" s="110"/>
      <c r="AO295" s="110"/>
      <c r="AP295" s="110"/>
    </row>
    <row r="296" spans="1:42" ht="15.75">
      <c r="A296" s="35" t="s">
        <v>177</v>
      </c>
      <c r="B296" s="15" t="s">
        <v>357</v>
      </c>
      <c r="C296" s="14"/>
      <c r="D296" s="14"/>
      <c r="E296" s="14"/>
      <c r="F296" s="14"/>
      <c r="G296" s="14"/>
      <c r="H296" s="14"/>
      <c r="I296" s="14"/>
      <c r="J296" s="14"/>
      <c r="K296" s="48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>
        <v>250</v>
      </c>
      <c r="W296" s="14" t="s">
        <v>335</v>
      </c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70"/>
      <c r="AN296" s="70"/>
      <c r="AO296" s="70"/>
      <c r="AP296" s="70"/>
    </row>
    <row r="297" spans="1:42" ht="15.75">
      <c r="A297" s="35" t="s">
        <v>462</v>
      </c>
      <c r="B297" s="15" t="s">
        <v>357</v>
      </c>
      <c r="C297" s="14"/>
      <c r="D297" s="14"/>
      <c r="E297" s="14"/>
      <c r="F297" s="14"/>
      <c r="G297" s="14"/>
      <c r="H297" s="14"/>
      <c r="I297" s="14"/>
      <c r="J297" s="14"/>
      <c r="K297" s="48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>
        <v>622</v>
      </c>
      <c r="X297" s="14">
        <v>3090</v>
      </c>
      <c r="Y297" s="14">
        <v>3385</v>
      </c>
      <c r="Z297" s="14">
        <v>3427</v>
      </c>
      <c r="AA297" s="14">
        <v>3689</v>
      </c>
      <c r="AB297" s="14">
        <v>3557</v>
      </c>
      <c r="AC297" s="14">
        <v>3800</v>
      </c>
      <c r="AD297" s="14">
        <v>3768</v>
      </c>
      <c r="AE297" s="14">
        <v>4000</v>
      </c>
      <c r="AF297" s="14">
        <v>4000</v>
      </c>
      <c r="AG297" s="14">
        <v>3854</v>
      </c>
      <c r="AH297" s="14">
        <v>4200</v>
      </c>
      <c r="AI297" s="14">
        <v>4200</v>
      </c>
      <c r="AJ297" s="14">
        <v>4288</v>
      </c>
      <c r="AK297" s="14">
        <v>4279</v>
      </c>
      <c r="AL297" s="14">
        <v>4279</v>
      </c>
      <c r="AM297" s="70">
        <v>4750</v>
      </c>
      <c r="AN297" s="70">
        <v>4750</v>
      </c>
      <c r="AO297" s="70">
        <v>4750</v>
      </c>
      <c r="AP297" s="70">
        <v>4750</v>
      </c>
    </row>
    <row r="298" spans="1:42" ht="15.75">
      <c r="A298" s="35" t="s">
        <v>287</v>
      </c>
      <c r="B298" s="15" t="s">
        <v>357</v>
      </c>
      <c r="C298" s="16">
        <v>121551</v>
      </c>
      <c r="D298" s="16">
        <v>98397</v>
      </c>
      <c r="E298" s="16">
        <v>114626</v>
      </c>
      <c r="F298" s="16">
        <v>124188</v>
      </c>
      <c r="G298" s="16">
        <v>124863</v>
      </c>
      <c r="H298" s="16">
        <v>154498</v>
      </c>
      <c r="I298" s="16">
        <v>147004</v>
      </c>
      <c r="J298" s="16">
        <v>127690</v>
      </c>
      <c r="K298" s="16">
        <v>124177</v>
      </c>
      <c r="L298" s="16">
        <v>120892</v>
      </c>
      <c r="M298" s="16">
        <v>109732</v>
      </c>
      <c r="N298" s="16">
        <v>115251</v>
      </c>
      <c r="O298" s="16">
        <v>126672</v>
      </c>
      <c r="P298" s="16">
        <v>127310</v>
      </c>
      <c r="Q298" s="16">
        <v>172833</v>
      </c>
      <c r="R298" s="16">
        <v>174228</v>
      </c>
      <c r="S298" s="16">
        <v>171730</v>
      </c>
      <c r="T298" s="16">
        <v>199857</v>
      </c>
      <c r="U298" s="16">
        <v>247437</v>
      </c>
      <c r="V298" s="16">
        <v>240204</v>
      </c>
      <c r="W298" s="52">
        <v>2353</v>
      </c>
      <c r="X298" s="52">
        <v>2114</v>
      </c>
      <c r="Y298" s="16">
        <v>2332</v>
      </c>
      <c r="Z298" s="16">
        <v>2388</v>
      </c>
      <c r="AA298" s="16">
        <v>3121</v>
      </c>
      <c r="AB298" s="16">
        <v>2561</v>
      </c>
      <c r="AC298" s="16">
        <v>2760</v>
      </c>
      <c r="AD298" s="16">
        <v>2995</v>
      </c>
      <c r="AE298" s="16">
        <v>2760</v>
      </c>
      <c r="AF298" s="16">
        <v>2810</v>
      </c>
      <c r="AG298" s="16">
        <v>3484</v>
      </c>
      <c r="AH298" s="16">
        <v>2810</v>
      </c>
      <c r="AI298" s="16">
        <v>2760</v>
      </c>
      <c r="AJ298" s="16">
        <v>3814</v>
      </c>
      <c r="AK298" s="16">
        <v>2948</v>
      </c>
      <c r="AL298" s="16">
        <v>2948</v>
      </c>
      <c r="AM298" s="104">
        <v>3710</v>
      </c>
      <c r="AN298" s="104">
        <v>3675</v>
      </c>
      <c r="AO298" s="104">
        <v>3675</v>
      </c>
      <c r="AP298" s="104">
        <v>3775</v>
      </c>
    </row>
    <row r="299" spans="1:42" ht="15.75">
      <c r="A299" s="35" t="s">
        <v>9</v>
      </c>
      <c r="B299" s="15" t="s">
        <v>357</v>
      </c>
      <c r="C299" s="14">
        <f aca="true" t="shared" si="131" ref="C299:L299">SUM(C285:C298)</f>
        <v>132242</v>
      </c>
      <c r="D299" s="14">
        <f t="shared" si="131"/>
        <v>109616</v>
      </c>
      <c r="E299" s="14">
        <f t="shared" si="131"/>
        <v>130485</v>
      </c>
      <c r="F299" s="14">
        <f t="shared" si="131"/>
        <v>145729</v>
      </c>
      <c r="G299" s="14">
        <f t="shared" si="131"/>
        <v>145895</v>
      </c>
      <c r="H299" s="14">
        <f t="shared" si="131"/>
        <v>177397</v>
      </c>
      <c r="I299" s="14">
        <f t="shared" si="131"/>
        <v>167381</v>
      </c>
      <c r="J299" s="14">
        <f t="shared" si="131"/>
        <v>148746</v>
      </c>
      <c r="K299" s="14">
        <f t="shared" si="131"/>
        <v>147591</v>
      </c>
      <c r="L299" s="14">
        <f t="shared" si="131"/>
        <v>142341</v>
      </c>
      <c r="M299" s="14">
        <f aca="true" t="shared" si="132" ref="M299:U299">SUM(M285:M298)</f>
        <v>131524</v>
      </c>
      <c r="N299" s="14">
        <f t="shared" si="132"/>
        <v>154047</v>
      </c>
      <c r="O299" s="14">
        <f t="shared" si="132"/>
        <v>163034</v>
      </c>
      <c r="P299" s="14">
        <f t="shared" si="132"/>
        <v>170194</v>
      </c>
      <c r="Q299" s="14">
        <f t="shared" si="132"/>
        <v>212236</v>
      </c>
      <c r="R299" s="14">
        <f t="shared" si="132"/>
        <v>232157</v>
      </c>
      <c r="S299" s="14">
        <f t="shared" si="132"/>
        <v>328420</v>
      </c>
      <c r="T299" s="14">
        <f t="shared" si="132"/>
        <v>286652</v>
      </c>
      <c r="U299" s="14">
        <f t="shared" si="132"/>
        <v>375294</v>
      </c>
      <c r="V299" s="14">
        <f aca="true" t="shared" si="133" ref="V299:AG299">(SUM(V285:V298))</f>
        <v>347505</v>
      </c>
      <c r="W299" s="14">
        <f t="shared" si="133"/>
        <v>335821</v>
      </c>
      <c r="X299" s="14">
        <f t="shared" si="133"/>
        <v>278415</v>
      </c>
      <c r="Y299" s="14">
        <f t="shared" si="133"/>
        <v>307948</v>
      </c>
      <c r="Z299" s="14">
        <f t="shared" si="133"/>
        <v>316531</v>
      </c>
      <c r="AA299" s="14">
        <f t="shared" si="133"/>
        <v>327420</v>
      </c>
      <c r="AB299" s="14">
        <f t="shared" si="133"/>
        <v>304135</v>
      </c>
      <c r="AC299" s="14">
        <f t="shared" si="133"/>
        <v>327225</v>
      </c>
      <c r="AD299" s="14">
        <f t="shared" si="133"/>
        <v>328298</v>
      </c>
      <c r="AE299" s="14">
        <f t="shared" si="133"/>
        <v>329496</v>
      </c>
      <c r="AF299" s="14">
        <f t="shared" si="133"/>
        <v>318588</v>
      </c>
      <c r="AG299" s="14">
        <f t="shared" si="133"/>
        <v>316750</v>
      </c>
      <c r="AH299" s="14">
        <f aca="true" t="shared" si="134" ref="AH299:AP299">(SUM(AH285:AH298))</f>
        <v>331909</v>
      </c>
      <c r="AI299" s="14">
        <f t="shared" si="134"/>
        <v>350879</v>
      </c>
      <c r="AJ299" s="14">
        <f t="shared" si="134"/>
        <v>353463</v>
      </c>
      <c r="AK299" s="14">
        <f t="shared" si="134"/>
        <v>364133</v>
      </c>
      <c r="AL299" s="14">
        <f t="shared" si="134"/>
        <v>364133</v>
      </c>
      <c r="AM299" s="70">
        <f t="shared" si="134"/>
        <v>380737</v>
      </c>
      <c r="AN299" s="70">
        <f t="shared" si="134"/>
        <v>394621</v>
      </c>
      <c r="AO299" s="70">
        <f t="shared" si="134"/>
        <v>394621</v>
      </c>
      <c r="AP299" s="70">
        <f t="shared" si="134"/>
        <v>404204</v>
      </c>
    </row>
    <row r="300" spans="1:42" ht="15.75">
      <c r="A300" s="14"/>
      <c r="B300" s="15" t="s">
        <v>357</v>
      </c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70"/>
      <c r="AM300" s="70"/>
      <c r="AN300" s="70"/>
      <c r="AO300" s="70"/>
      <c r="AP300" s="70"/>
    </row>
    <row r="301" spans="1:42" ht="15.75">
      <c r="A301" s="15" t="s">
        <v>316</v>
      </c>
      <c r="B301" s="15" t="s">
        <v>357</v>
      </c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70"/>
      <c r="AM301" s="70"/>
      <c r="AN301" s="70"/>
      <c r="AO301" s="70"/>
      <c r="AP301" s="70"/>
    </row>
    <row r="302" spans="1:42" ht="15.75">
      <c r="A302" s="35" t="s">
        <v>263</v>
      </c>
      <c r="B302" s="15" t="s">
        <v>357</v>
      </c>
      <c r="C302" s="14">
        <v>0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122167</v>
      </c>
      <c r="M302" s="14">
        <v>141015</v>
      </c>
      <c r="N302" s="14">
        <v>161073</v>
      </c>
      <c r="O302" s="14">
        <v>186663</v>
      </c>
      <c r="P302" s="14">
        <v>190191</v>
      </c>
      <c r="Q302" s="14">
        <v>193603</v>
      </c>
      <c r="R302" s="14">
        <v>229494</v>
      </c>
      <c r="S302" s="14">
        <v>225106</v>
      </c>
      <c r="T302" s="14">
        <v>207676</v>
      </c>
      <c r="U302" s="14">
        <v>234983</v>
      </c>
      <c r="V302" s="14">
        <v>236164</v>
      </c>
      <c r="W302" s="14">
        <v>316138</v>
      </c>
      <c r="X302" s="14">
        <v>309766</v>
      </c>
      <c r="Y302" s="14">
        <v>261072</v>
      </c>
      <c r="Z302" s="14">
        <v>302991</v>
      </c>
      <c r="AA302" s="14">
        <f>417930-116659</f>
        <v>301271</v>
      </c>
      <c r="AB302" s="14">
        <f>482980-126332</f>
        <v>356648</v>
      </c>
      <c r="AC302" s="14">
        <f>451890-121938</f>
        <v>329952</v>
      </c>
      <c r="AD302" s="14">
        <v>329952</v>
      </c>
      <c r="AE302" s="14">
        <f>459354-121878</f>
        <v>337476</v>
      </c>
      <c r="AF302" s="14">
        <v>345415</v>
      </c>
      <c r="AG302" s="14">
        <v>345415</v>
      </c>
      <c r="AH302" s="14">
        <v>369855</v>
      </c>
      <c r="AI302" s="14">
        <v>338697</v>
      </c>
      <c r="AJ302" s="14">
        <v>338698</v>
      </c>
      <c r="AK302" s="14">
        <v>363973</v>
      </c>
      <c r="AL302" s="70">
        <v>363973</v>
      </c>
      <c r="AM302" s="70">
        <v>424009</v>
      </c>
      <c r="AN302" s="70">
        <v>432192</v>
      </c>
      <c r="AO302" s="70">
        <v>432192</v>
      </c>
      <c r="AP302" s="70">
        <v>451807</v>
      </c>
    </row>
    <row r="303" spans="1:30" ht="15.75">
      <c r="A303" s="35" t="s">
        <v>419</v>
      </c>
      <c r="B303" s="15" t="s">
        <v>357</v>
      </c>
      <c r="C303" s="14"/>
      <c r="D303" s="14"/>
      <c r="E303" s="14"/>
      <c r="F303" s="14"/>
      <c r="G303" s="14"/>
      <c r="H303" s="14"/>
      <c r="I303" s="14"/>
      <c r="J303" s="14"/>
      <c r="K303" s="48">
        <v>0</v>
      </c>
      <c r="L303" s="14"/>
      <c r="M303" s="14"/>
      <c r="N303" s="14"/>
      <c r="O303" s="14"/>
      <c r="P303" s="14"/>
      <c r="Q303" s="14">
        <v>796</v>
      </c>
      <c r="R303" s="14">
        <v>988</v>
      </c>
      <c r="S303" s="14">
        <v>1392</v>
      </c>
      <c r="T303" s="14">
        <v>1169</v>
      </c>
      <c r="U303" s="14">
        <v>1167</v>
      </c>
      <c r="V303" s="14">
        <v>601</v>
      </c>
      <c r="W303" s="14" t="s">
        <v>335</v>
      </c>
      <c r="X303" s="14"/>
      <c r="Y303" s="14"/>
      <c r="Z303" s="14"/>
      <c r="AA303" s="14"/>
      <c r="AB303" s="14"/>
      <c r="AC303" s="14"/>
      <c r="AD303" s="14"/>
    </row>
    <row r="304" spans="1:42" ht="15.75">
      <c r="A304" s="35" t="s">
        <v>220</v>
      </c>
      <c r="B304" s="15" t="s">
        <v>357</v>
      </c>
      <c r="C304" s="14">
        <v>2176</v>
      </c>
      <c r="D304" s="14">
        <v>2324</v>
      </c>
      <c r="E304" s="14">
        <v>2551</v>
      </c>
      <c r="F304" s="14">
        <v>2361</v>
      </c>
      <c r="G304" s="14">
        <v>3327</v>
      </c>
      <c r="H304" s="16">
        <v>3210</v>
      </c>
      <c r="I304" s="16">
        <v>3738</v>
      </c>
      <c r="J304" s="16">
        <v>3537</v>
      </c>
      <c r="K304" s="16">
        <v>4075</v>
      </c>
      <c r="L304" s="16">
        <v>5548</v>
      </c>
      <c r="M304" s="16">
        <v>3670</v>
      </c>
      <c r="N304" s="16">
        <v>7287</v>
      </c>
      <c r="O304" s="16">
        <v>4236</v>
      </c>
      <c r="P304" s="16">
        <v>5634</v>
      </c>
      <c r="Q304" s="16">
        <v>1210</v>
      </c>
      <c r="R304" s="16">
        <v>1643</v>
      </c>
      <c r="S304" s="16">
        <v>2225</v>
      </c>
      <c r="T304" s="16">
        <v>3962</v>
      </c>
      <c r="U304" s="16">
        <v>2506</v>
      </c>
      <c r="V304" s="16">
        <v>1497</v>
      </c>
      <c r="W304" s="16">
        <v>2948</v>
      </c>
      <c r="X304" s="16">
        <v>5365</v>
      </c>
      <c r="Y304" s="16">
        <v>5698</v>
      </c>
      <c r="Z304" s="16">
        <v>893</v>
      </c>
      <c r="AA304" s="16">
        <v>5010</v>
      </c>
      <c r="AB304" s="16">
        <v>2654</v>
      </c>
      <c r="AC304" s="16">
        <v>4342</v>
      </c>
      <c r="AD304" s="16">
        <v>2338</v>
      </c>
      <c r="AE304" s="16">
        <v>4100</v>
      </c>
      <c r="AF304" s="16">
        <v>4100</v>
      </c>
      <c r="AG304" s="16">
        <v>3444</v>
      </c>
      <c r="AH304" s="16">
        <v>4100</v>
      </c>
      <c r="AI304" s="16">
        <v>4100</v>
      </c>
      <c r="AJ304" s="16">
        <v>3419</v>
      </c>
      <c r="AK304" s="16">
        <v>3093</v>
      </c>
      <c r="AL304" s="104">
        <v>3093</v>
      </c>
      <c r="AM304" s="104">
        <v>3400</v>
      </c>
      <c r="AN304" s="104">
        <v>3400</v>
      </c>
      <c r="AO304" s="104">
        <v>3400</v>
      </c>
      <c r="AP304" s="104">
        <v>3400</v>
      </c>
    </row>
    <row r="305" spans="1:42" ht="15.75">
      <c r="A305" s="35" t="s">
        <v>251</v>
      </c>
      <c r="B305" s="15" t="s">
        <v>357</v>
      </c>
      <c r="C305" s="43">
        <f aca="true" t="shared" si="135" ref="C305:L305">SUM(C301:C304)</f>
        <v>2176</v>
      </c>
      <c r="D305" s="43">
        <f t="shared" si="135"/>
        <v>2324</v>
      </c>
      <c r="E305" s="43">
        <f t="shared" si="135"/>
        <v>2551</v>
      </c>
      <c r="F305" s="43">
        <f t="shared" si="135"/>
        <v>2361</v>
      </c>
      <c r="G305" s="43">
        <f t="shared" si="135"/>
        <v>3327</v>
      </c>
      <c r="H305" s="16">
        <f t="shared" si="135"/>
        <v>3210</v>
      </c>
      <c r="I305" s="16">
        <f t="shared" si="135"/>
        <v>3738</v>
      </c>
      <c r="J305" s="16">
        <f t="shared" si="135"/>
        <v>3537</v>
      </c>
      <c r="K305" s="16">
        <f t="shared" si="135"/>
        <v>4075</v>
      </c>
      <c r="L305" s="16">
        <f t="shared" si="135"/>
        <v>127715</v>
      </c>
      <c r="M305" s="16">
        <f aca="true" t="shared" si="136" ref="M305:U305">SUM(M301:M304)</f>
        <v>144685</v>
      </c>
      <c r="N305" s="16">
        <f t="shared" si="136"/>
        <v>168360</v>
      </c>
      <c r="O305" s="16">
        <f t="shared" si="136"/>
        <v>190899</v>
      </c>
      <c r="P305" s="16">
        <f t="shared" si="136"/>
        <v>195825</v>
      </c>
      <c r="Q305" s="16">
        <f t="shared" si="136"/>
        <v>195609</v>
      </c>
      <c r="R305" s="16">
        <f t="shared" si="136"/>
        <v>232125</v>
      </c>
      <c r="S305" s="16">
        <f t="shared" si="136"/>
        <v>228723</v>
      </c>
      <c r="T305" s="16">
        <f t="shared" si="136"/>
        <v>212807</v>
      </c>
      <c r="U305" s="16">
        <f t="shared" si="136"/>
        <v>238656</v>
      </c>
      <c r="V305" s="16">
        <f aca="true" t="shared" si="137" ref="V305:AF305">(SUM(V301:V304))</f>
        <v>238262</v>
      </c>
      <c r="W305" s="16">
        <f t="shared" si="137"/>
        <v>319086</v>
      </c>
      <c r="X305" s="16">
        <f t="shared" si="137"/>
        <v>315131</v>
      </c>
      <c r="Y305" s="16">
        <f t="shared" si="137"/>
        <v>266770</v>
      </c>
      <c r="Z305" s="16">
        <f t="shared" si="137"/>
        <v>303884</v>
      </c>
      <c r="AA305" s="16">
        <f t="shared" si="137"/>
        <v>306281</v>
      </c>
      <c r="AB305" s="16">
        <f t="shared" si="137"/>
        <v>359302</v>
      </c>
      <c r="AC305" s="16">
        <f t="shared" si="137"/>
        <v>334294</v>
      </c>
      <c r="AD305" s="16">
        <f t="shared" si="137"/>
        <v>332290</v>
      </c>
      <c r="AE305" s="16">
        <f t="shared" si="137"/>
        <v>341576</v>
      </c>
      <c r="AF305" s="16">
        <f t="shared" si="137"/>
        <v>349515</v>
      </c>
      <c r="AG305" s="16">
        <f aca="true" t="shared" si="138" ref="AG305:AP305">(SUM(AG301:AG304))</f>
        <v>348859</v>
      </c>
      <c r="AH305" s="16">
        <f t="shared" si="138"/>
        <v>373955</v>
      </c>
      <c r="AI305" s="16">
        <f t="shared" si="138"/>
        <v>342797</v>
      </c>
      <c r="AJ305" s="16">
        <f t="shared" si="138"/>
        <v>342117</v>
      </c>
      <c r="AK305" s="16">
        <f t="shared" si="138"/>
        <v>367066</v>
      </c>
      <c r="AL305" s="104">
        <f t="shared" si="138"/>
        <v>367066</v>
      </c>
      <c r="AM305" s="104">
        <f t="shared" si="138"/>
        <v>427409</v>
      </c>
      <c r="AN305" s="104">
        <f t="shared" si="138"/>
        <v>435592</v>
      </c>
      <c r="AO305" s="104">
        <f t="shared" si="138"/>
        <v>435592</v>
      </c>
      <c r="AP305" s="104">
        <f t="shared" si="138"/>
        <v>455207</v>
      </c>
    </row>
    <row r="306" spans="1:30" ht="15.75">
      <c r="A306" s="14"/>
      <c r="B306" s="15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42" ht="15.75">
      <c r="A307" s="35" t="s">
        <v>10</v>
      </c>
      <c r="B307" s="15" t="s">
        <v>357</v>
      </c>
      <c r="C307" s="16">
        <f aca="true" t="shared" si="139" ref="C307:L307">C299+C305</f>
        <v>134418</v>
      </c>
      <c r="D307" s="16">
        <f t="shared" si="139"/>
        <v>111940</v>
      </c>
      <c r="E307" s="16">
        <f t="shared" si="139"/>
        <v>133036</v>
      </c>
      <c r="F307" s="16">
        <f t="shared" si="139"/>
        <v>148090</v>
      </c>
      <c r="G307" s="16">
        <f t="shared" si="139"/>
        <v>149222</v>
      </c>
      <c r="H307" s="16">
        <f t="shared" si="139"/>
        <v>180607</v>
      </c>
      <c r="I307" s="16">
        <f t="shared" si="139"/>
        <v>171119</v>
      </c>
      <c r="J307" s="16">
        <f t="shared" si="139"/>
        <v>152283</v>
      </c>
      <c r="K307" s="16">
        <f t="shared" si="139"/>
        <v>151666</v>
      </c>
      <c r="L307" s="16">
        <f t="shared" si="139"/>
        <v>270056</v>
      </c>
      <c r="M307" s="16">
        <f aca="true" t="shared" si="140" ref="M307:U307">M299+M305</f>
        <v>276209</v>
      </c>
      <c r="N307" s="16">
        <f t="shared" si="140"/>
        <v>322407</v>
      </c>
      <c r="O307" s="16">
        <f t="shared" si="140"/>
        <v>353933</v>
      </c>
      <c r="P307" s="16">
        <f t="shared" si="140"/>
        <v>366019</v>
      </c>
      <c r="Q307" s="16">
        <f t="shared" si="140"/>
        <v>407845</v>
      </c>
      <c r="R307" s="16">
        <f t="shared" si="140"/>
        <v>464282</v>
      </c>
      <c r="S307" s="16">
        <f t="shared" si="140"/>
        <v>557143</v>
      </c>
      <c r="T307" s="16">
        <f t="shared" si="140"/>
        <v>499459</v>
      </c>
      <c r="U307" s="16">
        <f t="shared" si="140"/>
        <v>613950</v>
      </c>
      <c r="V307" s="16">
        <f aca="true" t="shared" si="141" ref="V307:AA307">(V299+V305)</f>
        <v>585767</v>
      </c>
      <c r="W307" s="16">
        <f t="shared" si="141"/>
        <v>654907</v>
      </c>
      <c r="X307" s="16">
        <f t="shared" si="141"/>
        <v>593546</v>
      </c>
      <c r="Y307" s="16">
        <f t="shared" si="141"/>
        <v>574718</v>
      </c>
      <c r="Z307" s="16">
        <f t="shared" si="141"/>
        <v>620415</v>
      </c>
      <c r="AA307" s="16">
        <f t="shared" si="141"/>
        <v>633701</v>
      </c>
      <c r="AB307" s="16">
        <f aca="true" t="shared" si="142" ref="AB307:AH307">(AB299+AB305)</f>
        <v>663437</v>
      </c>
      <c r="AC307" s="16">
        <f t="shared" si="142"/>
        <v>661519</v>
      </c>
      <c r="AD307" s="16">
        <f t="shared" si="142"/>
        <v>660588</v>
      </c>
      <c r="AE307" s="16">
        <f t="shared" si="142"/>
        <v>671072</v>
      </c>
      <c r="AF307" s="16">
        <f t="shared" si="142"/>
        <v>668103</v>
      </c>
      <c r="AG307" s="16">
        <f>(AG299+AG305)</f>
        <v>665609</v>
      </c>
      <c r="AH307" s="16">
        <f t="shared" si="142"/>
        <v>705864</v>
      </c>
      <c r="AI307" s="16">
        <f aca="true" t="shared" si="143" ref="AI307:AP307">(AI299+AI305)</f>
        <v>693676</v>
      </c>
      <c r="AJ307" s="16">
        <f t="shared" si="143"/>
        <v>695580</v>
      </c>
      <c r="AK307" s="16">
        <f>(AK299+AK305)</f>
        <v>731199</v>
      </c>
      <c r="AL307" s="104">
        <f t="shared" si="143"/>
        <v>731199</v>
      </c>
      <c r="AM307" s="104">
        <f t="shared" si="143"/>
        <v>808146</v>
      </c>
      <c r="AN307" s="104">
        <f t="shared" si="143"/>
        <v>830213</v>
      </c>
      <c r="AO307" s="104">
        <f>(AO299+AO305)</f>
        <v>830213</v>
      </c>
      <c r="AP307" s="104">
        <f t="shared" si="143"/>
        <v>859411</v>
      </c>
    </row>
    <row r="308" spans="1:30" ht="15.75">
      <c r="A308" s="14"/>
      <c r="B308" s="15" t="s">
        <v>357</v>
      </c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</row>
    <row r="309" spans="1:42" ht="15.75">
      <c r="A309" s="35" t="s">
        <v>166</v>
      </c>
      <c r="B309" s="15" t="s">
        <v>357</v>
      </c>
      <c r="C309" s="14">
        <f aca="true" t="shared" si="144" ref="C309:U309">C281+C307</f>
        <v>321135</v>
      </c>
      <c r="D309" s="14">
        <f t="shared" si="144"/>
        <v>367832</v>
      </c>
      <c r="E309" s="14">
        <f t="shared" si="144"/>
        <v>441439</v>
      </c>
      <c r="F309" s="14">
        <f t="shared" si="144"/>
        <v>435346</v>
      </c>
      <c r="G309" s="14">
        <f t="shared" si="144"/>
        <v>427552</v>
      </c>
      <c r="H309" s="14">
        <f t="shared" si="144"/>
        <v>441463</v>
      </c>
      <c r="I309" s="14">
        <f t="shared" si="144"/>
        <v>496411</v>
      </c>
      <c r="J309" s="14">
        <f t="shared" si="144"/>
        <v>526655</v>
      </c>
      <c r="K309" s="14">
        <f t="shared" si="144"/>
        <v>585491</v>
      </c>
      <c r="L309" s="14">
        <f t="shared" si="144"/>
        <v>637597</v>
      </c>
      <c r="M309" s="14">
        <f t="shared" si="144"/>
        <v>722495</v>
      </c>
      <c r="N309" s="14">
        <f t="shared" si="144"/>
        <v>745841</v>
      </c>
      <c r="O309" s="14">
        <f t="shared" si="144"/>
        <v>833952</v>
      </c>
      <c r="P309" s="14">
        <f t="shared" si="144"/>
        <v>954919</v>
      </c>
      <c r="Q309" s="14">
        <f t="shared" si="144"/>
        <v>1100806</v>
      </c>
      <c r="R309" s="14">
        <f t="shared" si="144"/>
        <v>1225516</v>
      </c>
      <c r="S309" s="14">
        <f t="shared" si="144"/>
        <v>1307431</v>
      </c>
      <c r="T309" s="14">
        <f t="shared" si="144"/>
        <v>1205999</v>
      </c>
      <c r="U309" s="14">
        <f t="shared" si="144"/>
        <v>1271208</v>
      </c>
      <c r="V309" s="14">
        <f aca="true" t="shared" si="145" ref="V309:AA309">(V281+V307)</f>
        <v>1239382</v>
      </c>
      <c r="W309" s="14">
        <f t="shared" si="145"/>
        <v>1428803</v>
      </c>
      <c r="X309" s="14">
        <f t="shared" si="145"/>
        <v>1460778</v>
      </c>
      <c r="Y309" s="14">
        <f t="shared" si="145"/>
        <v>1413156</v>
      </c>
      <c r="Z309" s="14">
        <f t="shared" si="145"/>
        <v>1506933</v>
      </c>
      <c r="AA309" s="14">
        <f t="shared" si="145"/>
        <v>1910601</v>
      </c>
      <c r="AB309" s="14">
        <f aca="true" t="shared" si="146" ref="AB309:AH309">(AB281+AB307)</f>
        <v>1922565</v>
      </c>
      <c r="AC309" s="14">
        <f t="shared" si="146"/>
        <v>1942783</v>
      </c>
      <c r="AD309" s="14">
        <f t="shared" si="146"/>
        <v>1924205.312</v>
      </c>
      <c r="AE309" s="14">
        <f t="shared" si="146"/>
        <v>1956299</v>
      </c>
      <c r="AF309" s="14">
        <f t="shared" si="146"/>
        <v>1971536.3650000002</v>
      </c>
      <c r="AG309" s="14">
        <f>(AG281+AG307)</f>
        <v>1984538</v>
      </c>
      <c r="AH309" s="14">
        <f t="shared" si="146"/>
        <v>2031917</v>
      </c>
      <c r="AI309" s="14">
        <f aca="true" t="shared" si="147" ref="AI309:AP309">(AI281+AI307)</f>
        <v>1985715</v>
      </c>
      <c r="AJ309" s="14">
        <f t="shared" si="147"/>
        <v>2027754</v>
      </c>
      <c r="AK309" s="14">
        <f t="shared" si="147"/>
        <v>2201726</v>
      </c>
      <c r="AL309" s="70">
        <f t="shared" si="147"/>
        <v>2049326</v>
      </c>
      <c r="AM309" s="70">
        <f t="shared" si="147"/>
        <v>2099682</v>
      </c>
      <c r="AN309" s="70">
        <f t="shared" si="147"/>
        <v>2100706</v>
      </c>
      <c r="AO309" s="70">
        <f>(AO281+AO307)</f>
        <v>2168322</v>
      </c>
      <c r="AP309" s="70">
        <f t="shared" si="147"/>
        <v>2146180</v>
      </c>
    </row>
    <row r="310" spans="1:30" ht="15.75">
      <c r="A310" s="14"/>
      <c r="B310" s="15" t="s">
        <v>357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C310" s="14"/>
      <c r="AD310" s="14"/>
    </row>
    <row r="311" spans="1:30" ht="15.75" hidden="1">
      <c r="A311" s="34" t="s">
        <v>167</v>
      </c>
      <c r="B311" s="15" t="s">
        <v>357</v>
      </c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C311" s="14"/>
      <c r="AD311" s="14"/>
    </row>
    <row r="312" spans="1:30" ht="7.5" customHeight="1" hidden="1">
      <c r="A312" s="14"/>
      <c r="B312" s="15" t="s">
        <v>357</v>
      </c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C312" s="14"/>
      <c r="AD312" s="14"/>
    </row>
    <row r="313" spans="1:30" ht="15.75" hidden="1">
      <c r="A313" s="10" t="s">
        <v>101</v>
      </c>
      <c r="B313" s="15" t="s">
        <v>357</v>
      </c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C313" s="14"/>
      <c r="AD313" s="14"/>
    </row>
    <row r="314" spans="1:30" ht="9" customHeight="1" hidden="1">
      <c r="A314" s="14"/>
      <c r="B314" s="15" t="s">
        <v>357</v>
      </c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C314" s="14"/>
      <c r="AD314" s="14"/>
    </row>
    <row r="315" spans="1:30" ht="15.75" hidden="1">
      <c r="A315" s="15" t="s">
        <v>102</v>
      </c>
      <c r="B315" s="15" t="s">
        <v>357</v>
      </c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C315" s="14"/>
      <c r="AD315" s="14"/>
    </row>
    <row r="316" spans="1:30" ht="15.75" hidden="1">
      <c r="A316" s="35" t="s">
        <v>366</v>
      </c>
      <c r="B316" s="15" t="s">
        <v>357</v>
      </c>
      <c r="C316" s="14"/>
      <c r="D316" s="14"/>
      <c r="E316" s="14"/>
      <c r="F316" s="14"/>
      <c r="G316" s="14"/>
      <c r="H316" s="39"/>
      <c r="I316" s="39"/>
      <c r="J316" s="39"/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48">
        <v>0</v>
      </c>
      <c r="T316" s="16">
        <v>164249</v>
      </c>
      <c r="U316" s="16">
        <f>166890-232-14549</f>
        <v>152109</v>
      </c>
      <c r="V316" s="16">
        <v>0</v>
      </c>
      <c r="W316" s="51">
        <v>0</v>
      </c>
      <c r="X316" s="51">
        <v>0</v>
      </c>
      <c r="Y316" s="80"/>
      <c r="Z316" s="80"/>
      <c r="AA316" s="80"/>
      <c r="AB316" s="80"/>
      <c r="AC316" s="80"/>
      <c r="AD316" s="80"/>
    </row>
    <row r="317" spans="1:30" ht="15.75" hidden="1">
      <c r="A317" s="35" t="s">
        <v>411</v>
      </c>
      <c r="B317" s="15" t="s">
        <v>357</v>
      </c>
      <c r="C317" s="14"/>
      <c r="D317" s="14"/>
      <c r="E317" s="14"/>
      <c r="F317" s="14"/>
      <c r="G317" s="14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6">
        <f>T316</f>
        <v>164249</v>
      </c>
      <c r="U317" s="16">
        <f>U316</f>
        <v>152109</v>
      </c>
      <c r="V317" s="16">
        <f>(V316)</f>
        <v>0</v>
      </c>
      <c r="W317" s="16">
        <f>(W316)</f>
        <v>0</v>
      </c>
      <c r="X317" s="16">
        <f>(X316)</f>
        <v>0</v>
      </c>
      <c r="Y317" s="39"/>
      <c r="Z317" s="39"/>
      <c r="AA317" s="39"/>
      <c r="AB317" s="39"/>
      <c r="AC317" s="39"/>
      <c r="AD317" s="39"/>
    </row>
    <row r="318" spans="1:30" ht="15.75" hidden="1">
      <c r="A318" s="35" t="s">
        <v>412</v>
      </c>
      <c r="B318" s="15" t="s">
        <v>357</v>
      </c>
      <c r="C318" s="14"/>
      <c r="D318" s="14"/>
      <c r="E318" s="14"/>
      <c r="F318" s="14"/>
      <c r="G318" s="14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4">
        <f>T317</f>
        <v>164249</v>
      </c>
      <c r="U318" s="14">
        <f>U317</f>
        <v>152109</v>
      </c>
      <c r="V318" s="14">
        <f>V317</f>
        <v>0</v>
      </c>
      <c r="W318" s="14">
        <f>W317</f>
        <v>0</v>
      </c>
      <c r="X318" s="14">
        <f>X317</f>
        <v>0</v>
      </c>
      <c r="Y318" s="39"/>
      <c r="Z318" s="39"/>
      <c r="AA318" s="39"/>
      <c r="AB318" s="39"/>
      <c r="AC318" s="39"/>
      <c r="AD318" s="39"/>
    </row>
    <row r="319" spans="21:42" s="13" customFormat="1" ht="12.75" customHeight="1" hidden="1">
      <c r="U319" s="13" t="s">
        <v>334</v>
      </c>
      <c r="Y319" s="67"/>
      <c r="Z319" s="67"/>
      <c r="AA319" s="67"/>
      <c r="AB319" s="67"/>
      <c r="AC319" s="67"/>
      <c r="AD319" s="67"/>
      <c r="AL319" s="112"/>
      <c r="AM319" s="112"/>
      <c r="AN319" s="112"/>
      <c r="AO319" s="112"/>
      <c r="AP319" s="112"/>
    </row>
    <row r="320" spans="1:30" ht="15.75" hidden="1">
      <c r="A320" s="10" t="s">
        <v>402</v>
      </c>
      <c r="B320" s="15" t="s">
        <v>357</v>
      </c>
      <c r="C320" s="14"/>
      <c r="D320" s="14"/>
      <c r="E320" s="14"/>
      <c r="F320" s="14"/>
      <c r="G320" s="14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ht="15.75" hidden="1">
      <c r="A321" s="35" t="s">
        <v>356</v>
      </c>
      <c r="B321" s="15" t="s">
        <v>357</v>
      </c>
      <c r="C321" s="14"/>
      <c r="D321" s="14"/>
      <c r="E321" s="14"/>
      <c r="F321" s="14"/>
      <c r="G321" s="14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6">
        <v>0</v>
      </c>
      <c r="U321" s="16">
        <v>82</v>
      </c>
      <c r="V321" s="16"/>
      <c r="W321" s="16"/>
      <c r="X321" s="16"/>
      <c r="Y321" s="39"/>
      <c r="Z321" s="39"/>
      <c r="AA321" s="39"/>
      <c r="AB321" s="39"/>
      <c r="AC321" s="39"/>
      <c r="AD321" s="39"/>
    </row>
    <row r="322" spans="1:30" ht="15.75" hidden="1">
      <c r="A322" s="35" t="s">
        <v>14</v>
      </c>
      <c r="B322" s="15" t="s">
        <v>357</v>
      </c>
      <c r="C322" s="14"/>
      <c r="D322" s="14"/>
      <c r="E322" s="14"/>
      <c r="F322" s="14"/>
      <c r="G322" s="14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6">
        <f>SUM(T320:T321)</f>
        <v>0</v>
      </c>
      <c r="U322" s="16">
        <f>SUM(U320:U321)</f>
        <v>82</v>
      </c>
      <c r="V322" s="16">
        <f>(SUM(V320:V321))</f>
        <v>0</v>
      </c>
      <c r="W322" s="16">
        <f>(SUM(W320:W321))</f>
        <v>0</v>
      </c>
      <c r="X322" s="16">
        <f>(SUM(X320:X321))</f>
        <v>0</v>
      </c>
      <c r="Y322" s="39"/>
      <c r="Z322" s="39"/>
      <c r="AA322" s="39"/>
      <c r="AB322" s="39"/>
      <c r="AC322" s="39"/>
      <c r="AD322" s="39"/>
    </row>
    <row r="323" spans="1:30" ht="10.5" customHeight="1" hidden="1">
      <c r="A323" s="35"/>
      <c r="B323" s="15" t="s">
        <v>357</v>
      </c>
      <c r="C323" s="14"/>
      <c r="D323" s="14"/>
      <c r="E323" s="14"/>
      <c r="F323" s="14"/>
      <c r="G323" s="14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ht="15.75" hidden="1">
      <c r="A324" s="15" t="s">
        <v>316</v>
      </c>
      <c r="B324" s="15" t="s">
        <v>357</v>
      </c>
      <c r="C324" s="14"/>
      <c r="D324" s="14"/>
      <c r="E324" s="14"/>
      <c r="F324" s="14"/>
      <c r="G324" s="14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ht="15.75" hidden="1">
      <c r="A325" s="35" t="s">
        <v>15</v>
      </c>
      <c r="B325" s="15" t="s">
        <v>357</v>
      </c>
      <c r="C325" s="14"/>
      <c r="D325" s="14"/>
      <c r="E325" s="14"/>
      <c r="F325" s="14"/>
      <c r="G325" s="14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6">
        <v>75</v>
      </c>
      <c r="U325" s="16">
        <v>50</v>
      </c>
      <c r="V325" s="16"/>
      <c r="W325" s="16"/>
      <c r="X325" s="16"/>
      <c r="Y325" s="39"/>
      <c r="Z325" s="39"/>
      <c r="AA325" s="39"/>
      <c r="AB325" s="39"/>
      <c r="AC325" s="39"/>
      <c r="AD325" s="39"/>
    </row>
    <row r="326" spans="1:30" ht="15.75" hidden="1">
      <c r="A326" s="35" t="s">
        <v>251</v>
      </c>
      <c r="B326" s="15" t="s">
        <v>357</v>
      </c>
      <c r="C326" s="36"/>
      <c r="D326" s="36"/>
      <c r="E326" s="36"/>
      <c r="F326" s="36"/>
      <c r="G326" s="36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36">
        <f>SUM(T325)</f>
        <v>75</v>
      </c>
      <c r="U326" s="36">
        <f>SUM(U325)</f>
        <v>50</v>
      </c>
      <c r="V326" s="36">
        <f>SUM(V325)</f>
        <v>0</v>
      </c>
      <c r="W326" s="36">
        <f>SUM(W325)</f>
        <v>0</v>
      </c>
      <c r="X326" s="36">
        <f>SUM(X325)</f>
        <v>0</v>
      </c>
      <c r="Y326" s="58"/>
      <c r="Z326" s="58"/>
      <c r="AA326" s="58"/>
      <c r="AB326" s="58"/>
      <c r="AC326" s="58"/>
      <c r="AD326" s="58"/>
    </row>
    <row r="327" spans="1:30" ht="15.75" hidden="1">
      <c r="A327" s="35"/>
      <c r="B327" s="15" t="s">
        <v>357</v>
      </c>
      <c r="C327" s="36"/>
      <c r="D327" s="36"/>
      <c r="E327" s="36"/>
      <c r="F327" s="36"/>
      <c r="G327" s="36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36"/>
      <c r="U327" s="36"/>
      <c r="V327" s="36"/>
      <c r="W327" s="36"/>
      <c r="X327" s="36"/>
      <c r="Y327" s="58"/>
      <c r="Z327" s="58"/>
      <c r="AA327" s="58"/>
      <c r="AB327" s="58"/>
      <c r="AC327" s="58"/>
      <c r="AD327" s="58"/>
    </row>
    <row r="328" spans="1:30" ht="15.75" hidden="1">
      <c r="A328" s="35" t="s">
        <v>10</v>
      </c>
      <c r="B328" s="15" t="s">
        <v>357</v>
      </c>
      <c r="C328" s="14"/>
      <c r="D328" s="14"/>
      <c r="E328" s="14"/>
      <c r="F328" s="14"/>
      <c r="G328" s="14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6">
        <f>T322+T326</f>
        <v>75</v>
      </c>
      <c r="U328" s="16">
        <f>U322+U326</f>
        <v>132</v>
      </c>
      <c r="V328" s="16">
        <f>V322+V326</f>
        <v>0</v>
      </c>
      <c r="W328" s="16">
        <f>W322+W326</f>
        <v>0</v>
      </c>
      <c r="X328" s="16">
        <f>X322+X326</f>
        <v>0</v>
      </c>
      <c r="Y328" s="39"/>
      <c r="Z328" s="39"/>
      <c r="AA328" s="39"/>
      <c r="AB328" s="39"/>
      <c r="AC328" s="39"/>
      <c r="AD328" s="39"/>
    </row>
    <row r="329" spans="1:30" ht="7.5" customHeight="1" hidden="1">
      <c r="A329" s="14"/>
      <c r="B329" s="15" t="s">
        <v>357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39"/>
      <c r="Z329" s="39"/>
      <c r="AA329" s="39"/>
      <c r="AB329" s="39"/>
      <c r="AC329" s="39"/>
      <c r="AD329" s="39"/>
    </row>
    <row r="330" spans="1:30" ht="15.75" hidden="1">
      <c r="A330" s="35" t="s">
        <v>16</v>
      </c>
      <c r="B330" s="15" t="s">
        <v>357</v>
      </c>
      <c r="C330" s="14"/>
      <c r="D330" s="14"/>
      <c r="E330" s="14"/>
      <c r="F330" s="14"/>
      <c r="G330" s="14"/>
      <c r="H330" s="14"/>
      <c r="I330" s="14"/>
      <c r="J330" s="14"/>
      <c r="K330" s="14" t="s">
        <v>357</v>
      </c>
      <c r="L330" s="14"/>
      <c r="M330" s="14"/>
      <c r="N330" s="14"/>
      <c r="O330" s="14"/>
      <c r="P330" s="14"/>
      <c r="Q330" s="14"/>
      <c r="R330" s="14"/>
      <c r="S330" s="14"/>
      <c r="T330" s="14">
        <f>T318+T328</f>
        <v>164324</v>
      </c>
      <c r="U330" s="14">
        <f>U318+U328</f>
        <v>152241</v>
      </c>
      <c r="V330" s="14">
        <f>(V318+V328)</f>
        <v>0</v>
      </c>
      <c r="W330" s="14">
        <f>(W318+W328)</f>
        <v>0</v>
      </c>
      <c r="X330" s="14">
        <f>(X318+X328)</f>
        <v>0</v>
      </c>
      <c r="Y330" s="14"/>
      <c r="Z330" s="14"/>
      <c r="AA330" s="14"/>
      <c r="AB330" s="14"/>
      <c r="AC330" s="14"/>
      <c r="AD330" s="14"/>
    </row>
    <row r="331" spans="1:30" ht="15.75" hidden="1">
      <c r="A331" s="13"/>
      <c r="B331" s="15" t="s">
        <v>357</v>
      </c>
      <c r="C331" s="14"/>
      <c r="D331" s="14"/>
      <c r="E331" s="14"/>
      <c r="F331" s="14"/>
      <c r="G331" s="14"/>
      <c r="H331" s="14"/>
      <c r="I331" s="14"/>
      <c r="J331" s="39"/>
      <c r="K331" s="48">
        <v>0</v>
      </c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C331" s="14"/>
      <c r="AD331" s="14"/>
    </row>
    <row r="332" spans="1:30" ht="15.75">
      <c r="A332" s="34" t="s">
        <v>364</v>
      </c>
      <c r="B332" s="15" t="s">
        <v>357</v>
      </c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C332" s="14"/>
      <c r="AD332" s="14"/>
    </row>
    <row r="333" spans="1:30" ht="15.75">
      <c r="A333" s="14"/>
      <c r="B333" s="15" t="s">
        <v>357</v>
      </c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C333" s="14"/>
      <c r="AD333" s="14"/>
    </row>
    <row r="334" spans="1:30" ht="15.75">
      <c r="A334" s="10" t="s">
        <v>101</v>
      </c>
      <c r="B334" s="15" t="s">
        <v>357</v>
      </c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C334" s="14"/>
      <c r="AD334" s="14"/>
    </row>
    <row r="335" spans="1:30" ht="15.75">
      <c r="A335" s="14"/>
      <c r="B335" s="15" t="s">
        <v>357</v>
      </c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C335" s="14"/>
      <c r="AD335" s="14"/>
    </row>
    <row r="336" spans="1:30" ht="15.75">
      <c r="A336" s="15" t="s">
        <v>102</v>
      </c>
      <c r="B336" s="15" t="s">
        <v>357</v>
      </c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C336" s="14"/>
      <c r="AD336" s="14"/>
    </row>
    <row r="337" spans="1:42" ht="15.75">
      <c r="A337" s="35" t="s">
        <v>365</v>
      </c>
      <c r="B337" s="15" t="s">
        <v>357</v>
      </c>
      <c r="C337" s="14">
        <v>295033</v>
      </c>
      <c r="D337" s="14">
        <v>340851</v>
      </c>
      <c r="E337" s="14">
        <v>387726</v>
      </c>
      <c r="F337" s="14">
        <v>390955</v>
      </c>
      <c r="G337" s="14">
        <v>475021</v>
      </c>
      <c r="H337" s="14">
        <v>521528</v>
      </c>
      <c r="I337" s="14">
        <v>605279</v>
      </c>
      <c r="J337" s="14">
        <v>616570</v>
      </c>
      <c r="K337" s="14">
        <v>636318</v>
      </c>
      <c r="L337" s="14">
        <v>610634</v>
      </c>
      <c r="M337" s="14">
        <v>704481</v>
      </c>
      <c r="N337" s="14">
        <v>754299</v>
      </c>
      <c r="O337" s="14">
        <v>791504</v>
      </c>
      <c r="P337" s="14">
        <v>769239</v>
      </c>
      <c r="Q337" s="14">
        <v>874174</v>
      </c>
      <c r="R337" s="14">
        <v>977602</v>
      </c>
      <c r="S337" s="14">
        <v>984085</v>
      </c>
      <c r="T337" s="14">
        <v>1094390</v>
      </c>
      <c r="U337" s="14">
        <v>1082409</v>
      </c>
      <c r="V337" s="14">
        <v>1081772</v>
      </c>
      <c r="W337" s="14">
        <v>1154669</v>
      </c>
      <c r="X337" s="14">
        <v>1246344</v>
      </c>
      <c r="Y337" s="14">
        <v>1285828</v>
      </c>
      <c r="Z337" s="14">
        <f>1363764+124</f>
        <v>1363888</v>
      </c>
      <c r="AA337" s="14">
        <f>1394244-3063+179+1713</f>
        <v>1393073</v>
      </c>
      <c r="AB337" s="70">
        <f>1476977+10098-877</f>
        <v>1486198</v>
      </c>
      <c r="AC337" s="70">
        <v>1584565</v>
      </c>
      <c r="AD337" s="70">
        <f>1557153+(9000*0.9935)-1764.216</f>
        <v>1564330.284</v>
      </c>
      <c r="AE337" s="70">
        <v>1631882</v>
      </c>
      <c r="AF337" s="70">
        <v>1609560.749</v>
      </c>
      <c r="AG337" s="70">
        <v>1619628</v>
      </c>
      <c r="AH337" s="70">
        <v>1686067</v>
      </c>
      <c r="AI337" s="70">
        <v>1683564</v>
      </c>
      <c r="AJ337" s="70">
        <v>1688736</v>
      </c>
      <c r="AK337" s="70">
        <v>1718591</v>
      </c>
      <c r="AL337" s="70">
        <v>1718591</v>
      </c>
      <c r="AM337" s="70">
        <v>1742317</v>
      </c>
      <c r="AN337" s="70">
        <v>1686650</v>
      </c>
      <c r="AO337" s="70">
        <f>1762684+525</f>
        <v>1763209</v>
      </c>
      <c r="AP337" s="70">
        <v>1969010</v>
      </c>
    </row>
    <row r="338" spans="1:42" ht="15.75">
      <c r="A338" s="35" t="s">
        <v>349</v>
      </c>
      <c r="B338" s="15" t="s">
        <v>357</v>
      </c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36" t="s">
        <v>350</v>
      </c>
      <c r="AA338" s="14">
        <f>78048+1700-172+1400</f>
        <v>80976</v>
      </c>
      <c r="AB338" s="14">
        <f>65260+25295-75</f>
        <v>90480</v>
      </c>
      <c r="AC338" s="14">
        <v>78431</v>
      </c>
      <c r="AD338" s="14">
        <v>77921</v>
      </c>
      <c r="AE338" s="14">
        <v>78859</v>
      </c>
      <c r="AF338" s="14">
        <v>77887.308</v>
      </c>
      <c r="AG338" s="14">
        <v>77887</v>
      </c>
      <c r="AH338" s="14">
        <v>81204</v>
      </c>
      <c r="AI338" s="14">
        <v>80076</v>
      </c>
      <c r="AJ338" s="14">
        <v>80076</v>
      </c>
      <c r="AK338" s="14">
        <v>80213</v>
      </c>
      <c r="AL338" s="70">
        <v>80213</v>
      </c>
      <c r="AM338" s="70">
        <v>84775</v>
      </c>
      <c r="AN338" s="70">
        <v>80213</v>
      </c>
      <c r="AO338" s="70">
        <v>85213</v>
      </c>
      <c r="AP338" s="70">
        <v>88122</v>
      </c>
    </row>
    <row r="339" spans="1:42" ht="15.75">
      <c r="A339" s="35" t="s">
        <v>11</v>
      </c>
      <c r="B339" s="15" t="s">
        <v>357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12607</v>
      </c>
      <c r="I339" s="14">
        <v>10055</v>
      </c>
      <c r="J339" s="14">
        <v>10377</v>
      </c>
      <c r="K339" s="14">
        <v>11111</v>
      </c>
      <c r="L339" s="14">
        <v>10555</v>
      </c>
      <c r="M339" s="14">
        <v>10928</v>
      </c>
      <c r="N339" s="14">
        <v>12935</v>
      </c>
      <c r="O339" s="14">
        <v>14608</v>
      </c>
      <c r="P339" s="14">
        <v>16023</v>
      </c>
      <c r="Q339" s="14">
        <v>18301</v>
      </c>
      <c r="R339" s="14">
        <v>21812</v>
      </c>
      <c r="S339" s="14">
        <v>23563</v>
      </c>
      <c r="T339" s="14">
        <v>42585</v>
      </c>
      <c r="U339" s="14">
        <v>42941</v>
      </c>
      <c r="V339" s="14">
        <v>37579</v>
      </c>
      <c r="W339" s="14">
        <v>37976</v>
      </c>
      <c r="X339" s="14">
        <v>44259</v>
      </c>
      <c r="Y339" s="14">
        <v>46182</v>
      </c>
      <c r="Z339" s="14">
        <f>53399-857</f>
        <v>52542</v>
      </c>
      <c r="AA339" s="14">
        <v>59827</v>
      </c>
      <c r="AB339" s="14">
        <f>66159-100</f>
        <v>66059</v>
      </c>
      <c r="AC339" s="14">
        <v>46824</v>
      </c>
      <c r="AD339" s="14">
        <v>61266</v>
      </c>
      <c r="AE339" s="14">
        <v>47936</v>
      </c>
      <c r="AF339" s="14">
        <v>61773.34</v>
      </c>
      <c r="AG339" s="14">
        <v>60193</v>
      </c>
      <c r="AH339" s="14">
        <v>37736</v>
      </c>
      <c r="AI339" s="14">
        <v>60973</v>
      </c>
      <c r="AJ339" s="14">
        <v>61223</v>
      </c>
      <c r="AK339" s="14">
        <v>54156</v>
      </c>
      <c r="AL339" s="70">
        <v>54156</v>
      </c>
      <c r="AM339" s="70">
        <v>33261</v>
      </c>
      <c r="AN339" s="70">
        <v>47161</v>
      </c>
      <c r="AO339" s="70">
        <f>54369+500</f>
        <v>54869</v>
      </c>
      <c r="AP339" s="70">
        <v>48885</v>
      </c>
    </row>
    <row r="340" spans="1:42" ht="15.75">
      <c r="A340" s="35" t="s">
        <v>223</v>
      </c>
      <c r="B340" s="15" t="s">
        <v>357</v>
      </c>
      <c r="C340" s="14">
        <v>0</v>
      </c>
      <c r="D340" s="14">
        <v>0</v>
      </c>
      <c r="E340" s="14">
        <v>0</v>
      </c>
      <c r="F340" s="14">
        <v>0</v>
      </c>
      <c r="G340" s="14">
        <v>1000</v>
      </c>
      <c r="H340" s="14">
        <v>7680</v>
      </c>
      <c r="I340" s="14">
        <v>40000</v>
      </c>
      <c r="J340" s="14">
        <v>8700</v>
      </c>
      <c r="K340" s="14">
        <v>0</v>
      </c>
      <c r="L340" s="14">
        <v>0</v>
      </c>
      <c r="M340" s="14">
        <v>0</v>
      </c>
      <c r="N340" s="14">
        <v>-1133</v>
      </c>
      <c r="O340" s="14">
        <v>-767</v>
      </c>
      <c r="P340" s="14">
        <v>0</v>
      </c>
      <c r="Q340" s="14">
        <v>19895</v>
      </c>
      <c r="R340" s="14">
        <v>4937</v>
      </c>
      <c r="S340" s="14">
        <v>0</v>
      </c>
      <c r="T340" s="14">
        <v>5000</v>
      </c>
      <c r="U340" s="14">
        <v>6</v>
      </c>
      <c r="V340" s="14">
        <v>0</v>
      </c>
      <c r="W340" s="14">
        <v>0</v>
      </c>
      <c r="X340" s="14">
        <v>0</v>
      </c>
      <c r="Y340" s="14"/>
      <c r="Z340" s="36" t="s">
        <v>222</v>
      </c>
      <c r="AA340" s="14">
        <v>29934</v>
      </c>
      <c r="AB340" s="14">
        <f>30000-50</f>
        <v>29950</v>
      </c>
      <c r="AC340" s="14">
        <v>300</v>
      </c>
      <c r="AD340" s="14">
        <v>298</v>
      </c>
      <c r="AE340" s="14">
        <v>305</v>
      </c>
      <c r="AF340" s="14">
        <v>301.242</v>
      </c>
      <c r="AG340" s="14">
        <v>301</v>
      </c>
      <c r="AH340" s="14">
        <v>0</v>
      </c>
      <c r="AI340" s="14">
        <v>0</v>
      </c>
      <c r="AJ340" s="14"/>
      <c r="AK340" s="14">
        <v>0</v>
      </c>
      <c r="AL340" s="70">
        <v>0</v>
      </c>
      <c r="AM340" s="70">
        <v>0</v>
      </c>
      <c r="AN340" s="70">
        <v>0</v>
      </c>
      <c r="AO340" s="70">
        <v>0</v>
      </c>
      <c r="AP340" s="70">
        <v>0</v>
      </c>
    </row>
    <row r="341" spans="1:42" ht="15.75">
      <c r="A341" s="35" t="s">
        <v>104</v>
      </c>
      <c r="B341" s="15" t="s">
        <v>357</v>
      </c>
      <c r="C341" s="14">
        <v>0</v>
      </c>
      <c r="D341" s="14">
        <v>0</v>
      </c>
      <c r="E341" s="14">
        <v>0</v>
      </c>
      <c r="F341" s="14">
        <v>0</v>
      </c>
      <c r="G341" s="14">
        <v>26000</v>
      </c>
      <c r="H341" s="14">
        <v>25440</v>
      </c>
      <c r="I341" s="14">
        <v>51000</v>
      </c>
      <c r="J341" s="14">
        <v>26500</v>
      </c>
      <c r="K341" s="14">
        <v>25480</v>
      </c>
      <c r="L341" s="14">
        <v>23729</v>
      </c>
      <c r="M341" s="14">
        <v>24250</v>
      </c>
      <c r="N341" s="14">
        <v>28250</v>
      </c>
      <c r="O341" s="14">
        <v>30500</v>
      </c>
      <c r="P341" s="14">
        <v>32908</v>
      </c>
      <c r="Q341" s="14">
        <v>34483</v>
      </c>
      <c r="R341" s="14">
        <v>35478</v>
      </c>
      <c r="S341" s="14">
        <v>41617</v>
      </c>
      <c r="T341" s="14">
        <v>53445</v>
      </c>
      <c r="U341" s="14">
        <v>46421</v>
      </c>
      <c r="V341" s="14">
        <v>36212</v>
      </c>
      <c r="W341" s="14">
        <v>36612</v>
      </c>
      <c r="X341" s="14">
        <v>40812</v>
      </c>
      <c r="Y341" s="14">
        <v>72412</v>
      </c>
      <c r="Z341" s="14">
        <v>74793</v>
      </c>
      <c r="AA341" s="14">
        <f>94447-208</f>
        <v>94239</v>
      </c>
      <c r="AB341" s="72">
        <v>74500</v>
      </c>
      <c r="AC341" s="72">
        <v>67000</v>
      </c>
      <c r="AD341" s="72">
        <v>68552</v>
      </c>
      <c r="AE341" s="72">
        <v>67000</v>
      </c>
      <c r="AF341" s="72">
        <v>73582.019</v>
      </c>
      <c r="AG341" s="72">
        <v>73582</v>
      </c>
      <c r="AH341" s="72">
        <v>77533</v>
      </c>
      <c r="AI341" s="72">
        <v>71739</v>
      </c>
      <c r="AJ341" s="72">
        <v>71739</v>
      </c>
      <c r="AK341" s="72">
        <v>115172</v>
      </c>
      <c r="AL341" s="70">
        <v>72172</v>
      </c>
      <c r="AM341" s="70">
        <v>71858</v>
      </c>
      <c r="AN341" s="70">
        <v>58658</v>
      </c>
      <c r="AO341" s="70">
        <f>55663+10000-500</f>
        <v>65163</v>
      </c>
      <c r="AP341" s="70">
        <v>63658</v>
      </c>
    </row>
    <row r="342" spans="1:42" ht="15.75">
      <c r="A342" s="35" t="s">
        <v>330</v>
      </c>
      <c r="B342" s="15" t="s">
        <v>357</v>
      </c>
      <c r="C342" s="14">
        <v>130952</v>
      </c>
      <c r="D342" s="14">
        <v>161442</v>
      </c>
      <c r="E342" s="14">
        <v>118488</v>
      </c>
      <c r="F342" s="14">
        <v>108188</v>
      </c>
      <c r="G342" s="14">
        <v>43367</v>
      </c>
      <c r="H342" s="14">
        <v>95852</v>
      </c>
      <c r="I342" s="14">
        <v>160096</v>
      </c>
      <c r="J342" s="14">
        <v>66690</v>
      </c>
      <c r="K342" s="14">
        <v>101545</v>
      </c>
      <c r="L342" s="14">
        <v>93538</v>
      </c>
      <c r="M342" s="14">
        <v>88595</v>
      </c>
      <c r="N342" s="14">
        <v>85517</v>
      </c>
      <c r="O342" s="14">
        <v>159165</v>
      </c>
      <c r="P342" s="14">
        <v>304650</v>
      </c>
      <c r="Q342" s="14">
        <v>270443</v>
      </c>
      <c r="R342" s="14">
        <v>300181</v>
      </c>
      <c r="S342" s="14">
        <v>225131</v>
      </c>
      <c r="T342" s="14">
        <v>208826</v>
      </c>
      <c r="U342" s="14">
        <v>159242</v>
      </c>
      <c r="V342" s="14">
        <v>191225</v>
      </c>
      <c r="W342" s="14">
        <v>340165</v>
      </c>
      <c r="X342" s="14">
        <f>222769+20000</f>
        <v>242769</v>
      </c>
      <c r="Y342" s="14">
        <v>239419</v>
      </c>
      <c r="Z342" s="14">
        <f>225493+15000+5000-4302</f>
        <v>241191</v>
      </c>
      <c r="AA342" s="14">
        <f>285974+50000-673+15000</f>
        <v>350301</v>
      </c>
      <c r="AB342" s="14">
        <f>366044+1000+21624-250</f>
        <v>388418</v>
      </c>
      <c r="AC342" s="14">
        <f>322384-2000</f>
        <v>320384</v>
      </c>
      <c r="AD342" s="14">
        <f>325712+2500</f>
        <v>328212</v>
      </c>
      <c r="AE342" s="14">
        <v>327257</v>
      </c>
      <c r="AF342" s="14">
        <v>329879.552</v>
      </c>
      <c r="AG342" s="14">
        <v>356880</v>
      </c>
      <c r="AH342" s="14">
        <v>329880</v>
      </c>
      <c r="AI342" s="14">
        <v>302180</v>
      </c>
      <c r="AJ342" s="14">
        <v>345528</v>
      </c>
      <c r="AK342" s="14">
        <v>336258</v>
      </c>
      <c r="AL342" s="70">
        <v>315858</v>
      </c>
      <c r="AM342" s="70">
        <v>229269</v>
      </c>
      <c r="AN342" s="70">
        <v>229934</v>
      </c>
      <c r="AO342" s="70">
        <v>297482</v>
      </c>
      <c r="AP342" s="70">
        <v>201580</v>
      </c>
    </row>
    <row r="343" spans="1:42" ht="15.75" hidden="1" outlineLevel="1">
      <c r="A343" s="35" t="s">
        <v>12</v>
      </c>
      <c r="B343" s="15" t="s">
        <v>357</v>
      </c>
      <c r="C343" s="14">
        <v>0</v>
      </c>
      <c r="D343" s="14">
        <v>0</v>
      </c>
      <c r="E343" s="14">
        <v>0</v>
      </c>
      <c r="F343" s="14">
        <v>-5552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70"/>
      <c r="AM343" s="70"/>
      <c r="AN343" s="70"/>
      <c r="AO343" s="70"/>
      <c r="AP343" s="70"/>
    </row>
    <row r="344" spans="1:42" ht="15.75" hidden="1" outlineLevel="1">
      <c r="A344" s="35" t="s">
        <v>214</v>
      </c>
      <c r="B344" s="15" t="s">
        <v>357</v>
      </c>
      <c r="C344" s="14">
        <v>22623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70"/>
      <c r="AM344" s="70"/>
      <c r="AN344" s="70"/>
      <c r="AO344" s="70"/>
      <c r="AP344" s="70"/>
    </row>
    <row r="345" spans="1:42" ht="15.75" outlineLevel="1">
      <c r="A345" s="35" t="s">
        <v>147</v>
      </c>
      <c r="B345" s="15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36" t="s">
        <v>149</v>
      </c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70"/>
      <c r="AM345" s="70"/>
      <c r="AN345" s="70"/>
      <c r="AO345" s="70"/>
      <c r="AP345" s="70"/>
    </row>
    <row r="346" spans="1:42" ht="15.75" collapsed="1">
      <c r="A346" s="35" t="s">
        <v>215</v>
      </c>
      <c r="B346" s="15" t="s">
        <v>357</v>
      </c>
      <c r="C346" s="14">
        <v>7600</v>
      </c>
      <c r="D346" s="14">
        <v>3855</v>
      </c>
      <c r="E346" s="14">
        <v>4055</v>
      </c>
      <c r="F346" s="14">
        <v>4130</v>
      </c>
      <c r="G346" s="14">
        <v>4541</v>
      </c>
      <c r="H346" s="14">
        <v>4212</v>
      </c>
      <c r="I346" s="14">
        <v>4336</v>
      </c>
      <c r="J346" s="14">
        <v>4542</v>
      </c>
      <c r="K346" s="14">
        <v>4529</v>
      </c>
      <c r="L346" s="14">
        <v>4566</v>
      </c>
      <c r="M346" s="14">
        <v>4771</v>
      </c>
      <c r="N346" s="14">
        <v>4904</v>
      </c>
      <c r="O346" s="14">
        <v>5181</v>
      </c>
      <c r="P346" s="14">
        <v>9118</v>
      </c>
      <c r="Q346" s="14">
        <v>21039</v>
      </c>
      <c r="R346" s="14">
        <v>22656</v>
      </c>
      <c r="S346" s="14">
        <v>20629</v>
      </c>
      <c r="T346" s="14">
        <v>20629</v>
      </c>
      <c r="U346" s="14" t="s">
        <v>216</v>
      </c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70"/>
      <c r="AM346" s="70"/>
      <c r="AN346" s="70"/>
      <c r="AO346" s="70"/>
      <c r="AP346" s="70"/>
    </row>
    <row r="347" spans="1:42" ht="15.75" outlineLevel="1">
      <c r="A347" s="35" t="s">
        <v>103</v>
      </c>
      <c r="B347" s="15" t="s">
        <v>357</v>
      </c>
      <c r="C347" s="14">
        <v>0</v>
      </c>
      <c r="D347" s="14">
        <v>0</v>
      </c>
      <c r="E347" s="14">
        <v>0</v>
      </c>
      <c r="F347" s="14">
        <v>0</v>
      </c>
      <c r="G347" s="14">
        <v>288593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70"/>
      <c r="AM347" s="70"/>
      <c r="AN347" s="70"/>
      <c r="AO347" s="70"/>
      <c r="AP347" s="70"/>
    </row>
    <row r="348" spans="1:42" ht="15.75" collapsed="1">
      <c r="A348" s="35" t="s">
        <v>328</v>
      </c>
      <c r="B348" s="15" t="s">
        <v>357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133462</v>
      </c>
      <c r="I348" s="14">
        <v>206505</v>
      </c>
      <c r="J348" s="14">
        <v>203650</v>
      </c>
      <c r="K348" s="14">
        <v>199164</v>
      </c>
      <c r="L348" s="14">
        <v>93604</v>
      </c>
      <c r="M348" s="14">
        <v>112227</v>
      </c>
      <c r="N348" s="14">
        <v>57149</v>
      </c>
      <c r="O348" s="14">
        <v>77789</v>
      </c>
      <c r="P348" s="14">
        <v>120594</v>
      </c>
      <c r="Q348" s="14">
        <v>134246</v>
      </c>
      <c r="R348" s="14">
        <v>107772</v>
      </c>
      <c r="S348" s="14">
        <v>117900</v>
      </c>
      <c r="T348" s="14">
        <v>95224</v>
      </c>
      <c r="U348" s="14">
        <v>72134</v>
      </c>
      <c r="V348" s="14">
        <v>44262</v>
      </c>
      <c r="W348" s="14">
        <v>53915</v>
      </c>
      <c r="X348" s="14">
        <f>143290+107065</f>
        <v>250355</v>
      </c>
      <c r="Y348" s="14">
        <v>147915</v>
      </c>
      <c r="Z348" s="14">
        <f>120700+76075-15000</f>
        <v>181775</v>
      </c>
      <c r="AA348" s="14">
        <f>215141</f>
        <v>215141</v>
      </c>
      <c r="AB348" s="70">
        <f>274117-250</f>
        <v>273867</v>
      </c>
      <c r="AC348" s="70">
        <v>286057</v>
      </c>
      <c r="AD348" s="70">
        <f>97363+73984</f>
        <v>171347</v>
      </c>
      <c r="AE348" s="70">
        <f>160011+78623</f>
        <v>238634</v>
      </c>
      <c r="AF348" s="70">
        <v>135595.98</v>
      </c>
      <c r="AG348" s="70">
        <v>108381</v>
      </c>
      <c r="AH348" s="70">
        <v>178124</v>
      </c>
      <c r="AI348" s="70">
        <v>146349</v>
      </c>
      <c r="AJ348" s="70">
        <v>144314</v>
      </c>
      <c r="AK348" s="70">
        <v>41954</v>
      </c>
      <c r="AL348" s="70">
        <v>46954</v>
      </c>
      <c r="AM348" s="70">
        <v>24343</v>
      </c>
      <c r="AN348" s="70">
        <v>29995</v>
      </c>
      <c r="AO348" s="70">
        <v>64024</v>
      </c>
      <c r="AP348" s="70">
        <v>22529</v>
      </c>
    </row>
    <row r="349" spans="1:42" ht="15.75" hidden="1">
      <c r="A349" s="35" t="s">
        <v>329</v>
      </c>
      <c r="B349" s="15" t="s">
        <v>357</v>
      </c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70"/>
      <c r="AM349" s="70"/>
      <c r="AN349" s="70"/>
      <c r="AO349" s="70"/>
      <c r="AP349" s="70"/>
    </row>
    <row r="350" spans="1:42" ht="15.75" hidden="1">
      <c r="A350" s="35" t="s">
        <v>109</v>
      </c>
      <c r="B350" s="15" t="s">
        <v>357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5800</v>
      </c>
      <c r="K350" s="14">
        <v>5880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70"/>
      <c r="AM350" s="70"/>
      <c r="AN350" s="70"/>
      <c r="AO350" s="70"/>
      <c r="AP350" s="70"/>
    </row>
    <row r="351" spans="1:42" ht="15.75" hidden="1">
      <c r="A351" s="35" t="s">
        <v>110</v>
      </c>
      <c r="B351" s="15" t="s">
        <v>357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245</v>
      </c>
      <c r="L351" s="14">
        <v>237</v>
      </c>
      <c r="M351" s="14">
        <v>250</v>
      </c>
      <c r="N351" s="14">
        <v>250</v>
      </c>
      <c r="O351" s="14">
        <v>250</v>
      </c>
      <c r="P351" s="14">
        <v>250</v>
      </c>
      <c r="Q351" s="14">
        <v>249</v>
      </c>
      <c r="R351" s="14">
        <v>247</v>
      </c>
      <c r="S351" s="14">
        <v>248</v>
      </c>
      <c r="T351" s="14">
        <v>250</v>
      </c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70"/>
      <c r="AM351" s="70"/>
      <c r="AN351" s="70"/>
      <c r="AO351" s="70"/>
      <c r="AP351" s="70"/>
    </row>
    <row r="352" spans="1:42" ht="15.75" hidden="1">
      <c r="A352" s="35" t="s">
        <v>311</v>
      </c>
      <c r="B352" s="15" t="s">
        <v>357</v>
      </c>
      <c r="C352" s="14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73</v>
      </c>
      <c r="L352" s="14">
        <v>72</v>
      </c>
      <c r="M352" s="14">
        <v>75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70"/>
      <c r="AM352" s="70"/>
      <c r="AN352" s="70"/>
      <c r="AO352" s="70"/>
      <c r="AP352" s="70"/>
    </row>
    <row r="353" spans="1:42" ht="15.75" hidden="1" outlineLevel="1">
      <c r="A353" s="15" t="s">
        <v>394</v>
      </c>
      <c r="B353" s="15" t="s">
        <v>357</v>
      </c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70"/>
      <c r="AM353" s="70"/>
      <c r="AN353" s="70"/>
      <c r="AO353" s="70"/>
      <c r="AP353" s="70"/>
    </row>
    <row r="354" spans="1:42" ht="15.75" hidden="1" outlineLevel="1">
      <c r="A354" s="15" t="s">
        <v>84</v>
      </c>
      <c r="B354" s="15" t="s">
        <v>357</v>
      </c>
      <c r="C354" s="14">
        <v>14000</v>
      </c>
      <c r="D354" s="14">
        <v>14468</v>
      </c>
      <c r="E354" s="14">
        <v>15478</v>
      </c>
      <c r="F354" s="14">
        <v>16217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70"/>
      <c r="AM354" s="70"/>
      <c r="AN354" s="70"/>
      <c r="AO354" s="70"/>
      <c r="AP354" s="70"/>
    </row>
    <row r="355" spans="1:42" ht="15.75" hidden="1" outlineLevel="1">
      <c r="A355" s="35" t="s">
        <v>85</v>
      </c>
      <c r="B355" s="15" t="s">
        <v>357</v>
      </c>
      <c r="C355" s="14"/>
      <c r="D355" s="14"/>
      <c r="E355" s="14">
        <v>0</v>
      </c>
      <c r="F355" s="14">
        <v>0</v>
      </c>
      <c r="G355" s="14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04"/>
      <c r="AM355" s="104"/>
      <c r="AN355" s="104"/>
      <c r="AO355" s="104"/>
      <c r="AP355" s="104"/>
    </row>
    <row r="356" spans="1:42" ht="15.75" collapsed="1">
      <c r="A356" s="14"/>
      <c r="B356" s="15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110"/>
      <c r="AM356" s="110"/>
      <c r="AN356" s="110"/>
      <c r="AO356" s="110"/>
      <c r="AP356" s="110"/>
    </row>
    <row r="357" spans="1:42" ht="12.75" customHeight="1">
      <c r="A357" s="35" t="s">
        <v>411</v>
      </c>
      <c r="B357" s="15" t="s">
        <v>357</v>
      </c>
      <c r="C357" s="14">
        <f aca="true" t="shared" si="148" ref="C357:L357">SUM(C337:C356)</f>
        <v>470208</v>
      </c>
      <c r="D357" s="14">
        <f t="shared" si="148"/>
        <v>520616</v>
      </c>
      <c r="E357" s="14">
        <f t="shared" si="148"/>
        <v>525747</v>
      </c>
      <c r="F357" s="14">
        <f t="shared" si="148"/>
        <v>513938</v>
      </c>
      <c r="G357" s="14">
        <f t="shared" si="148"/>
        <v>838522</v>
      </c>
      <c r="H357" s="14">
        <f t="shared" si="148"/>
        <v>800781</v>
      </c>
      <c r="I357" s="14">
        <f t="shared" si="148"/>
        <v>1077271</v>
      </c>
      <c r="J357" s="14">
        <f t="shared" si="148"/>
        <v>942829</v>
      </c>
      <c r="K357" s="14">
        <f t="shared" si="148"/>
        <v>984345</v>
      </c>
      <c r="L357" s="14">
        <f t="shared" si="148"/>
        <v>836935</v>
      </c>
      <c r="M357" s="14">
        <f aca="true" t="shared" si="149" ref="M357:T357">SUM(M337:M356)</f>
        <v>945577</v>
      </c>
      <c r="N357" s="14">
        <f t="shared" si="149"/>
        <v>942171</v>
      </c>
      <c r="O357" s="14">
        <f t="shared" si="149"/>
        <v>1078230</v>
      </c>
      <c r="P357" s="14">
        <f t="shared" si="149"/>
        <v>1252782</v>
      </c>
      <c r="Q357" s="14">
        <f t="shared" si="149"/>
        <v>1372830</v>
      </c>
      <c r="R357" s="14">
        <f t="shared" si="149"/>
        <v>1470685</v>
      </c>
      <c r="S357" s="14">
        <f t="shared" si="149"/>
        <v>1413173</v>
      </c>
      <c r="T357" s="14">
        <f t="shared" si="149"/>
        <v>1520349</v>
      </c>
      <c r="U357" s="14">
        <f aca="true" t="shared" si="150" ref="U357:AG357">(SUM(U337:U356))</f>
        <v>1403153</v>
      </c>
      <c r="V357" s="14">
        <f t="shared" si="150"/>
        <v>1391050</v>
      </c>
      <c r="W357" s="43">
        <f t="shared" si="150"/>
        <v>1623337</v>
      </c>
      <c r="X357" s="43">
        <f>(SUM(X337:X356))</f>
        <v>1824539</v>
      </c>
      <c r="Y357" s="43">
        <f>(SUM(Y337:Y356))</f>
        <v>1791756</v>
      </c>
      <c r="Z357" s="43">
        <f t="shared" si="150"/>
        <v>1914189</v>
      </c>
      <c r="AA357" s="43">
        <f>(SUM(AA337:AA356))</f>
        <v>2223491</v>
      </c>
      <c r="AB357" s="43">
        <f t="shared" si="150"/>
        <v>2409472</v>
      </c>
      <c r="AC357" s="43">
        <f t="shared" si="150"/>
        <v>2383561</v>
      </c>
      <c r="AD357" s="43">
        <f t="shared" si="150"/>
        <v>2271926.284</v>
      </c>
      <c r="AE357" s="43">
        <f t="shared" si="150"/>
        <v>2391873</v>
      </c>
      <c r="AF357" s="43">
        <f t="shared" si="150"/>
        <v>2288580.1900000004</v>
      </c>
      <c r="AG357" s="43">
        <f t="shared" si="150"/>
        <v>2296852</v>
      </c>
      <c r="AH357" s="43">
        <f aca="true" t="shared" si="151" ref="AH357:AP357">(SUM(AH337:AH356))</f>
        <v>2390544</v>
      </c>
      <c r="AI357" s="43">
        <f t="shared" si="151"/>
        <v>2344881</v>
      </c>
      <c r="AJ357" s="43">
        <f t="shared" si="151"/>
        <v>2391616</v>
      </c>
      <c r="AK357" s="43">
        <f t="shared" si="151"/>
        <v>2346344</v>
      </c>
      <c r="AL357" s="106">
        <f t="shared" si="151"/>
        <v>2287944</v>
      </c>
      <c r="AM357" s="106">
        <f t="shared" si="151"/>
        <v>2185823</v>
      </c>
      <c r="AN357" s="106">
        <f t="shared" si="151"/>
        <v>2132611</v>
      </c>
      <c r="AO357" s="106">
        <f t="shared" si="151"/>
        <v>2329960</v>
      </c>
      <c r="AP357" s="106">
        <f t="shared" si="151"/>
        <v>2393784</v>
      </c>
    </row>
    <row r="358" spans="1:27" ht="15.75" outlineLevel="1">
      <c r="A358" s="14"/>
      <c r="B358" s="1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36"/>
      <c r="Q358" s="36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15.75" outlineLevel="1">
      <c r="A359" s="15" t="s">
        <v>316</v>
      </c>
      <c r="B359" s="15" t="s">
        <v>357</v>
      </c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42" ht="15.75" outlineLevel="1">
      <c r="A360" s="35" t="s">
        <v>150</v>
      </c>
      <c r="B360" s="15" t="s">
        <v>357</v>
      </c>
      <c r="C360" s="14">
        <v>0</v>
      </c>
      <c r="D360" s="14">
        <v>0</v>
      </c>
      <c r="E360" s="14">
        <v>0</v>
      </c>
      <c r="F360" s="14">
        <v>15500</v>
      </c>
      <c r="G360" s="14">
        <v>-12000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04"/>
      <c r="AM360" s="104"/>
      <c r="AN360" s="104"/>
      <c r="AO360" s="104"/>
      <c r="AP360" s="104"/>
    </row>
    <row r="361" spans="1:42" ht="15.75" outlineLevel="1">
      <c r="A361" s="35" t="s">
        <v>151</v>
      </c>
      <c r="B361" s="15" t="s">
        <v>357</v>
      </c>
      <c r="C361" s="14">
        <f aca="true" t="shared" si="152" ref="C361:J361">C360</f>
        <v>0</v>
      </c>
      <c r="D361" s="14">
        <f t="shared" si="152"/>
        <v>0</v>
      </c>
      <c r="E361" s="14">
        <f t="shared" si="152"/>
        <v>0</v>
      </c>
      <c r="F361" s="14">
        <f t="shared" si="152"/>
        <v>15500</v>
      </c>
      <c r="G361" s="14">
        <f t="shared" si="152"/>
        <v>-12000</v>
      </c>
      <c r="H361" s="14">
        <f t="shared" si="152"/>
        <v>0</v>
      </c>
      <c r="I361" s="14">
        <f t="shared" si="152"/>
        <v>0</v>
      </c>
      <c r="J361" s="14">
        <f t="shared" si="152"/>
        <v>0</v>
      </c>
      <c r="K361" s="14">
        <v>0</v>
      </c>
      <c r="L361" s="14">
        <f aca="true" t="shared" si="153" ref="L361:R361">L360</f>
        <v>0</v>
      </c>
      <c r="M361" s="14">
        <f t="shared" si="153"/>
        <v>0</v>
      </c>
      <c r="N361" s="14">
        <f t="shared" si="153"/>
        <v>0</v>
      </c>
      <c r="O361" s="14">
        <f t="shared" si="153"/>
        <v>0</v>
      </c>
      <c r="P361" s="14">
        <f t="shared" si="153"/>
        <v>0</v>
      </c>
      <c r="Q361" s="14">
        <f t="shared" si="153"/>
        <v>0</v>
      </c>
      <c r="R361" s="14">
        <f t="shared" si="153"/>
        <v>0</v>
      </c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70"/>
      <c r="AM361" s="70"/>
      <c r="AN361" s="70"/>
      <c r="AO361" s="70"/>
      <c r="AP361" s="70"/>
    </row>
    <row r="362" spans="1:42" ht="15.75" collapsed="1">
      <c r="A362" s="14"/>
      <c r="B362" s="15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36"/>
      <c r="Q362" s="36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70"/>
      <c r="AM362" s="70"/>
      <c r="AN362" s="70"/>
      <c r="AO362" s="70"/>
      <c r="AP362" s="70"/>
    </row>
    <row r="363" spans="1:42" ht="15.75">
      <c r="A363" s="15" t="s">
        <v>398</v>
      </c>
      <c r="B363" s="15" t="s">
        <v>357</v>
      </c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70"/>
      <c r="AM363" s="70"/>
      <c r="AN363" s="70"/>
      <c r="AO363" s="70"/>
      <c r="AP363" s="70"/>
    </row>
    <row r="364" spans="1:42" ht="15.75">
      <c r="A364" s="35" t="s">
        <v>159</v>
      </c>
      <c r="B364" s="15" t="s">
        <v>357</v>
      </c>
      <c r="C364" s="14">
        <v>-133995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36" t="s">
        <v>152</v>
      </c>
      <c r="L364" s="36" t="s">
        <v>153</v>
      </c>
      <c r="M364" s="36" t="s">
        <v>154</v>
      </c>
      <c r="N364" s="36" t="s">
        <v>430</v>
      </c>
      <c r="O364" s="36" t="s">
        <v>431</v>
      </c>
      <c r="P364" s="36" t="s">
        <v>432</v>
      </c>
      <c r="Q364" s="36" t="s">
        <v>445</v>
      </c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110"/>
      <c r="AM364" s="110"/>
      <c r="AN364" s="110"/>
      <c r="AO364" s="110"/>
      <c r="AP364" s="110"/>
    </row>
    <row r="365" spans="1:42" ht="15.75">
      <c r="A365" s="35" t="s">
        <v>103</v>
      </c>
      <c r="B365" s="15" t="s">
        <v>357</v>
      </c>
      <c r="C365" s="14"/>
      <c r="D365" s="14"/>
      <c r="E365" s="14"/>
      <c r="F365" s="14"/>
      <c r="G365" s="14"/>
      <c r="H365" s="16"/>
      <c r="I365" s="16"/>
      <c r="J365" s="16"/>
      <c r="K365" s="53">
        <v>0</v>
      </c>
      <c r="L365" s="16"/>
      <c r="M365" s="16"/>
      <c r="N365" s="16">
        <v>0</v>
      </c>
      <c r="O365" s="16">
        <v>0</v>
      </c>
      <c r="P365" s="16">
        <v>0</v>
      </c>
      <c r="Q365" s="16">
        <v>-30000</v>
      </c>
      <c r="R365" s="16">
        <v>-30000</v>
      </c>
      <c r="S365" s="16">
        <v>-30000</v>
      </c>
      <c r="T365" s="16">
        <v>-30000</v>
      </c>
      <c r="U365" s="16">
        <v>-30000</v>
      </c>
      <c r="V365" s="16">
        <v>-30000</v>
      </c>
      <c r="W365" s="16">
        <v>-30000</v>
      </c>
      <c r="X365" s="16">
        <v>-30000</v>
      </c>
      <c r="Y365" s="16">
        <v>-30000</v>
      </c>
      <c r="Z365" s="16">
        <v>-30000</v>
      </c>
      <c r="AA365" s="16">
        <v>-30000</v>
      </c>
      <c r="AB365" s="16">
        <v>-30000</v>
      </c>
      <c r="AC365" s="16">
        <v>-30000</v>
      </c>
      <c r="AD365" s="16">
        <v>-30000</v>
      </c>
      <c r="AE365" s="16">
        <v>-30000</v>
      </c>
      <c r="AF365" s="16">
        <v>-30000</v>
      </c>
      <c r="AG365" s="16">
        <v>-30000</v>
      </c>
      <c r="AH365" s="16">
        <v>-30000</v>
      </c>
      <c r="AI365" s="16">
        <v>-30000</v>
      </c>
      <c r="AJ365" s="16">
        <v>-30000</v>
      </c>
      <c r="AK365" s="16">
        <v>-30000</v>
      </c>
      <c r="AL365" s="104">
        <v>-30000</v>
      </c>
      <c r="AM365" s="104">
        <v>-30000</v>
      </c>
      <c r="AN365" s="104">
        <v>-30000</v>
      </c>
      <c r="AO365" s="104">
        <v>-30000</v>
      </c>
      <c r="AP365" s="104">
        <v>-30000</v>
      </c>
    </row>
    <row r="366" spans="1:42" ht="15.75">
      <c r="A366" s="35" t="s">
        <v>446</v>
      </c>
      <c r="B366" s="15" t="s">
        <v>357</v>
      </c>
      <c r="C366" s="43">
        <f aca="true" t="shared" si="154" ref="C366:L366">SUM(C364:C365)</f>
        <v>-133995</v>
      </c>
      <c r="D366" s="43">
        <f t="shared" si="154"/>
        <v>0</v>
      </c>
      <c r="E366" s="43">
        <f t="shared" si="154"/>
        <v>0</v>
      </c>
      <c r="F366" s="43">
        <f t="shared" si="154"/>
        <v>0</v>
      </c>
      <c r="G366" s="43">
        <f t="shared" si="154"/>
        <v>0</v>
      </c>
      <c r="H366" s="16">
        <f t="shared" si="154"/>
        <v>0</v>
      </c>
      <c r="I366" s="16">
        <f t="shared" si="154"/>
        <v>0</v>
      </c>
      <c r="J366" s="16">
        <f t="shared" si="154"/>
        <v>0</v>
      </c>
      <c r="K366" s="16">
        <f t="shared" si="154"/>
        <v>0</v>
      </c>
      <c r="L366" s="16">
        <f t="shared" si="154"/>
        <v>0</v>
      </c>
      <c r="M366" s="16">
        <f aca="true" t="shared" si="155" ref="M366:U366">SUM(M364:M365)</f>
        <v>0</v>
      </c>
      <c r="N366" s="16">
        <f t="shared" si="155"/>
        <v>0</v>
      </c>
      <c r="O366" s="16">
        <f t="shared" si="155"/>
        <v>0</v>
      </c>
      <c r="P366" s="16">
        <f t="shared" si="155"/>
        <v>0</v>
      </c>
      <c r="Q366" s="16">
        <f t="shared" si="155"/>
        <v>-30000</v>
      </c>
      <c r="R366" s="16">
        <f t="shared" si="155"/>
        <v>-30000</v>
      </c>
      <c r="S366" s="16">
        <f t="shared" si="155"/>
        <v>-30000</v>
      </c>
      <c r="T366" s="16">
        <f t="shared" si="155"/>
        <v>-30000</v>
      </c>
      <c r="U366" s="16">
        <f t="shared" si="155"/>
        <v>-30000</v>
      </c>
      <c r="V366" s="16">
        <f aca="true" t="shared" si="156" ref="V366:AG366">(SUM(V364:V365))</f>
        <v>-30000</v>
      </c>
      <c r="W366" s="16">
        <f t="shared" si="156"/>
        <v>-30000</v>
      </c>
      <c r="X366" s="16">
        <f t="shared" si="156"/>
        <v>-30000</v>
      </c>
      <c r="Y366" s="16">
        <f t="shared" si="156"/>
        <v>-30000</v>
      </c>
      <c r="Z366" s="16">
        <f t="shared" si="156"/>
        <v>-30000</v>
      </c>
      <c r="AA366" s="16">
        <f t="shared" si="156"/>
        <v>-30000</v>
      </c>
      <c r="AB366" s="16">
        <f t="shared" si="156"/>
        <v>-30000</v>
      </c>
      <c r="AC366" s="16">
        <f t="shared" si="156"/>
        <v>-30000</v>
      </c>
      <c r="AD366" s="16">
        <f t="shared" si="156"/>
        <v>-30000</v>
      </c>
      <c r="AE366" s="16">
        <f t="shared" si="156"/>
        <v>-30000</v>
      </c>
      <c r="AF366" s="16">
        <f t="shared" si="156"/>
        <v>-30000</v>
      </c>
      <c r="AG366" s="16">
        <f t="shared" si="156"/>
        <v>-30000</v>
      </c>
      <c r="AH366" s="16">
        <f aca="true" t="shared" si="157" ref="AH366:AP366">(SUM(AH364:AH365))</f>
        <v>-30000</v>
      </c>
      <c r="AI366" s="16">
        <f t="shared" si="157"/>
        <v>-30000</v>
      </c>
      <c r="AJ366" s="16">
        <f t="shared" si="157"/>
        <v>-30000</v>
      </c>
      <c r="AK366" s="16">
        <f t="shared" si="157"/>
        <v>-30000</v>
      </c>
      <c r="AL366" s="104">
        <f t="shared" si="157"/>
        <v>-30000</v>
      </c>
      <c r="AM366" s="104">
        <f t="shared" si="157"/>
        <v>-30000</v>
      </c>
      <c r="AN366" s="104">
        <f t="shared" si="157"/>
        <v>-30000</v>
      </c>
      <c r="AO366" s="104">
        <f t="shared" si="157"/>
        <v>-30000</v>
      </c>
      <c r="AP366" s="104">
        <f t="shared" si="157"/>
        <v>-30000</v>
      </c>
    </row>
    <row r="367" spans="1:42" ht="15.75">
      <c r="A367" s="35" t="s">
        <v>412</v>
      </c>
      <c r="B367" s="15" t="s">
        <v>357</v>
      </c>
      <c r="C367" s="14">
        <f aca="true" t="shared" si="158" ref="C367:Q367">C357+C361+C366</f>
        <v>336213</v>
      </c>
      <c r="D367" s="14">
        <f t="shared" si="158"/>
        <v>520616</v>
      </c>
      <c r="E367" s="14">
        <f t="shared" si="158"/>
        <v>525747</v>
      </c>
      <c r="F367" s="14">
        <f t="shared" si="158"/>
        <v>529438</v>
      </c>
      <c r="G367" s="14">
        <f t="shared" si="158"/>
        <v>826522</v>
      </c>
      <c r="H367" s="14">
        <f t="shared" si="158"/>
        <v>800781</v>
      </c>
      <c r="I367" s="14">
        <f t="shared" si="158"/>
        <v>1077271</v>
      </c>
      <c r="J367" s="14">
        <f t="shared" si="158"/>
        <v>942829</v>
      </c>
      <c r="K367" s="14">
        <f t="shared" si="158"/>
        <v>984345</v>
      </c>
      <c r="L367" s="14">
        <f t="shared" si="158"/>
        <v>836935</v>
      </c>
      <c r="M367" s="14">
        <f t="shared" si="158"/>
        <v>945577</v>
      </c>
      <c r="N367" s="14">
        <f t="shared" si="158"/>
        <v>942171</v>
      </c>
      <c r="O367" s="14">
        <f t="shared" si="158"/>
        <v>1078230</v>
      </c>
      <c r="P367" s="14">
        <f t="shared" si="158"/>
        <v>1252782</v>
      </c>
      <c r="Q367" s="14">
        <f t="shared" si="158"/>
        <v>1342830</v>
      </c>
      <c r="R367" s="14">
        <f>R357+R361+R366+R362</f>
        <v>1440685</v>
      </c>
      <c r="S367" s="14">
        <f>S357+S361+S366+S362</f>
        <v>1383173</v>
      </c>
      <c r="T367" s="14">
        <f>T357+T361+T366+T362</f>
        <v>1490349</v>
      </c>
      <c r="U367" s="14">
        <f>U357+U361+U366+U362</f>
        <v>1373153</v>
      </c>
      <c r="V367" s="14">
        <f aca="true" t="shared" si="159" ref="V367:AG367">(V357+V361+V366+V362)</f>
        <v>1361050</v>
      </c>
      <c r="W367" s="14">
        <f t="shared" si="159"/>
        <v>1593337</v>
      </c>
      <c r="X367" s="14">
        <f t="shared" si="159"/>
        <v>1794539</v>
      </c>
      <c r="Y367" s="14">
        <f t="shared" si="159"/>
        <v>1761756</v>
      </c>
      <c r="Z367" s="14">
        <f t="shared" si="159"/>
        <v>1884189</v>
      </c>
      <c r="AA367" s="14">
        <f t="shared" si="159"/>
        <v>2193491</v>
      </c>
      <c r="AB367" s="14">
        <f t="shared" si="159"/>
        <v>2379472</v>
      </c>
      <c r="AC367" s="14">
        <f t="shared" si="159"/>
        <v>2353561</v>
      </c>
      <c r="AD367" s="14">
        <f t="shared" si="159"/>
        <v>2241926.284</v>
      </c>
      <c r="AE367" s="14">
        <f t="shared" si="159"/>
        <v>2361873</v>
      </c>
      <c r="AF367" s="14">
        <f t="shared" si="159"/>
        <v>2258580.1900000004</v>
      </c>
      <c r="AG367" s="14">
        <f t="shared" si="159"/>
        <v>2266852</v>
      </c>
      <c r="AH367" s="14">
        <f aca="true" t="shared" si="160" ref="AH367:AP367">(AH357+AH361+AH366+AH362)</f>
        <v>2360544</v>
      </c>
      <c r="AI367" s="14">
        <f t="shared" si="160"/>
        <v>2314881</v>
      </c>
      <c r="AJ367" s="14">
        <f t="shared" si="160"/>
        <v>2361616</v>
      </c>
      <c r="AK367" s="14">
        <f t="shared" si="160"/>
        <v>2316344</v>
      </c>
      <c r="AL367" s="70">
        <f t="shared" si="160"/>
        <v>2257944</v>
      </c>
      <c r="AM367" s="70">
        <f t="shared" si="160"/>
        <v>2155823</v>
      </c>
      <c r="AN367" s="70">
        <f t="shared" si="160"/>
        <v>2102611</v>
      </c>
      <c r="AO367" s="70">
        <f t="shared" si="160"/>
        <v>2299960</v>
      </c>
      <c r="AP367" s="70">
        <f t="shared" si="160"/>
        <v>2363784</v>
      </c>
    </row>
    <row r="368" spans="1:30" ht="15.75">
      <c r="A368" s="78" t="s">
        <v>5</v>
      </c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</row>
    <row r="369" spans="1:30" ht="15.75">
      <c r="A369" s="10" t="s">
        <v>402</v>
      </c>
      <c r="B369" s="15" t="s">
        <v>357</v>
      </c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C369" s="14"/>
      <c r="AD369" s="14"/>
    </row>
    <row r="370" spans="1:30" ht="15.75">
      <c r="A370" s="14"/>
      <c r="B370" s="15" t="s">
        <v>357</v>
      </c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C370" s="14"/>
      <c r="AD370" s="14"/>
    </row>
    <row r="371" spans="1:30" ht="15.75">
      <c r="A371" s="15" t="s">
        <v>394</v>
      </c>
      <c r="B371" s="15" t="s">
        <v>357</v>
      </c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C371" s="14"/>
      <c r="AD371" s="14"/>
    </row>
    <row r="372" spans="1:42" ht="15.75">
      <c r="A372" s="35" t="s">
        <v>463</v>
      </c>
      <c r="B372" s="1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C372" s="14"/>
      <c r="AD372" s="14"/>
      <c r="AP372" s="70">
        <v>100000</v>
      </c>
    </row>
    <row r="373" spans="1:42" ht="15.75">
      <c r="A373" s="35" t="s">
        <v>1</v>
      </c>
      <c r="B373" s="15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C373" s="14"/>
      <c r="AD373" s="14"/>
      <c r="AM373" s="70">
        <v>15453</v>
      </c>
      <c r="AN373" s="70">
        <v>14703</v>
      </c>
      <c r="AO373" s="70">
        <v>14703</v>
      </c>
      <c r="AP373" s="70"/>
    </row>
    <row r="374" spans="1:42" ht="15.75">
      <c r="A374" s="35" t="s">
        <v>33</v>
      </c>
      <c r="B374" s="15" t="s">
        <v>357</v>
      </c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>
        <v>138759</v>
      </c>
      <c r="Y374" s="14">
        <v>144794</v>
      </c>
      <c r="Z374" s="14">
        <v>151633</v>
      </c>
      <c r="AA374" s="14">
        <f>151811+861</f>
        <v>152672</v>
      </c>
      <c r="AB374" s="14">
        <v>148334</v>
      </c>
      <c r="AC374" s="14">
        <v>148651</v>
      </c>
      <c r="AD374" s="14">
        <v>148417</v>
      </c>
      <c r="AE374" s="14">
        <v>149651</v>
      </c>
      <c r="AF374" s="14">
        <v>149155</v>
      </c>
      <c r="AG374" s="14">
        <v>157859</v>
      </c>
      <c r="AH374" s="14">
        <v>157201</v>
      </c>
      <c r="AI374" s="14">
        <v>158299</v>
      </c>
      <c r="AJ374" s="14">
        <v>160063</v>
      </c>
      <c r="AK374" s="14">
        <v>165985</v>
      </c>
      <c r="AL374" s="14">
        <v>165985</v>
      </c>
      <c r="AM374" s="70">
        <v>179311</v>
      </c>
      <c r="AN374" s="70">
        <v>176825</v>
      </c>
      <c r="AO374" s="70">
        <v>176825</v>
      </c>
      <c r="AP374" s="70">
        <v>181867</v>
      </c>
    </row>
    <row r="375" spans="1:42" ht="15.75">
      <c r="A375" s="35" t="s">
        <v>170</v>
      </c>
      <c r="B375" s="15" t="s">
        <v>357</v>
      </c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>
        <v>41605</v>
      </c>
      <c r="Y375" s="14">
        <v>49262</v>
      </c>
      <c r="Z375" s="14">
        <v>62833</v>
      </c>
      <c r="AA375" s="14">
        <v>66050</v>
      </c>
      <c r="AB375" s="14">
        <v>80827</v>
      </c>
      <c r="AC375" s="14">
        <v>82203</v>
      </c>
      <c r="AD375" s="14">
        <v>96239</v>
      </c>
      <c r="AE375" s="14">
        <v>90289</v>
      </c>
      <c r="AF375" s="14">
        <v>102339</v>
      </c>
      <c r="AG375" s="14">
        <v>86186</v>
      </c>
      <c r="AH375" s="14">
        <v>109242</v>
      </c>
      <c r="AI375" s="14">
        <v>95746</v>
      </c>
      <c r="AJ375" s="14">
        <v>98647</v>
      </c>
      <c r="AK375" s="14">
        <v>114640</v>
      </c>
      <c r="AL375" s="14">
        <v>114640</v>
      </c>
      <c r="AM375" s="70">
        <v>105382</v>
      </c>
      <c r="AN375" s="70">
        <v>114087</v>
      </c>
      <c r="AO375" s="70">
        <v>114087</v>
      </c>
      <c r="AP375" s="70">
        <v>117134</v>
      </c>
    </row>
    <row r="376" spans="1:42" ht="15.75">
      <c r="A376" s="73" t="s">
        <v>145</v>
      </c>
      <c r="B376" s="15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65" t="s">
        <v>26</v>
      </c>
      <c r="AC376" s="14"/>
      <c r="AD376" s="36" t="s">
        <v>38</v>
      </c>
      <c r="AE376" s="14"/>
      <c r="AF376" s="36" t="s">
        <v>46</v>
      </c>
      <c r="AG376" s="36" t="s">
        <v>46</v>
      </c>
      <c r="AI376" s="36" t="s">
        <v>47</v>
      </c>
      <c r="AJ376" s="36" t="s">
        <v>2</v>
      </c>
      <c r="AK376" s="36"/>
      <c r="AL376" s="110"/>
      <c r="AM376" s="110"/>
      <c r="AN376" s="110"/>
      <c r="AO376" s="110"/>
      <c r="AP376" s="110"/>
    </row>
    <row r="377" spans="1:31" ht="15.75">
      <c r="A377" s="35" t="s">
        <v>403</v>
      </c>
      <c r="B377" s="15" t="s">
        <v>357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8034</v>
      </c>
      <c r="L377" s="14">
        <v>8025</v>
      </c>
      <c r="M377" s="14">
        <v>8829</v>
      </c>
      <c r="N377" s="14">
        <v>8632</v>
      </c>
      <c r="O377" s="14">
        <v>8795</v>
      </c>
      <c r="P377" s="14">
        <v>9538</v>
      </c>
      <c r="Q377" s="14">
        <v>11778</v>
      </c>
      <c r="R377" s="14">
        <v>9858</v>
      </c>
      <c r="S377" s="14">
        <v>10406</v>
      </c>
      <c r="T377" s="14">
        <v>10736</v>
      </c>
      <c r="U377" s="14">
        <v>12196</v>
      </c>
      <c r="V377" s="14">
        <v>12535</v>
      </c>
      <c r="W377" s="14">
        <v>15491</v>
      </c>
      <c r="X377" s="14" t="s">
        <v>171</v>
      </c>
      <c r="Y377" s="14"/>
      <c r="Z377" s="14"/>
      <c r="AA377" s="14"/>
      <c r="AB377" s="14"/>
      <c r="AC377" s="14"/>
      <c r="AD377" s="36"/>
      <c r="AE377" s="14"/>
    </row>
    <row r="378" spans="1:31" ht="15.75" outlineLevel="1">
      <c r="A378" s="35" t="s">
        <v>447</v>
      </c>
      <c r="B378" s="15" t="s">
        <v>357</v>
      </c>
      <c r="C378" s="14">
        <v>4668</v>
      </c>
      <c r="D378" s="14">
        <v>252</v>
      </c>
      <c r="E378" s="14">
        <v>65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36"/>
      <c r="AE378" s="14"/>
    </row>
    <row r="379" spans="1:31" ht="15.75" outlineLevel="1">
      <c r="A379" s="35" t="s">
        <v>331</v>
      </c>
      <c r="B379" s="15" t="s">
        <v>357</v>
      </c>
      <c r="C379" s="14" t="s">
        <v>357</v>
      </c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>
        <v>1</v>
      </c>
      <c r="U379" s="14"/>
      <c r="V379" s="14"/>
      <c r="W379" s="14"/>
      <c r="X379" s="14" t="s">
        <v>172</v>
      </c>
      <c r="Y379" s="14"/>
      <c r="Z379" s="14"/>
      <c r="AA379" s="14"/>
      <c r="AB379" s="14"/>
      <c r="AC379" s="14"/>
      <c r="AD379" s="36"/>
      <c r="AE379" s="14"/>
    </row>
    <row r="380" spans="1:31" ht="15.75" hidden="1" outlineLevel="1">
      <c r="A380" s="35" t="s">
        <v>332</v>
      </c>
      <c r="B380" s="15" t="s">
        <v>357</v>
      </c>
      <c r="C380" s="14" t="s">
        <v>357</v>
      </c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>
        <v>41</v>
      </c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36"/>
      <c r="AE380" s="14"/>
    </row>
    <row r="381" spans="1:31" ht="15.75" hidden="1" collapsed="1">
      <c r="A381" s="35" t="s">
        <v>146</v>
      </c>
      <c r="B381" s="15" t="s">
        <v>357</v>
      </c>
      <c r="C381" s="14" t="s">
        <v>357</v>
      </c>
      <c r="D381" s="14"/>
      <c r="E381" s="14"/>
      <c r="F381" s="14"/>
      <c r="G381" s="14"/>
      <c r="H381" s="14"/>
      <c r="I381" s="14"/>
      <c r="J381" s="14"/>
      <c r="K381" s="48">
        <v>0</v>
      </c>
      <c r="L381" s="14"/>
      <c r="M381" s="14"/>
      <c r="N381" s="14"/>
      <c r="O381" s="14"/>
      <c r="P381" s="14"/>
      <c r="Q381" s="14"/>
      <c r="R381" s="14"/>
      <c r="S381" s="14">
        <v>300</v>
      </c>
      <c r="T381" s="14"/>
      <c r="U381" s="14"/>
      <c r="V381" s="14"/>
      <c r="W381" s="14"/>
      <c r="X381" s="14"/>
      <c r="Y381" s="14"/>
      <c r="Z381" s="78" t="s">
        <v>420</v>
      </c>
      <c r="AB381" s="14"/>
      <c r="AC381" s="14"/>
      <c r="AD381" s="36"/>
      <c r="AE381" s="14"/>
    </row>
    <row r="382" spans="1:31" ht="15.75">
      <c r="A382" s="35" t="s">
        <v>448</v>
      </c>
      <c r="B382" s="15" t="s">
        <v>357</v>
      </c>
      <c r="C382" s="14" t="s">
        <v>357</v>
      </c>
      <c r="D382" s="14"/>
      <c r="E382" s="14"/>
      <c r="F382" s="14"/>
      <c r="G382" s="14"/>
      <c r="H382" s="14"/>
      <c r="I382" s="14"/>
      <c r="J382" s="14"/>
      <c r="K382" s="48" t="s">
        <v>357</v>
      </c>
      <c r="L382" s="14"/>
      <c r="M382" s="14"/>
      <c r="N382" s="14"/>
      <c r="O382" s="14"/>
      <c r="P382" s="14"/>
      <c r="Q382" s="14"/>
      <c r="R382" s="14"/>
      <c r="S382" s="14"/>
      <c r="T382" s="14">
        <v>11353</v>
      </c>
      <c r="U382" s="14">
        <v>11895</v>
      </c>
      <c r="V382" s="14">
        <v>11354</v>
      </c>
      <c r="W382" s="14">
        <v>17735</v>
      </c>
      <c r="X382" s="14"/>
      <c r="Y382" s="14"/>
      <c r="Z382" s="14"/>
      <c r="AA382" s="14"/>
      <c r="AB382" s="14"/>
      <c r="AC382" s="14"/>
      <c r="AD382" s="36"/>
      <c r="AE382" s="14"/>
    </row>
    <row r="383" spans="1:31" ht="15.75">
      <c r="A383" s="35" t="s">
        <v>333</v>
      </c>
      <c r="B383" s="15" t="s">
        <v>357</v>
      </c>
      <c r="C383" s="14" t="s">
        <v>357</v>
      </c>
      <c r="D383" s="14"/>
      <c r="E383" s="14"/>
      <c r="F383" s="14"/>
      <c r="G383" s="14"/>
      <c r="H383" s="14"/>
      <c r="I383" s="14"/>
      <c r="J383" s="14"/>
      <c r="K383" s="48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>
        <v>45079</v>
      </c>
      <c r="X383" s="14"/>
      <c r="Y383" s="14"/>
      <c r="Z383" s="14"/>
      <c r="AA383" s="14"/>
      <c r="AB383" s="14"/>
      <c r="AC383" s="14"/>
      <c r="AD383" s="36" t="s">
        <v>34</v>
      </c>
      <c r="AE383" s="14"/>
    </row>
    <row r="384" spans="1:31" ht="15.75">
      <c r="A384" s="35" t="s">
        <v>32</v>
      </c>
      <c r="B384" s="15"/>
      <c r="C384" s="14"/>
      <c r="D384" s="14"/>
      <c r="E384" s="14"/>
      <c r="F384" s="14"/>
      <c r="G384" s="14"/>
      <c r="H384" s="14"/>
      <c r="I384" s="14"/>
      <c r="J384" s="14"/>
      <c r="K384" s="48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36" t="s">
        <v>35</v>
      </c>
      <c r="AE384" s="14"/>
    </row>
    <row r="385" spans="1:31" ht="15.75">
      <c r="A385" s="35" t="s">
        <v>91</v>
      </c>
      <c r="B385" s="15" t="s">
        <v>357</v>
      </c>
      <c r="C385" s="14" t="s">
        <v>357</v>
      </c>
      <c r="D385" s="14"/>
      <c r="E385" s="14"/>
      <c r="F385" s="14"/>
      <c r="G385" s="14"/>
      <c r="H385" s="14"/>
      <c r="I385" s="14"/>
      <c r="J385" s="14"/>
      <c r="K385" s="48"/>
      <c r="L385" s="14"/>
      <c r="M385" s="14"/>
      <c r="N385" s="14"/>
      <c r="O385" s="14"/>
      <c r="P385" s="14"/>
      <c r="Q385" s="14"/>
      <c r="R385" s="14"/>
      <c r="S385" s="14"/>
      <c r="T385" s="14"/>
      <c r="U385" s="14">
        <v>13561</v>
      </c>
      <c r="V385" s="14">
        <v>24993</v>
      </c>
      <c r="W385" s="14">
        <v>21898</v>
      </c>
      <c r="X385" s="14"/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36" t="s">
        <v>36</v>
      </c>
      <c r="AE385" s="14">
        <v>0</v>
      </c>
    </row>
    <row r="386" spans="1:31" ht="15.75">
      <c r="A386" s="35" t="s">
        <v>120</v>
      </c>
      <c r="B386" s="15" t="s">
        <v>357</v>
      </c>
      <c r="C386" s="14"/>
      <c r="D386" s="14"/>
      <c r="E386" s="14"/>
      <c r="F386" s="14"/>
      <c r="G386" s="14"/>
      <c r="H386" s="14"/>
      <c r="I386" s="14"/>
      <c r="J386" s="14"/>
      <c r="K386" s="48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36" t="s">
        <v>37</v>
      </c>
      <c r="AE386" s="14"/>
    </row>
    <row r="387" spans="1:42" ht="15.75">
      <c r="A387" s="35" t="s">
        <v>287</v>
      </c>
      <c r="B387" s="15" t="s">
        <v>357</v>
      </c>
      <c r="C387" s="16">
        <v>518</v>
      </c>
      <c r="D387" s="16">
        <v>446</v>
      </c>
      <c r="E387" s="16">
        <v>339</v>
      </c>
      <c r="F387" s="16">
        <v>409</v>
      </c>
      <c r="G387" s="16">
        <v>437</v>
      </c>
      <c r="H387" s="16">
        <v>411</v>
      </c>
      <c r="I387" s="16">
        <v>466</v>
      </c>
      <c r="J387" s="16">
        <v>994</v>
      </c>
      <c r="K387" s="16">
        <v>1028</v>
      </c>
      <c r="L387" s="16">
        <v>1903</v>
      </c>
      <c r="M387" s="16">
        <v>937</v>
      </c>
      <c r="N387" s="16">
        <v>988</v>
      </c>
      <c r="O387" s="16">
        <v>902</v>
      </c>
      <c r="P387" s="16">
        <v>817</v>
      </c>
      <c r="Q387" s="16">
        <v>904</v>
      </c>
      <c r="R387" s="16">
        <v>1294</v>
      </c>
      <c r="S387" s="16">
        <v>1041</v>
      </c>
      <c r="T387" s="16">
        <v>742</v>
      </c>
      <c r="U387" s="16">
        <v>781</v>
      </c>
      <c r="V387" s="16">
        <v>1436</v>
      </c>
      <c r="W387" s="16">
        <f>100+69</f>
        <v>169</v>
      </c>
      <c r="X387" s="16"/>
      <c r="Y387" s="16"/>
      <c r="Z387" s="16"/>
      <c r="AA387" s="16"/>
      <c r="AB387" s="16"/>
      <c r="AC387" s="16"/>
      <c r="AD387" s="16"/>
      <c r="AE387" s="16"/>
      <c r="AF387" s="83"/>
      <c r="AG387" s="83"/>
      <c r="AH387" s="83"/>
      <c r="AI387" s="83"/>
      <c r="AJ387" s="83"/>
      <c r="AK387" s="83"/>
      <c r="AL387" s="111"/>
      <c r="AM387" s="111"/>
      <c r="AN387" s="111"/>
      <c r="AO387" s="111"/>
      <c r="AP387" s="111"/>
    </row>
    <row r="388" spans="1:42" ht="15.75">
      <c r="A388" s="35" t="s">
        <v>9</v>
      </c>
      <c r="B388" s="15" t="s">
        <v>357</v>
      </c>
      <c r="C388" s="14">
        <f aca="true" t="shared" si="161" ref="C388:T388">SUM(C377:C387)</f>
        <v>5186</v>
      </c>
      <c r="D388" s="14">
        <f t="shared" si="161"/>
        <v>698</v>
      </c>
      <c r="E388" s="14">
        <f t="shared" si="161"/>
        <v>404</v>
      </c>
      <c r="F388" s="14">
        <f t="shared" si="161"/>
        <v>409</v>
      </c>
      <c r="G388" s="14">
        <f t="shared" si="161"/>
        <v>437</v>
      </c>
      <c r="H388" s="14">
        <f t="shared" si="161"/>
        <v>411</v>
      </c>
      <c r="I388" s="14">
        <f t="shared" si="161"/>
        <v>466</v>
      </c>
      <c r="J388" s="14">
        <f t="shared" si="161"/>
        <v>994</v>
      </c>
      <c r="K388" s="14">
        <f t="shared" si="161"/>
        <v>9062</v>
      </c>
      <c r="L388" s="14">
        <f t="shared" si="161"/>
        <v>9928</v>
      </c>
      <c r="M388" s="14">
        <f t="shared" si="161"/>
        <v>9766</v>
      </c>
      <c r="N388" s="14">
        <f t="shared" si="161"/>
        <v>9620</v>
      </c>
      <c r="O388" s="14">
        <f t="shared" si="161"/>
        <v>9697</v>
      </c>
      <c r="P388" s="14">
        <f t="shared" si="161"/>
        <v>10355</v>
      </c>
      <c r="Q388" s="14">
        <f t="shared" si="161"/>
        <v>12682</v>
      </c>
      <c r="R388" s="14">
        <f t="shared" si="161"/>
        <v>11193</v>
      </c>
      <c r="S388" s="14">
        <f t="shared" si="161"/>
        <v>11747</v>
      </c>
      <c r="T388" s="14">
        <f t="shared" si="161"/>
        <v>22832</v>
      </c>
      <c r="U388" s="38">
        <f>SUM(U377:U387)</f>
        <v>38433</v>
      </c>
      <c r="V388" s="14">
        <f>(SUM(V377:V387))</f>
        <v>50318</v>
      </c>
      <c r="W388" s="14">
        <f>(SUM(W377:W387))</f>
        <v>100372</v>
      </c>
      <c r="X388" s="14">
        <f aca="true" t="shared" si="162" ref="X388:AE388">(SUM(X374:X387))</f>
        <v>180364</v>
      </c>
      <c r="Y388" s="14">
        <f t="shared" si="162"/>
        <v>194056</v>
      </c>
      <c r="Z388" s="14">
        <f t="shared" si="162"/>
        <v>214466</v>
      </c>
      <c r="AA388" s="14">
        <f t="shared" si="162"/>
        <v>218722</v>
      </c>
      <c r="AB388" s="14">
        <f t="shared" si="162"/>
        <v>229161</v>
      </c>
      <c r="AC388" s="14">
        <f t="shared" si="162"/>
        <v>230854</v>
      </c>
      <c r="AD388" s="14">
        <f>+AD374+AD375</f>
        <v>244656</v>
      </c>
      <c r="AE388" s="14">
        <f t="shared" si="162"/>
        <v>239940</v>
      </c>
      <c r="AF388" s="14">
        <f aca="true" t="shared" si="163" ref="AF388:AL388">(SUM(AF374:AF387))</f>
        <v>251494</v>
      </c>
      <c r="AG388" s="14">
        <f t="shared" si="163"/>
        <v>244045</v>
      </c>
      <c r="AH388" s="14">
        <f t="shared" si="163"/>
        <v>266443</v>
      </c>
      <c r="AI388" s="14">
        <f t="shared" si="163"/>
        <v>254045</v>
      </c>
      <c r="AJ388" s="14">
        <f t="shared" si="163"/>
        <v>258710</v>
      </c>
      <c r="AK388" s="14">
        <f t="shared" si="163"/>
        <v>280625</v>
      </c>
      <c r="AL388" s="70">
        <f t="shared" si="163"/>
        <v>280625</v>
      </c>
      <c r="AM388" s="70">
        <f>(SUM(AM373:AM387))</f>
        <v>300146</v>
      </c>
      <c r="AN388" s="70">
        <f>(SUM(AN372:AN387))</f>
        <v>305615</v>
      </c>
      <c r="AO388" s="70">
        <f>(SUM(AO372:AO387))</f>
        <v>305615</v>
      </c>
      <c r="AP388" s="70">
        <f>(SUM(AP372:AP387))</f>
        <v>399001</v>
      </c>
    </row>
    <row r="389" spans="1:42" ht="15.75">
      <c r="A389" s="14"/>
      <c r="B389" s="15" t="s">
        <v>357</v>
      </c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70"/>
      <c r="AM389" s="70"/>
      <c r="AN389" s="70"/>
      <c r="AO389" s="70"/>
      <c r="AP389" s="70"/>
    </row>
    <row r="390" spans="1:42" ht="15.75">
      <c r="A390" s="15" t="s">
        <v>316</v>
      </c>
      <c r="B390" s="15" t="s">
        <v>357</v>
      </c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70"/>
      <c r="AM390" s="70"/>
      <c r="AN390" s="70"/>
      <c r="AO390" s="70"/>
      <c r="AP390" s="70"/>
    </row>
    <row r="391" spans="1:42" ht="15.75">
      <c r="A391" s="35" t="s">
        <v>429</v>
      </c>
      <c r="B391" s="15" t="s">
        <v>357</v>
      </c>
      <c r="C391" s="16">
        <v>2604</v>
      </c>
      <c r="D391" s="16">
        <v>927</v>
      </c>
      <c r="E391" s="16">
        <v>1233</v>
      </c>
      <c r="F391" s="16">
        <v>1406</v>
      </c>
      <c r="G391" s="16">
        <v>821</v>
      </c>
      <c r="H391" s="16">
        <v>1163</v>
      </c>
      <c r="I391" s="16">
        <v>2409</v>
      </c>
      <c r="J391" s="16">
        <v>6567</v>
      </c>
      <c r="K391" s="16">
        <v>11920</v>
      </c>
      <c r="L391" s="16">
        <v>10808</v>
      </c>
      <c r="M391" s="16">
        <v>8471</v>
      </c>
      <c r="N391" s="16">
        <v>4725</v>
      </c>
      <c r="O391" s="16">
        <v>13300</v>
      </c>
      <c r="P391" s="16">
        <v>11319</v>
      </c>
      <c r="Q391" s="16">
        <v>7732</v>
      </c>
      <c r="R391" s="16">
        <v>10013</v>
      </c>
      <c r="S391" s="16">
        <v>9754</v>
      </c>
      <c r="T391" s="16">
        <v>9233</v>
      </c>
      <c r="U391" s="16">
        <v>12164</v>
      </c>
      <c r="V391" s="16">
        <v>15748</v>
      </c>
      <c r="W391" s="16">
        <v>14790</v>
      </c>
      <c r="X391" s="16">
        <v>14476</v>
      </c>
      <c r="Y391" s="16">
        <v>14523</v>
      </c>
      <c r="Z391" s="16">
        <v>18418</v>
      </c>
      <c r="AA391" s="16">
        <v>27537</v>
      </c>
      <c r="AB391" s="16">
        <v>15297</v>
      </c>
      <c r="AC391" s="16">
        <v>15316</v>
      </c>
      <c r="AD391" s="16">
        <f>28966+8</f>
        <v>28974</v>
      </c>
      <c r="AE391" s="16">
        <v>15308</v>
      </c>
      <c r="AF391" s="16">
        <v>15308</v>
      </c>
      <c r="AG391" s="16">
        <v>19418</v>
      </c>
      <c r="AH391" s="16">
        <v>15308</v>
      </c>
      <c r="AI391" s="16">
        <v>15008</v>
      </c>
      <c r="AJ391" s="16">
        <v>27609</v>
      </c>
      <c r="AK391" s="16">
        <v>26990</v>
      </c>
      <c r="AL391" s="16">
        <v>26990</v>
      </c>
      <c r="AM391" s="104">
        <v>20008</v>
      </c>
      <c r="AN391" s="104">
        <v>27006</v>
      </c>
      <c r="AO391" s="104">
        <v>27006</v>
      </c>
      <c r="AP391" s="104">
        <v>127006</v>
      </c>
    </row>
    <row r="392" spans="1:42" ht="15.75">
      <c r="A392" s="35" t="s">
        <v>251</v>
      </c>
      <c r="B392" s="15" t="s">
        <v>357</v>
      </c>
      <c r="C392" s="14">
        <f aca="true" t="shared" si="164" ref="C392:U392">C391</f>
        <v>2604</v>
      </c>
      <c r="D392" s="14">
        <f t="shared" si="164"/>
        <v>927</v>
      </c>
      <c r="E392" s="14">
        <f t="shared" si="164"/>
        <v>1233</v>
      </c>
      <c r="F392" s="14">
        <f t="shared" si="164"/>
        <v>1406</v>
      </c>
      <c r="G392" s="14">
        <f t="shared" si="164"/>
        <v>821</v>
      </c>
      <c r="H392" s="14">
        <f t="shared" si="164"/>
        <v>1163</v>
      </c>
      <c r="I392" s="14">
        <f t="shared" si="164"/>
        <v>2409</v>
      </c>
      <c r="J392" s="14">
        <f t="shared" si="164"/>
        <v>6567</v>
      </c>
      <c r="K392" s="14">
        <f t="shared" si="164"/>
        <v>11920</v>
      </c>
      <c r="L392" s="14">
        <f t="shared" si="164"/>
        <v>10808</v>
      </c>
      <c r="M392" s="14">
        <f t="shared" si="164"/>
        <v>8471</v>
      </c>
      <c r="N392" s="14">
        <f t="shared" si="164"/>
        <v>4725</v>
      </c>
      <c r="O392" s="14">
        <f t="shared" si="164"/>
        <v>13300</v>
      </c>
      <c r="P392" s="14">
        <f t="shared" si="164"/>
        <v>11319</v>
      </c>
      <c r="Q392" s="14">
        <f t="shared" si="164"/>
        <v>7732</v>
      </c>
      <c r="R392" s="14">
        <f t="shared" si="164"/>
        <v>10013</v>
      </c>
      <c r="S392" s="14">
        <f t="shared" si="164"/>
        <v>9754</v>
      </c>
      <c r="T392" s="14">
        <f t="shared" si="164"/>
        <v>9233</v>
      </c>
      <c r="U392" s="14">
        <f t="shared" si="164"/>
        <v>12164</v>
      </c>
      <c r="V392" s="14">
        <f aca="true" t="shared" si="165" ref="V392:AE392">(V391)</f>
        <v>15748</v>
      </c>
      <c r="W392" s="14">
        <f t="shared" si="165"/>
        <v>14790</v>
      </c>
      <c r="X392" s="14">
        <f t="shared" si="165"/>
        <v>14476</v>
      </c>
      <c r="Y392" s="14">
        <f t="shared" si="165"/>
        <v>14523</v>
      </c>
      <c r="Z392" s="14">
        <f t="shared" si="165"/>
        <v>18418</v>
      </c>
      <c r="AA392" s="14">
        <f t="shared" si="165"/>
        <v>27537</v>
      </c>
      <c r="AB392" s="14">
        <f t="shared" si="165"/>
        <v>15297</v>
      </c>
      <c r="AC392" s="14">
        <f t="shared" si="165"/>
        <v>15316</v>
      </c>
      <c r="AD392" s="14">
        <f t="shared" si="165"/>
        <v>28974</v>
      </c>
      <c r="AE392" s="14">
        <f t="shared" si="165"/>
        <v>15308</v>
      </c>
      <c r="AF392" s="14">
        <f aca="true" t="shared" si="166" ref="AF392:AP392">(AF391)</f>
        <v>15308</v>
      </c>
      <c r="AG392" s="14">
        <f t="shared" si="166"/>
        <v>19418</v>
      </c>
      <c r="AH392" s="14">
        <f t="shared" si="166"/>
        <v>15308</v>
      </c>
      <c r="AI392" s="14">
        <f t="shared" si="166"/>
        <v>15008</v>
      </c>
      <c r="AJ392" s="14">
        <f t="shared" si="166"/>
        <v>27609</v>
      </c>
      <c r="AK392" s="14">
        <f t="shared" si="166"/>
        <v>26990</v>
      </c>
      <c r="AL392" s="70">
        <f t="shared" si="166"/>
        <v>26990</v>
      </c>
      <c r="AM392" s="70">
        <f t="shared" si="166"/>
        <v>20008</v>
      </c>
      <c r="AN392" s="70">
        <f t="shared" si="166"/>
        <v>27006</v>
      </c>
      <c r="AO392" s="70">
        <f t="shared" si="166"/>
        <v>27006</v>
      </c>
      <c r="AP392" s="70">
        <f t="shared" si="166"/>
        <v>127006</v>
      </c>
    </row>
    <row r="393" spans="1:30" ht="15.75">
      <c r="A393" s="14"/>
      <c r="B393" s="15" t="s">
        <v>357</v>
      </c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ht="15.75">
      <c r="A394" s="15" t="s">
        <v>398</v>
      </c>
      <c r="B394" s="15" t="s">
        <v>357</v>
      </c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</row>
    <row r="395" spans="1:42" ht="15.75">
      <c r="A395" s="35" t="s">
        <v>103</v>
      </c>
      <c r="B395" s="15" t="s">
        <v>357</v>
      </c>
      <c r="C395" s="14">
        <v>0</v>
      </c>
      <c r="D395" s="14">
        <v>0</v>
      </c>
      <c r="E395" s="14">
        <v>0</v>
      </c>
      <c r="F395" s="14">
        <v>0</v>
      </c>
      <c r="G395" s="14">
        <v>30000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30000</v>
      </c>
      <c r="R395" s="16">
        <v>30000</v>
      </c>
      <c r="S395" s="16">
        <v>30000</v>
      </c>
      <c r="T395" s="16">
        <v>30000</v>
      </c>
      <c r="U395" s="16">
        <v>30000</v>
      </c>
      <c r="V395" s="16">
        <v>30000</v>
      </c>
      <c r="W395" s="16">
        <v>30000</v>
      </c>
      <c r="X395" s="16">
        <v>30000</v>
      </c>
      <c r="Y395" s="16">
        <v>30000</v>
      </c>
      <c r="Z395" s="16">
        <v>30000</v>
      </c>
      <c r="AA395" s="16">
        <v>30000</v>
      </c>
      <c r="AB395" s="16">
        <v>30000</v>
      </c>
      <c r="AC395" s="16">
        <v>30000</v>
      </c>
      <c r="AD395" s="16">
        <v>30000</v>
      </c>
      <c r="AE395" s="16">
        <v>30000</v>
      </c>
      <c r="AF395" s="16">
        <v>30000</v>
      </c>
      <c r="AG395" s="16">
        <v>30000</v>
      </c>
      <c r="AH395" s="16">
        <v>30000</v>
      </c>
      <c r="AI395" s="16">
        <v>30000</v>
      </c>
      <c r="AJ395" s="16">
        <v>30000</v>
      </c>
      <c r="AK395" s="16">
        <v>30000</v>
      </c>
      <c r="AL395" s="104">
        <v>30000</v>
      </c>
      <c r="AM395" s="104">
        <v>30000</v>
      </c>
      <c r="AN395" s="104">
        <v>30000</v>
      </c>
      <c r="AO395" s="104">
        <v>30000</v>
      </c>
      <c r="AP395" s="104">
        <v>30000</v>
      </c>
    </row>
    <row r="396" spans="1:42" ht="15.75">
      <c r="A396" s="35" t="s">
        <v>165</v>
      </c>
      <c r="B396" s="15" t="s">
        <v>357</v>
      </c>
      <c r="C396" s="43">
        <f aca="true" t="shared" si="167" ref="C396:U396">C395</f>
        <v>0</v>
      </c>
      <c r="D396" s="43">
        <f t="shared" si="167"/>
        <v>0</v>
      </c>
      <c r="E396" s="43">
        <f t="shared" si="167"/>
        <v>0</v>
      </c>
      <c r="F396" s="43">
        <f t="shared" si="167"/>
        <v>0</v>
      </c>
      <c r="G396" s="43">
        <f t="shared" si="167"/>
        <v>30000</v>
      </c>
      <c r="H396" s="16">
        <f t="shared" si="167"/>
        <v>0</v>
      </c>
      <c r="I396" s="16">
        <f t="shared" si="167"/>
        <v>0</v>
      </c>
      <c r="J396" s="16">
        <f t="shared" si="167"/>
        <v>0</v>
      </c>
      <c r="K396" s="16">
        <f t="shared" si="167"/>
        <v>0</v>
      </c>
      <c r="L396" s="16">
        <f t="shared" si="167"/>
        <v>0</v>
      </c>
      <c r="M396" s="16">
        <f t="shared" si="167"/>
        <v>0</v>
      </c>
      <c r="N396" s="16">
        <f t="shared" si="167"/>
        <v>0</v>
      </c>
      <c r="O396" s="16">
        <f t="shared" si="167"/>
        <v>0</v>
      </c>
      <c r="P396" s="16">
        <f t="shared" si="167"/>
        <v>0</v>
      </c>
      <c r="Q396" s="16">
        <f t="shared" si="167"/>
        <v>30000</v>
      </c>
      <c r="R396" s="16">
        <f t="shared" si="167"/>
        <v>30000</v>
      </c>
      <c r="S396" s="16">
        <f t="shared" si="167"/>
        <v>30000</v>
      </c>
      <c r="T396" s="16">
        <f t="shared" si="167"/>
        <v>30000</v>
      </c>
      <c r="U396" s="16">
        <f t="shared" si="167"/>
        <v>30000</v>
      </c>
      <c r="V396" s="16">
        <f aca="true" t="shared" si="168" ref="V396:AE396">(V395)</f>
        <v>30000</v>
      </c>
      <c r="W396" s="16">
        <f t="shared" si="168"/>
        <v>30000</v>
      </c>
      <c r="X396" s="16">
        <f t="shared" si="168"/>
        <v>30000</v>
      </c>
      <c r="Y396" s="16">
        <f t="shared" si="168"/>
        <v>30000</v>
      </c>
      <c r="Z396" s="16">
        <f t="shared" si="168"/>
        <v>30000</v>
      </c>
      <c r="AA396" s="16">
        <f t="shared" si="168"/>
        <v>30000</v>
      </c>
      <c r="AB396" s="16">
        <f t="shared" si="168"/>
        <v>30000</v>
      </c>
      <c r="AC396" s="16">
        <f t="shared" si="168"/>
        <v>30000</v>
      </c>
      <c r="AD396" s="16">
        <f t="shared" si="168"/>
        <v>30000</v>
      </c>
      <c r="AE396" s="16">
        <f t="shared" si="168"/>
        <v>30000</v>
      </c>
      <c r="AF396" s="16">
        <f aca="true" t="shared" si="169" ref="AF396:AP396">(AF395)</f>
        <v>30000</v>
      </c>
      <c r="AG396" s="16">
        <f t="shared" si="169"/>
        <v>30000</v>
      </c>
      <c r="AH396" s="16">
        <f t="shared" si="169"/>
        <v>30000</v>
      </c>
      <c r="AI396" s="16">
        <f t="shared" si="169"/>
        <v>30000</v>
      </c>
      <c r="AJ396" s="16">
        <f t="shared" si="169"/>
        <v>30000</v>
      </c>
      <c r="AK396" s="16">
        <f t="shared" si="169"/>
        <v>30000</v>
      </c>
      <c r="AL396" s="104">
        <f t="shared" si="169"/>
        <v>30000</v>
      </c>
      <c r="AM396" s="104">
        <f t="shared" si="169"/>
        <v>30000</v>
      </c>
      <c r="AN396" s="104">
        <f t="shared" si="169"/>
        <v>30000</v>
      </c>
      <c r="AO396" s="104">
        <f t="shared" si="169"/>
        <v>30000</v>
      </c>
      <c r="AP396" s="104">
        <f t="shared" si="169"/>
        <v>30000</v>
      </c>
    </row>
    <row r="397" spans="1:42" ht="15.75">
      <c r="A397" s="35" t="s">
        <v>10</v>
      </c>
      <c r="B397" s="15" t="s">
        <v>357</v>
      </c>
      <c r="C397" s="43">
        <f aca="true" t="shared" si="170" ref="C397:L397">C388+C392+C396</f>
        <v>7790</v>
      </c>
      <c r="D397" s="43">
        <f t="shared" si="170"/>
        <v>1625</v>
      </c>
      <c r="E397" s="43">
        <f t="shared" si="170"/>
        <v>1637</v>
      </c>
      <c r="F397" s="43">
        <f t="shared" si="170"/>
        <v>1815</v>
      </c>
      <c r="G397" s="43">
        <f t="shared" si="170"/>
        <v>31258</v>
      </c>
      <c r="H397" s="16">
        <f t="shared" si="170"/>
        <v>1574</v>
      </c>
      <c r="I397" s="16">
        <f t="shared" si="170"/>
        <v>2875</v>
      </c>
      <c r="J397" s="16">
        <f t="shared" si="170"/>
        <v>7561</v>
      </c>
      <c r="K397" s="16">
        <f t="shared" si="170"/>
        <v>20982</v>
      </c>
      <c r="L397" s="16">
        <f t="shared" si="170"/>
        <v>20736</v>
      </c>
      <c r="M397" s="16">
        <f aca="true" t="shared" si="171" ref="M397:U397">M388+M392+M396</f>
        <v>18237</v>
      </c>
      <c r="N397" s="16">
        <f t="shared" si="171"/>
        <v>14345</v>
      </c>
      <c r="O397" s="16">
        <f t="shared" si="171"/>
        <v>22997</v>
      </c>
      <c r="P397" s="16">
        <f t="shared" si="171"/>
        <v>21674</v>
      </c>
      <c r="Q397" s="16">
        <f t="shared" si="171"/>
        <v>50414</v>
      </c>
      <c r="R397" s="16">
        <f t="shared" si="171"/>
        <v>51206</v>
      </c>
      <c r="S397" s="16">
        <f t="shared" si="171"/>
        <v>51501</v>
      </c>
      <c r="T397" s="16">
        <f t="shared" si="171"/>
        <v>62065</v>
      </c>
      <c r="U397" s="16">
        <f t="shared" si="171"/>
        <v>80597</v>
      </c>
      <c r="V397" s="16">
        <f aca="true" t="shared" si="172" ref="V397:AE397">(V388+V392+V396)</f>
        <v>96066</v>
      </c>
      <c r="W397" s="16">
        <f t="shared" si="172"/>
        <v>145162</v>
      </c>
      <c r="X397" s="16">
        <f t="shared" si="172"/>
        <v>224840</v>
      </c>
      <c r="Y397" s="16">
        <f t="shared" si="172"/>
        <v>238579</v>
      </c>
      <c r="Z397" s="16">
        <f t="shared" si="172"/>
        <v>262884</v>
      </c>
      <c r="AA397" s="16">
        <f t="shared" si="172"/>
        <v>276259</v>
      </c>
      <c r="AB397" s="16">
        <f t="shared" si="172"/>
        <v>274458</v>
      </c>
      <c r="AC397" s="16">
        <f t="shared" si="172"/>
        <v>276170</v>
      </c>
      <c r="AD397" s="16">
        <f t="shared" si="172"/>
        <v>303630</v>
      </c>
      <c r="AE397" s="16">
        <f t="shared" si="172"/>
        <v>285248</v>
      </c>
      <c r="AF397" s="16">
        <f aca="true" t="shared" si="173" ref="AF397:AP397">(AF388+AF392+AF396)</f>
        <v>296802</v>
      </c>
      <c r="AG397" s="16">
        <f t="shared" si="173"/>
        <v>293463</v>
      </c>
      <c r="AH397" s="16">
        <f t="shared" si="173"/>
        <v>311751</v>
      </c>
      <c r="AI397" s="16">
        <f t="shared" si="173"/>
        <v>299053</v>
      </c>
      <c r="AJ397" s="16">
        <f t="shared" si="173"/>
        <v>316319</v>
      </c>
      <c r="AK397" s="16">
        <f t="shared" si="173"/>
        <v>337615</v>
      </c>
      <c r="AL397" s="104">
        <f t="shared" si="173"/>
        <v>337615</v>
      </c>
      <c r="AM397" s="104">
        <f t="shared" si="173"/>
        <v>350154</v>
      </c>
      <c r="AN397" s="104">
        <f t="shared" si="173"/>
        <v>362621</v>
      </c>
      <c r="AO397" s="104">
        <f t="shared" si="173"/>
        <v>362621</v>
      </c>
      <c r="AP397" s="104">
        <f t="shared" si="173"/>
        <v>556007</v>
      </c>
    </row>
    <row r="398" spans="1:42" ht="15.75">
      <c r="A398" s="35" t="s">
        <v>408</v>
      </c>
      <c r="B398" s="15" t="s">
        <v>357</v>
      </c>
      <c r="C398" s="14">
        <f aca="true" t="shared" si="174" ref="C398:U398">C367+C397</f>
        <v>344003</v>
      </c>
      <c r="D398" s="14">
        <f t="shared" si="174"/>
        <v>522241</v>
      </c>
      <c r="E398" s="14">
        <f t="shared" si="174"/>
        <v>527384</v>
      </c>
      <c r="F398" s="14">
        <f t="shared" si="174"/>
        <v>531253</v>
      </c>
      <c r="G398" s="14">
        <f t="shared" si="174"/>
        <v>857780</v>
      </c>
      <c r="H398" s="14">
        <f t="shared" si="174"/>
        <v>802355</v>
      </c>
      <c r="I398" s="14">
        <f t="shared" si="174"/>
        <v>1080146</v>
      </c>
      <c r="J398" s="14">
        <f t="shared" si="174"/>
        <v>950390</v>
      </c>
      <c r="K398" s="14">
        <f t="shared" si="174"/>
        <v>1005327</v>
      </c>
      <c r="L398" s="14">
        <f t="shared" si="174"/>
        <v>857671</v>
      </c>
      <c r="M398" s="14">
        <f t="shared" si="174"/>
        <v>963814</v>
      </c>
      <c r="N398" s="14">
        <f t="shared" si="174"/>
        <v>956516</v>
      </c>
      <c r="O398" s="14">
        <f t="shared" si="174"/>
        <v>1101227</v>
      </c>
      <c r="P398" s="14">
        <f t="shared" si="174"/>
        <v>1274456</v>
      </c>
      <c r="Q398" s="14">
        <f t="shared" si="174"/>
        <v>1393244</v>
      </c>
      <c r="R398" s="14">
        <f t="shared" si="174"/>
        <v>1491891</v>
      </c>
      <c r="S398" s="14">
        <f t="shared" si="174"/>
        <v>1434674</v>
      </c>
      <c r="T398" s="14">
        <f t="shared" si="174"/>
        <v>1552414</v>
      </c>
      <c r="U398" s="14">
        <f t="shared" si="174"/>
        <v>1453750</v>
      </c>
      <c r="V398" s="14">
        <f aca="true" t="shared" si="175" ref="V398:AE398">(V367+V397)</f>
        <v>1457116</v>
      </c>
      <c r="W398" s="14">
        <f t="shared" si="175"/>
        <v>1738499</v>
      </c>
      <c r="X398" s="14">
        <f t="shared" si="175"/>
        <v>2019379</v>
      </c>
      <c r="Y398" s="14">
        <f t="shared" si="175"/>
        <v>2000335</v>
      </c>
      <c r="Z398" s="14">
        <f t="shared" si="175"/>
        <v>2147073</v>
      </c>
      <c r="AA398" s="14">
        <f t="shared" si="175"/>
        <v>2469750</v>
      </c>
      <c r="AB398" s="14">
        <f t="shared" si="175"/>
        <v>2653930</v>
      </c>
      <c r="AC398" s="14">
        <f t="shared" si="175"/>
        <v>2629731</v>
      </c>
      <c r="AD398" s="14">
        <f t="shared" si="175"/>
        <v>2545556.284</v>
      </c>
      <c r="AE398" s="14">
        <f t="shared" si="175"/>
        <v>2647121</v>
      </c>
      <c r="AF398" s="14">
        <f aca="true" t="shared" si="176" ref="AF398:AP398">(AF367+AF397)</f>
        <v>2555382.1900000004</v>
      </c>
      <c r="AG398" s="14">
        <f t="shared" si="176"/>
        <v>2560315</v>
      </c>
      <c r="AH398" s="14">
        <f t="shared" si="176"/>
        <v>2672295</v>
      </c>
      <c r="AI398" s="14">
        <f t="shared" si="176"/>
        <v>2613934</v>
      </c>
      <c r="AJ398" s="14">
        <f t="shared" si="176"/>
        <v>2677935</v>
      </c>
      <c r="AK398" s="14">
        <f t="shared" si="176"/>
        <v>2653959</v>
      </c>
      <c r="AL398" s="70">
        <f t="shared" si="176"/>
        <v>2595559</v>
      </c>
      <c r="AM398" s="70">
        <f t="shared" si="176"/>
        <v>2505977</v>
      </c>
      <c r="AN398" s="70">
        <f t="shared" si="176"/>
        <v>2465232</v>
      </c>
      <c r="AO398" s="70">
        <f t="shared" si="176"/>
        <v>2662581</v>
      </c>
      <c r="AP398" s="70">
        <f t="shared" si="176"/>
        <v>2919791</v>
      </c>
    </row>
    <row r="399" spans="1:30" ht="15.75">
      <c r="A399" s="14"/>
      <c r="B399" s="15" t="s">
        <v>357</v>
      </c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C399" s="14"/>
      <c r="AD399" s="14"/>
    </row>
    <row r="400" spans="1:30" ht="15.75">
      <c r="A400" s="34" t="s">
        <v>409</v>
      </c>
      <c r="B400" s="15" t="s">
        <v>357</v>
      </c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C400" s="14"/>
      <c r="AD400" s="14"/>
    </row>
    <row r="401" spans="1:30" ht="10.5" customHeight="1">
      <c r="A401" s="14"/>
      <c r="B401" s="15" t="s">
        <v>357</v>
      </c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C401" s="14"/>
      <c r="AD401" s="14"/>
    </row>
    <row r="402" spans="1:30" ht="15.75">
      <c r="A402" s="10" t="s">
        <v>101</v>
      </c>
      <c r="B402" s="15" t="s">
        <v>357</v>
      </c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C402" s="14"/>
      <c r="AD402" s="14"/>
    </row>
    <row r="403" spans="1:30" ht="15.75">
      <c r="A403" s="14"/>
      <c r="B403" s="15" t="s">
        <v>357</v>
      </c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C403" s="14"/>
      <c r="AD403" s="14"/>
    </row>
    <row r="404" spans="1:30" ht="15.75">
      <c r="A404" s="15" t="s">
        <v>102</v>
      </c>
      <c r="B404" s="15" t="s">
        <v>357</v>
      </c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C404" s="14"/>
      <c r="AD404" s="14"/>
    </row>
    <row r="405" spans="1:42" ht="15.75">
      <c r="A405" s="35" t="s">
        <v>273</v>
      </c>
      <c r="B405" s="15" t="s">
        <v>357</v>
      </c>
      <c r="C405" s="14">
        <v>626183</v>
      </c>
      <c r="D405" s="14">
        <v>725261</v>
      </c>
      <c r="E405" s="14">
        <v>790338</v>
      </c>
      <c r="F405" s="14">
        <v>804484</v>
      </c>
      <c r="G405" s="14">
        <v>838140</v>
      </c>
      <c r="H405" s="14">
        <v>828572</v>
      </c>
      <c r="I405" s="14">
        <v>954127</v>
      </c>
      <c r="J405" s="14">
        <v>886479</v>
      </c>
      <c r="K405" s="14">
        <v>915689</v>
      </c>
      <c r="L405" s="14">
        <v>882779</v>
      </c>
      <c r="M405" s="14">
        <v>913600</v>
      </c>
      <c r="N405" s="14">
        <v>966377</v>
      </c>
      <c r="O405" s="14">
        <v>1007708</v>
      </c>
      <c r="P405" s="14">
        <v>1021488</v>
      </c>
      <c r="Q405" s="14">
        <v>1320026</v>
      </c>
      <c r="R405" s="14">
        <v>1221955</v>
      </c>
      <c r="S405" s="14">
        <v>1363669</v>
      </c>
      <c r="T405" s="14">
        <v>1491805</v>
      </c>
      <c r="U405" s="14">
        <f>(1526778-2916)-4850-56.521-1480.745</f>
        <v>1517474.734</v>
      </c>
      <c r="V405" s="14">
        <v>1388545</v>
      </c>
      <c r="W405" s="14">
        <v>1466970</v>
      </c>
      <c r="X405" s="14">
        <v>1529638</v>
      </c>
      <c r="Y405" s="14">
        <v>1585553</v>
      </c>
      <c r="Z405" s="14">
        <f>1670444+8982-4249-26630</f>
        <v>1648547</v>
      </c>
      <c r="AA405" s="14">
        <f>1742412+50000-3833</f>
        <v>1788579</v>
      </c>
      <c r="AB405" s="14">
        <f>1799809+10096-10000-1424</f>
        <v>1798481</v>
      </c>
      <c r="AC405" s="14">
        <f>1837110-2000</f>
        <v>1835110</v>
      </c>
      <c r="AD405" s="14">
        <f>1845246+9690</f>
        <v>1854936</v>
      </c>
      <c r="AE405" s="14">
        <v>1889735</v>
      </c>
      <c r="AF405" s="14">
        <v>1892704.36</v>
      </c>
      <c r="AG405" s="14">
        <v>1893291</v>
      </c>
      <c r="AH405" s="14">
        <v>1929477</v>
      </c>
      <c r="AI405" s="14">
        <v>1926091</v>
      </c>
      <c r="AJ405" s="14">
        <v>1930591</v>
      </c>
      <c r="AK405" s="14">
        <v>1962190</v>
      </c>
      <c r="AL405" s="14">
        <v>1962190</v>
      </c>
      <c r="AM405" s="70">
        <v>1966594</v>
      </c>
      <c r="AN405" s="70">
        <v>1973403</v>
      </c>
      <c r="AO405" s="70">
        <v>1988223</v>
      </c>
      <c r="AP405" s="70">
        <v>1990918</v>
      </c>
    </row>
    <row r="406" spans="1:42" ht="15.75">
      <c r="A406" s="35" t="s">
        <v>367</v>
      </c>
      <c r="B406" s="15" t="s">
        <v>357</v>
      </c>
      <c r="C406" s="14">
        <v>77101</v>
      </c>
      <c r="D406" s="14">
        <v>67144</v>
      </c>
      <c r="E406" s="14">
        <v>128104</v>
      </c>
      <c r="F406" s="14">
        <v>93291</v>
      </c>
      <c r="G406" s="14">
        <v>100182</v>
      </c>
      <c r="H406" s="14">
        <v>94628</v>
      </c>
      <c r="I406" s="14">
        <v>131940</v>
      </c>
      <c r="J406" s="14">
        <v>77314</v>
      </c>
      <c r="K406" s="14">
        <v>108192</v>
      </c>
      <c r="L406" s="14">
        <v>108418</v>
      </c>
      <c r="M406" s="14">
        <v>103601</v>
      </c>
      <c r="N406" s="14">
        <v>108225</v>
      </c>
      <c r="O406" s="14">
        <v>65456</v>
      </c>
      <c r="P406" s="14">
        <v>176081</v>
      </c>
      <c r="Q406" s="14">
        <v>167650</v>
      </c>
      <c r="R406" s="14">
        <v>201380</v>
      </c>
      <c r="S406" s="14">
        <v>149613</v>
      </c>
      <c r="T406" s="14">
        <f>166979+12363</f>
        <v>179342</v>
      </c>
      <c r="U406" s="14">
        <f>130270-249-9571-35</f>
        <v>120415</v>
      </c>
      <c r="V406" s="14">
        <v>117333</v>
      </c>
      <c r="W406" s="14">
        <v>106780</v>
      </c>
      <c r="X406" s="14">
        <v>125279</v>
      </c>
      <c r="Y406" s="14">
        <v>123421</v>
      </c>
      <c r="Z406" s="14">
        <v>197404</v>
      </c>
      <c r="AA406" s="14">
        <v>356618</v>
      </c>
      <c r="AB406" s="14">
        <v>357132</v>
      </c>
      <c r="AC406" s="14">
        <v>345252</v>
      </c>
      <c r="AD406" s="39">
        <v>345988</v>
      </c>
      <c r="AE406" s="14">
        <v>345154</v>
      </c>
      <c r="AF406" s="14">
        <v>346827.12</v>
      </c>
      <c r="AG406" s="14">
        <v>346827</v>
      </c>
      <c r="AH406" s="14">
        <v>283126</v>
      </c>
      <c r="AI406" s="39">
        <v>319129</v>
      </c>
      <c r="AJ406" s="39">
        <v>311787</v>
      </c>
      <c r="AK406" s="39">
        <v>253925</v>
      </c>
      <c r="AL406" s="105">
        <v>275925</v>
      </c>
      <c r="AM406" s="105">
        <v>215049</v>
      </c>
      <c r="AN406" s="105">
        <v>215799</v>
      </c>
      <c r="AO406" s="105">
        <v>271823</v>
      </c>
      <c r="AP406" s="105">
        <v>197627</v>
      </c>
    </row>
    <row r="407" spans="1:42" ht="15.75">
      <c r="A407" s="35" t="s">
        <v>12</v>
      </c>
      <c r="B407" s="15" t="s">
        <v>357</v>
      </c>
      <c r="C407" s="14">
        <v>39075</v>
      </c>
      <c r="D407" s="14">
        <v>75335</v>
      </c>
      <c r="E407" s="14">
        <v>79253</v>
      </c>
      <c r="F407" s="14">
        <v>66479</v>
      </c>
      <c r="G407" s="14">
        <v>48625</v>
      </c>
      <c r="H407" s="14">
        <v>47160</v>
      </c>
      <c r="I407" s="14">
        <v>43585</v>
      </c>
      <c r="J407" s="14">
        <v>4000</v>
      </c>
      <c r="K407" s="14">
        <v>5880</v>
      </c>
      <c r="L407" s="14">
        <v>0</v>
      </c>
      <c r="M407" s="14">
        <v>0</v>
      </c>
      <c r="N407" s="14">
        <v>1000</v>
      </c>
      <c r="O407" s="14">
        <v>0</v>
      </c>
      <c r="P407" s="14">
        <v>0</v>
      </c>
      <c r="Q407" s="14">
        <v>0</v>
      </c>
      <c r="R407" s="14">
        <v>0</v>
      </c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70"/>
      <c r="AM407" s="70"/>
      <c r="AN407" s="105"/>
      <c r="AO407" s="105"/>
      <c r="AP407" s="105"/>
    </row>
    <row r="408" spans="1:42" s="8" customFormat="1" ht="15.75" hidden="1" outlineLevel="1">
      <c r="A408" s="35" t="s">
        <v>406</v>
      </c>
      <c r="B408" s="15" t="s">
        <v>357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20250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70"/>
      <c r="AM408" s="70"/>
      <c r="AN408" s="105"/>
      <c r="AO408" s="105"/>
      <c r="AP408" s="105"/>
    </row>
    <row r="409" spans="1:42" ht="15.75" hidden="1" outlineLevel="1">
      <c r="A409" s="35" t="s">
        <v>319</v>
      </c>
      <c r="B409" s="15" t="s">
        <v>357</v>
      </c>
      <c r="C409" s="14">
        <v>0</v>
      </c>
      <c r="D409" s="14">
        <v>0</v>
      </c>
      <c r="E409" s="14">
        <v>3500</v>
      </c>
      <c r="F409" s="14">
        <v>0</v>
      </c>
      <c r="G409" s="14">
        <v>81500</v>
      </c>
      <c r="H409" s="14">
        <v>0</v>
      </c>
      <c r="I409" s="14">
        <v>0</v>
      </c>
      <c r="J409" s="14">
        <v>900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70"/>
      <c r="AM409" s="70"/>
      <c r="AN409" s="105"/>
      <c r="AO409" s="105"/>
      <c r="AP409" s="105"/>
    </row>
    <row r="410" spans="1:42" ht="15.75" hidden="1" collapsed="1">
      <c r="A410" s="35" t="s">
        <v>376</v>
      </c>
      <c r="B410" s="15" t="s">
        <v>357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2500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70"/>
      <c r="AM410" s="70"/>
      <c r="AN410" s="105"/>
      <c r="AO410" s="105"/>
      <c r="AP410" s="105"/>
    </row>
    <row r="411" spans="1:42" ht="15.75" hidden="1">
      <c r="A411" s="35" t="s">
        <v>377</v>
      </c>
      <c r="B411" s="15" t="s">
        <v>357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7493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70"/>
      <c r="AM411" s="70"/>
      <c r="AN411" s="105"/>
      <c r="AO411" s="105"/>
      <c r="AP411" s="105"/>
    </row>
    <row r="412" spans="1:42" ht="15.75" hidden="1">
      <c r="A412" s="35" t="s">
        <v>378</v>
      </c>
      <c r="B412" s="15" t="s">
        <v>357</v>
      </c>
      <c r="C412" s="14">
        <v>0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6600</v>
      </c>
      <c r="N412" s="14">
        <v>59</v>
      </c>
      <c r="O412" s="14">
        <v>0</v>
      </c>
      <c r="P412" s="14">
        <v>0</v>
      </c>
      <c r="Q412" s="14">
        <v>0</v>
      </c>
      <c r="R412" s="14">
        <v>0</v>
      </c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70"/>
      <c r="AM412" s="70"/>
      <c r="AN412" s="105"/>
      <c r="AO412" s="105"/>
      <c r="AP412" s="105"/>
    </row>
    <row r="413" spans="1:42" ht="0.75" customHeight="1">
      <c r="A413" s="35" t="s">
        <v>379</v>
      </c>
      <c r="B413" s="15" t="s">
        <v>357</v>
      </c>
      <c r="C413" s="14"/>
      <c r="D413" s="14"/>
      <c r="E413" s="14"/>
      <c r="F413" s="14"/>
      <c r="G413" s="14"/>
      <c r="H413" s="14"/>
      <c r="I413" s="14"/>
      <c r="J413" s="14"/>
      <c r="K413" s="48">
        <v>0</v>
      </c>
      <c r="L413" s="14"/>
      <c r="M413" s="14"/>
      <c r="N413" s="14"/>
      <c r="O413" s="14">
        <v>0</v>
      </c>
      <c r="P413" s="14">
        <v>800</v>
      </c>
      <c r="Q413" s="14">
        <v>2984</v>
      </c>
      <c r="R413" s="14">
        <v>3950</v>
      </c>
      <c r="S413" s="14">
        <v>3966</v>
      </c>
      <c r="T413" s="14">
        <v>2466</v>
      </c>
      <c r="U413" s="14">
        <v>1996</v>
      </c>
      <c r="V413" s="14">
        <v>0</v>
      </c>
      <c r="W413" s="14">
        <v>0</v>
      </c>
      <c r="X413" s="14">
        <v>0</v>
      </c>
      <c r="Y413" s="14">
        <v>0</v>
      </c>
      <c r="Z413" s="14">
        <v>0</v>
      </c>
      <c r="AA413" s="14">
        <v>0</v>
      </c>
      <c r="AB413" s="14">
        <v>0</v>
      </c>
      <c r="AC413" s="14">
        <v>0</v>
      </c>
      <c r="AD413" s="14"/>
      <c r="AE413" s="14">
        <v>0</v>
      </c>
      <c r="AF413" s="14">
        <v>0</v>
      </c>
      <c r="AG413" s="14"/>
      <c r="AH413" s="14">
        <v>0</v>
      </c>
      <c r="AI413" s="14">
        <v>0</v>
      </c>
      <c r="AJ413" s="14"/>
      <c r="AK413" s="14"/>
      <c r="AL413" s="70">
        <v>0</v>
      </c>
      <c r="AM413" s="70">
        <v>0</v>
      </c>
      <c r="AN413" s="105">
        <v>0</v>
      </c>
      <c r="AO413" s="105">
        <v>0</v>
      </c>
      <c r="AP413" s="105">
        <v>0</v>
      </c>
    </row>
    <row r="414" spans="1:42" ht="15.75" customHeight="1">
      <c r="A414" s="35" t="s">
        <v>267</v>
      </c>
      <c r="B414" s="54" t="s">
        <v>357</v>
      </c>
      <c r="C414" s="54">
        <v>0</v>
      </c>
      <c r="D414" s="54">
        <v>0</v>
      </c>
      <c r="E414" s="54">
        <v>0</v>
      </c>
      <c r="F414" s="54">
        <v>0</v>
      </c>
      <c r="G414" s="54">
        <v>0</v>
      </c>
      <c r="H414" s="54">
        <v>0</v>
      </c>
      <c r="I414" s="54">
        <v>0</v>
      </c>
      <c r="J414" s="54">
        <v>0</v>
      </c>
      <c r="K414" s="54">
        <v>0</v>
      </c>
      <c r="L414" s="54">
        <v>0</v>
      </c>
      <c r="M414" s="54">
        <v>0</v>
      </c>
      <c r="N414" s="54">
        <v>13340</v>
      </c>
      <c r="O414" s="54">
        <v>13952</v>
      </c>
      <c r="P414" s="54">
        <v>191864</v>
      </c>
      <c r="Q414" s="54">
        <v>56135</v>
      </c>
      <c r="R414" s="54">
        <v>87617</v>
      </c>
      <c r="S414" s="54">
        <v>38609</v>
      </c>
      <c r="T414" s="54">
        <v>103259</v>
      </c>
      <c r="U414" s="54">
        <v>77096</v>
      </c>
      <c r="V414" s="54">
        <v>80645</v>
      </c>
      <c r="W414" s="54">
        <v>67247</v>
      </c>
      <c r="X414" s="54">
        <v>43352</v>
      </c>
      <c r="Y414" s="54">
        <v>28882</v>
      </c>
      <c r="Z414" s="54">
        <v>27128</v>
      </c>
      <c r="AA414" s="54">
        <v>37443</v>
      </c>
      <c r="AB414" s="54">
        <v>60949</v>
      </c>
      <c r="AC414" s="54">
        <v>57949</v>
      </c>
      <c r="AD414" s="54">
        <v>60553</v>
      </c>
      <c r="AE414" s="54">
        <v>51375</v>
      </c>
      <c r="AF414" s="54">
        <v>59866.178</v>
      </c>
      <c r="AG414" s="54">
        <v>59866</v>
      </c>
      <c r="AH414" s="54">
        <v>34771</v>
      </c>
      <c r="AI414" s="54">
        <v>44150</v>
      </c>
      <c r="AJ414" s="54">
        <v>44149</v>
      </c>
      <c r="AK414" s="54">
        <v>34243</v>
      </c>
      <c r="AL414" s="113">
        <v>34243</v>
      </c>
      <c r="AM414" s="113">
        <v>33946</v>
      </c>
      <c r="AN414" s="123">
        <v>34439</v>
      </c>
      <c r="AO414" s="123">
        <v>42000</v>
      </c>
      <c r="AP414" s="123">
        <v>34069</v>
      </c>
    </row>
    <row r="415" spans="1:42" ht="15.75">
      <c r="A415" s="35" t="s">
        <v>373</v>
      </c>
      <c r="B415" s="15" t="s">
        <v>357</v>
      </c>
      <c r="C415" s="14">
        <v>15000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2103</v>
      </c>
      <c r="M415" s="14">
        <v>2452</v>
      </c>
      <c r="N415" s="14">
        <v>3085</v>
      </c>
      <c r="O415" s="14">
        <v>3370</v>
      </c>
      <c r="P415" s="14">
        <v>4326</v>
      </c>
      <c r="Q415" s="14">
        <v>11725</v>
      </c>
      <c r="R415" s="14">
        <v>0</v>
      </c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70"/>
      <c r="AM415" s="70"/>
      <c r="AN415" s="70"/>
      <c r="AO415" s="70"/>
      <c r="AP415" s="70"/>
    </row>
    <row r="416" spans="1:42" ht="15.75">
      <c r="A416" s="35" t="s">
        <v>374</v>
      </c>
      <c r="B416" s="15" t="s">
        <v>357</v>
      </c>
      <c r="C416" s="14"/>
      <c r="D416" s="14"/>
      <c r="E416" s="14"/>
      <c r="F416" s="14"/>
      <c r="G416" s="14"/>
      <c r="H416" s="14"/>
      <c r="I416" s="14"/>
      <c r="J416" s="14"/>
      <c r="K416" s="48">
        <v>0</v>
      </c>
      <c r="L416" s="14"/>
      <c r="M416" s="14"/>
      <c r="N416" s="14"/>
      <c r="O416" s="14"/>
      <c r="P416" s="14"/>
      <c r="Q416" s="14"/>
      <c r="R416" s="14">
        <v>9412</v>
      </c>
      <c r="S416" s="14">
        <v>9687</v>
      </c>
      <c r="T416" s="14">
        <v>9690</v>
      </c>
      <c r="U416" s="14">
        <v>9670</v>
      </c>
      <c r="V416" s="14">
        <v>5000</v>
      </c>
      <c r="W416" s="14">
        <v>5000</v>
      </c>
      <c r="X416" s="14">
        <v>5000</v>
      </c>
      <c r="Y416" s="14">
        <v>5001</v>
      </c>
      <c r="Z416" s="14">
        <v>4985</v>
      </c>
      <c r="AA416" s="14">
        <v>4977</v>
      </c>
      <c r="AB416" s="14">
        <v>4986</v>
      </c>
      <c r="AC416" s="14">
        <v>5493</v>
      </c>
      <c r="AD416" s="14">
        <v>5457</v>
      </c>
      <c r="AE416" s="14">
        <v>6497</v>
      </c>
      <c r="AF416" s="14">
        <v>6416.945</v>
      </c>
      <c r="AG416" s="14">
        <v>6417</v>
      </c>
      <c r="AH416" s="14">
        <v>6421</v>
      </c>
      <c r="AI416" s="14">
        <v>6332</v>
      </c>
      <c r="AJ416" s="14">
        <v>6332</v>
      </c>
      <c r="AK416" s="14">
        <v>6255</v>
      </c>
      <c r="AL416" s="70">
        <v>6255</v>
      </c>
      <c r="AM416" s="70">
        <v>6262</v>
      </c>
      <c r="AN416" s="70">
        <v>6255</v>
      </c>
      <c r="AO416" s="70">
        <v>6258</v>
      </c>
      <c r="AP416" s="70">
        <v>6276</v>
      </c>
    </row>
    <row r="417" spans="1:42" ht="15.75" hidden="1" outlineLevel="1">
      <c r="A417" s="35" t="s">
        <v>338</v>
      </c>
      <c r="B417" s="15" t="s">
        <v>357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48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/>
      <c r="R417" s="14">
        <v>0</v>
      </c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70"/>
      <c r="AM417" s="70"/>
      <c r="AN417" s="70"/>
      <c r="AO417" s="70"/>
      <c r="AP417" s="70"/>
    </row>
    <row r="418" spans="1:42" ht="15.75" hidden="1" outlineLevel="1">
      <c r="A418" s="35" t="s">
        <v>339</v>
      </c>
      <c r="B418" s="15" t="s">
        <v>357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48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/>
      <c r="R418" s="14">
        <v>0</v>
      </c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70"/>
      <c r="AM418" s="70"/>
      <c r="AN418" s="70"/>
      <c r="AO418" s="70"/>
      <c r="AP418" s="70"/>
    </row>
    <row r="419" spans="1:42" ht="15.75" hidden="1" collapsed="1">
      <c r="A419" s="35" t="s">
        <v>340</v>
      </c>
      <c r="B419" s="15" t="s">
        <v>357</v>
      </c>
      <c r="C419" s="14"/>
      <c r="D419" s="14"/>
      <c r="E419" s="14"/>
      <c r="F419" s="14"/>
      <c r="G419" s="14"/>
      <c r="H419" s="14"/>
      <c r="I419" s="14"/>
      <c r="J419" s="14"/>
      <c r="K419" s="48">
        <v>0</v>
      </c>
      <c r="L419" s="14"/>
      <c r="M419" s="14"/>
      <c r="N419" s="14"/>
      <c r="O419" s="14"/>
      <c r="P419" s="14"/>
      <c r="Q419" s="14"/>
      <c r="R419" s="14">
        <v>4008</v>
      </c>
      <c r="S419" s="14">
        <v>2479</v>
      </c>
      <c r="T419" s="14">
        <v>2484</v>
      </c>
      <c r="U419" s="14">
        <v>779</v>
      </c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70"/>
      <c r="AM419" s="70"/>
      <c r="AN419" s="70"/>
      <c r="AO419" s="70"/>
      <c r="AP419" s="70"/>
    </row>
    <row r="420" spans="1:42" ht="15.75" hidden="1">
      <c r="A420" s="35" t="s">
        <v>341</v>
      </c>
      <c r="B420" s="15" t="s">
        <v>357</v>
      </c>
      <c r="C420" s="14"/>
      <c r="D420" s="14"/>
      <c r="E420" s="14"/>
      <c r="F420" s="14"/>
      <c r="G420" s="14"/>
      <c r="H420" s="14"/>
      <c r="I420" s="14"/>
      <c r="J420" s="14"/>
      <c r="K420" s="48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>
        <v>5000</v>
      </c>
      <c r="Z420" s="14" t="s">
        <v>173</v>
      </c>
      <c r="AA420" s="14" t="s">
        <v>173</v>
      </c>
      <c r="AB420" s="14" t="s">
        <v>173</v>
      </c>
      <c r="AC420" s="14" t="s">
        <v>173</v>
      </c>
      <c r="AD420" s="14" t="s">
        <v>173</v>
      </c>
      <c r="AE420" s="14">
        <v>20980</v>
      </c>
      <c r="AF420" s="14"/>
      <c r="AG420" s="14"/>
      <c r="AH420" s="14"/>
      <c r="AI420" s="14"/>
      <c r="AJ420" s="14"/>
      <c r="AK420" s="14"/>
      <c r="AL420" s="70"/>
      <c r="AM420" s="70"/>
      <c r="AN420" s="70"/>
      <c r="AO420" s="70"/>
      <c r="AP420" s="70"/>
    </row>
    <row r="421" spans="1:42" ht="15.75" hidden="1">
      <c r="A421" s="35" t="s">
        <v>134</v>
      </c>
      <c r="B421" s="15" t="s">
        <v>357</v>
      </c>
      <c r="C421" s="14"/>
      <c r="D421" s="14"/>
      <c r="E421" s="14"/>
      <c r="F421" s="14"/>
      <c r="G421" s="14"/>
      <c r="H421" s="14"/>
      <c r="I421" s="14"/>
      <c r="J421" s="14"/>
      <c r="K421" s="48">
        <v>0</v>
      </c>
      <c r="L421" s="14"/>
      <c r="M421" s="14"/>
      <c r="N421" s="14"/>
      <c r="O421" s="14"/>
      <c r="P421" s="14">
        <v>392</v>
      </c>
      <c r="Q421" s="14"/>
      <c r="R421" s="14">
        <v>987</v>
      </c>
      <c r="S421" s="14">
        <v>1970</v>
      </c>
      <c r="T421" s="14">
        <v>1970</v>
      </c>
      <c r="U421" s="14">
        <v>1966</v>
      </c>
      <c r="V421" s="14">
        <v>500</v>
      </c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70"/>
      <c r="AM421" s="70"/>
      <c r="AN421" s="70"/>
      <c r="AO421" s="70"/>
      <c r="AP421" s="70"/>
    </row>
    <row r="422" spans="1:42" ht="15.75" hidden="1" outlineLevel="1">
      <c r="A422" s="35" t="s">
        <v>121</v>
      </c>
      <c r="B422" s="15" t="s">
        <v>357</v>
      </c>
      <c r="C422" s="14">
        <v>0</v>
      </c>
      <c r="D422" s="14">
        <v>30000</v>
      </c>
      <c r="E422" s="14">
        <v>30000</v>
      </c>
      <c r="F422" s="14">
        <v>30000</v>
      </c>
      <c r="G422" s="14">
        <v>30000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04"/>
      <c r="AM422" s="104"/>
      <c r="AN422" s="104"/>
      <c r="AO422" s="104"/>
      <c r="AP422" s="104"/>
    </row>
    <row r="423" spans="1:42" ht="15.75" collapsed="1">
      <c r="A423" s="35" t="s">
        <v>344</v>
      </c>
      <c r="B423" s="15" t="s">
        <v>357</v>
      </c>
      <c r="C423" s="14">
        <f aca="true" t="shared" si="177" ref="C423:U423">SUM(C405:C422)</f>
        <v>757359</v>
      </c>
      <c r="D423" s="14">
        <f t="shared" si="177"/>
        <v>897740</v>
      </c>
      <c r="E423" s="14">
        <f t="shared" si="177"/>
        <v>1031195</v>
      </c>
      <c r="F423" s="14">
        <f t="shared" si="177"/>
        <v>994254</v>
      </c>
      <c r="G423" s="14">
        <f t="shared" si="177"/>
        <v>1098447</v>
      </c>
      <c r="H423" s="14">
        <f t="shared" si="177"/>
        <v>970360</v>
      </c>
      <c r="I423" s="14">
        <f t="shared" si="177"/>
        <v>1149902</v>
      </c>
      <c r="J423" s="14">
        <f t="shared" si="177"/>
        <v>968693</v>
      </c>
      <c r="K423" s="38">
        <f t="shared" si="177"/>
        <v>1032261</v>
      </c>
      <c r="L423" s="38">
        <f t="shared" si="177"/>
        <v>1000793</v>
      </c>
      <c r="M423" s="38">
        <f t="shared" si="177"/>
        <v>1026253</v>
      </c>
      <c r="N423" s="38">
        <f t="shared" si="177"/>
        <v>1092086</v>
      </c>
      <c r="O423" s="38">
        <f t="shared" si="177"/>
        <v>1090486</v>
      </c>
      <c r="P423" s="38">
        <f t="shared" si="177"/>
        <v>1394951</v>
      </c>
      <c r="Q423" s="38">
        <f t="shared" si="177"/>
        <v>1558520</v>
      </c>
      <c r="R423" s="38">
        <f t="shared" si="177"/>
        <v>1529309</v>
      </c>
      <c r="S423" s="38">
        <f t="shared" si="177"/>
        <v>1569993</v>
      </c>
      <c r="T423" s="38">
        <f t="shared" si="177"/>
        <v>1791016</v>
      </c>
      <c r="U423" s="38">
        <f t="shared" si="177"/>
        <v>1729396.734</v>
      </c>
      <c r="V423" s="38">
        <f aca="true" t="shared" si="178" ref="V423:AG423">(SUM(V405:V422))</f>
        <v>1592023</v>
      </c>
      <c r="W423" s="43">
        <f t="shared" si="178"/>
        <v>1645997</v>
      </c>
      <c r="X423" s="43">
        <f t="shared" si="178"/>
        <v>1703269</v>
      </c>
      <c r="Y423" s="43">
        <f t="shared" si="178"/>
        <v>1747857</v>
      </c>
      <c r="Z423" s="43">
        <f t="shared" si="178"/>
        <v>1878064</v>
      </c>
      <c r="AA423" s="43">
        <f t="shared" si="178"/>
        <v>2187617</v>
      </c>
      <c r="AB423" s="43">
        <f t="shared" si="178"/>
        <v>2221548</v>
      </c>
      <c r="AC423" s="43">
        <f t="shared" si="178"/>
        <v>2243804</v>
      </c>
      <c r="AD423" s="43">
        <f t="shared" si="178"/>
        <v>2266934</v>
      </c>
      <c r="AE423" s="43">
        <f t="shared" si="178"/>
        <v>2313741</v>
      </c>
      <c r="AF423" s="43">
        <f t="shared" si="178"/>
        <v>2305814.6029999997</v>
      </c>
      <c r="AG423" s="43">
        <f t="shared" si="178"/>
        <v>2306401</v>
      </c>
      <c r="AH423" s="43">
        <f aca="true" t="shared" si="179" ref="AH423:AP423">(SUM(AH405:AH422))</f>
        <v>2253795</v>
      </c>
      <c r="AI423" s="43">
        <f t="shared" si="179"/>
        <v>2295702</v>
      </c>
      <c r="AJ423" s="43">
        <f t="shared" si="179"/>
        <v>2292859</v>
      </c>
      <c r="AK423" s="43">
        <f t="shared" si="179"/>
        <v>2256613</v>
      </c>
      <c r="AL423" s="106">
        <f t="shared" si="179"/>
        <v>2278613</v>
      </c>
      <c r="AM423" s="106">
        <f t="shared" si="179"/>
        <v>2221851</v>
      </c>
      <c r="AN423" s="106">
        <f t="shared" si="179"/>
        <v>2229896</v>
      </c>
      <c r="AO423" s="106">
        <f t="shared" si="179"/>
        <v>2308304</v>
      </c>
      <c r="AP423" s="106">
        <f t="shared" si="179"/>
        <v>2228890</v>
      </c>
    </row>
    <row r="424" spans="1:42" ht="15.75">
      <c r="A424" s="14"/>
      <c r="B424" s="15" t="s">
        <v>357</v>
      </c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70"/>
      <c r="AM424" s="70"/>
      <c r="AN424" s="70"/>
      <c r="AO424" s="70"/>
      <c r="AP424" s="70"/>
    </row>
    <row r="425" spans="1:42" ht="15.75" hidden="1">
      <c r="A425" s="15" t="s">
        <v>316</v>
      </c>
      <c r="B425" s="15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70"/>
      <c r="AM425" s="70"/>
      <c r="AN425" s="70"/>
      <c r="AO425" s="70"/>
      <c r="AP425" s="70"/>
    </row>
    <row r="426" spans="1:42" ht="15.75" hidden="1" outlineLevel="1">
      <c r="A426" s="15" t="s">
        <v>22</v>
      </c>
      <c r="B426" s="15" t="s">
        <v>357</v>
      </c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>
        <v>0</v>
      </c>
      <c r="P426" s="14">
        <v>0</v>
      </c>
      <c r="Q426" s="14">
        <v>0</v>
      </c>
      <c r="R426" s="14">
        <v>0</v>
      </c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70"/>
      <c r="AM426" s="70"/>
      <c r="AN426" s="70"/>
      <c r="AO426" s="70"/>
      <c r="AP426" s="70"/>
    </row>
    <row r="427" spans="1:42" ht="15.75" hidden="1" collapsed="1">
      <c r="A427" s="35" t="s">
        <v>429</v>
      </c>
      <c r="B427" s="15" t="s">
        <v>357</v>
      </c>
      <c r="C427" s="14">
        <v>31610</v>
      </c>
      <c r="D427" s="14">
        <v>26887</v>
      </c>
      <c r="E427" s="14">
        <v>40000</v>
      </c>
      <c r="F427" s="14">
        <v>31504</v>
      </c>
      <c r="G427" s="14">
        <v>48807</v>
      </c>
      <c r="H427" s="16">
        <v>55291</v>
      </c>
      <c r="I427" s="16">
        <v>60149</v>
      </c>
      <c r="J427" s="16">
        <v>51044</v>
      </c>
      <c r="K427" s="16">
        <v>460</v>
      </c>
      <c r="L427" s="16">
        <v>974</v>
      </c>
      <c r="M427" s="16">
        <v>969</v>
      </c>
      <c r="N427" s="16">
        <v>1319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16"/>
      <c r="AL427" s="104">
        <v>0</v>
      </c>
      <c r="AM427" s="104">
        <v>0</v>
      </c>
      <c r="AN427" s="104">
        <v>0</v>
      </c>
      <c r="AO427" s="104">
        <v>0</v>
      </c>
      <c r="AP427" s="104">
        <v>0</v>
      </c>
    </row>
    <row r="428" spans="1:42" ht="15.75" hidden="1">
      <c r="A428" s="35" t="s">
        <v>151</v>
      </c>
      <c r="B428" s="15" t="s">
        <v>357</v>
      </c>
      <c r="C428" s="14">
        <f aca="true" t="shared" si="180" ref="C428:O428">C427</f>
        <v>31610</v>
      </c>
      <c r="D428" s="14">
        <f t="shared" si="180"/>
        <v>26887</v>
      </c>
      <c r="E428" s="14">
        <f t="shared" si="180"/>
        <v>40000</v>
      </c>
      <c r="F428" s="14">
        <f t="shared" si="180"/>
        <v>31504</v>
      </c>
      <c r="G428" s="14">
        <f t="shared" si="180"/>
        <v>48807</v>
      </c>
      <c r="H428" s="16">
        <f t="shared" si="180"/>
        <v>55291</v>
      </c>
      <c r="I428" s="16">
        <f t="shared" si="180"/>
        <v>60149</v>
      </c>
      <c r="J428" s="16">
        <f t="shared" si="180"/>
        <v>51044</v>
      </c>
      <c r="K428" s="16">
        <f t="shared" si="180"/>
        <v>460</v>
      </c>
      <c r="L428" s="16">
        <f t="shared" si="180"/>
        <v>974</v>
      </c>
      <c r="M428" s="16">
        <f t="shared" si="180"/>
        <v>969</v>
      </c>
      <c r="N428" s="16">
        <f t="shared" si="180"/>
        <v>1319</v>
      </c>
      <c r="O428" s="16">
        <f t="shared" si="180"/>
        <v>0</v>
      </c>
      <c r="P428" s="16">
        <f>SUM(P426:P427)</f>
        <v>0</v>
      </c>
      <c r="Q428" s="16">
        <f>SUM(Q426:Q427)</f>
        <v>0</v>
      </c>
      <c r="R428" s="16">
        <f>SUM(R426:R427)</f>
        <v>0</v>
      </c>
      <c r="S428" s="16">
        <f>SUM(S426:S427)</f>
        <v>0</v>
      </c>
      <c r="T428" s="16">
        <f>SUM(T426:T427)</f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</v>
      </c>
      <c r="AI428" s="16">
        <v>0</v>
      </c>
      <c r="AJ428" s="16">
        <v>0</v>
      </c>
      <c r="AK428" s="16"/>
      <c r="AL428" s="104">
        <v>0</v>
      </c>
      <c r="AM428" s="104">
        <v>0</v>
      </c>
      <c r="AN428" s="104">
        <v>0</v>
      </c>
      <c r="AO428" s="104">
        <v>0</v>
      </c>
      <c r="AP428" s="104">
        <v>0</v>
      </c>
    </row>
    <row r="429" spans="1:42" ht="15.75">
      <c r="A429" s="14"/>
      <c r="B429" s="15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110"/>
      <c r="AM429" s="110"/>
      <c r="AN429" s="110"/>
      <c r="AO429" s="110"/>
      <c r="AP429" s="110"/>
    </row>
    <row r="430" spans="1:42" ht="15.75">
      <c r="A430" s="35" t="s">
        <v>412</v>
      </c>
      <c r="B430" s="15" t="s">
        <v>357</v>
      </c>
      <c r="C430" s="14">
        <f aca="true" t="shared" si="181" ref="C430:U430">C423+C428</f>
        <v>788969</v>
      </c>
      <c r="D430" s="14">
        <f t="shared" si="181"/>
        <v>924627</v>
      </c>
      <c r="E430" s="14">
        <f t="shared" si="181"/>
        <v>1071195</v>
      </c>
      <c r="F430" s="14">
        <f t="shared" si="181"/>
        <v>1025758</v>
      </c>
      <c r="G430" s="14">
        <f t="shared" si="181"/>
        <v>1147254</v>
      </c>
      <c r="H430" s="14">
        <f t="shared" si="181"/>
        <v>1025651</v>
      </c>
      <c r="I430" s="14">
        <f t="shared" si="181"/>
        <v>1210051</v>
      </c>
      <c r="J430" s="14">
        <f t="shared" si="181"/>
        <v>1019737</v>
      </c>
      <c r="K430" s="14">
        <f t="shared" si="181"/>
        <v>1032721</v>
      </c>
      <c r="L430" s="14">
        <f t="shared" si="181"/>
        <v>1001767</v>
      </c>
      <c r="M430" s="14">
        <f t="shared" si="181"/>
        <v>1027222</v>
      </c>
      <c r="N430" s="14">
        <f t="shared" si="181"/>
        <v>1093405</v>
      </c>
      <c r="O430" s="14">
        <f t="shared" si="181"/>
        <v>1090486</v>
      </c>
      <c r="P430" s="14">
        <f t="shared" si="181"/>
        <v>1394951</v>
      </c>
      <c r="Q430" s="14">
        <f t="shared" si="181"/>
        <v>1558520</v>
      </c>
      <c r="R430" s="14">
        <f t="shared" si="181"/>
        <v>1529309</v>
      </c>
      <c r="S430" s="14">
        <f t="shared" si="181"/>
        <v>1569993</v>
      </c>
      <c r="T430" s="14">
        <f t="shared" si="181"/>
        <v>1791016</v>
      </c>
      <c r="U430" s="14">
        <f t="shared" si="181"/>
        <v>1729396.734</v>
      </c>
      <c r="V430" s="14">
        <f aca="true" t="shared" si="182" ref="V430:AB430">(V423+V428)</f>
        <v>1592023</v>
      </c>
      <c r="W430" s="14">
        <f t="shared" si="182"/>
        <v>1645997</v>
      </c>
      <c r="X430" s="14">
        <f t="shared" si="182"/>
        <v>1703269</v>
      </c>
      <c r="Y430" s="14">
        <f t="shared" si="182"/>
        <v>1747857</v>
      </c>
      <c r="Z430" s="14">
        <f t="shared" si="182"/>
        <v>1878064</v>
      </c>
      <c r="AA430" s="14">
        <f t="shared" si="182"/>
        <v>2187617</v>
      </c>
      <c r="AB430" s="14">
        <f t="shared" si="182"/>
        <v>2221548</v>
      </c>
      <c r="AC430" s="14">
        <f aca="true" t="shared" si="183" ref="AC430:AL430">(AC423+AC428)</f>
        <v>2243804</v>
      </c>
      <c r="AD430" s="14">
        <f t="shared" si="183"/>
        <v>2266934</v>
      </c>
      <c r="AE430" s="14">
        <f t="shared" si="183"/>
        <v>2313741</v>
      </c>
      <c r="AF430" s="14">
        <f t="shared" si="183"/>
        <v>2305814.6029999997</v>
      </c>
      <c r="AG430" s="14">
        <f t="shared" si="183"/>
        <v>2306401</v>
      </c>
      <c r="AH430" s="14">
        <f t="shared" si="183"/>
        <v>2253795</v>
      </c>
      <c r="AI430" s="14">
        <f t="shared" si="183"/>
        <v>2295702</v>
      </c>
      <c r="AJ430" s="14">
        <f>(AJ423+AJ428)</f>
        <v>2292859</v>
      </c>
      <c r="AK430" s="14">
        <f>(AK423+AK428)</f>
        <v>2256613</v>
      </c>
      <c r="AL430" s="70">
        <f t="shared" si="183"/>
        <v>2278613</v>
      </c>
      <c r="AM430" s="70">
        <f>(AM423+AM428)</f>
        <v>2221851</v>
      </c>
      <c r="AN430" s="70">
        <f>(AN423+AN428)</f>
        <v>2229896</v>
      </c>
      <c r="AO430" s="70">
        <f>(AO423+AO428)</f>
        <v>2308304</v>
      </c>
      <c r="AP430" s="70">
        <f>(AP423+AP428)</f>
        <v>2228890</v>
      </c>
    </row>
    <row r="431" spans="1:30" ht="15.75">
      <c r="A431" s="14"/>
      <c r="B431" s="15" t="s">
        <v>357</v>
      </c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93"/>
    </row>
    <row r="432" spans="1:31" ht="15.75">
      <c r="A432" s="10" t="s">
        <v>402</v>
      </c>
      <c r="B432" s="15" t="s">
        <v>357</v>
      </c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2">
        <f>+AE430-AE420</f>
        <v>2292761</v>
      </c>
    </row>
    <row r="433" spans="2:30" ht="15.75">
      <c r="B433" s="15" t="s">
        <v>357</v>
      </c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</row>
    <row r="434" spans="1:30" ht="15.75">
      <c r="A434" s="15" t="s">
        <v>394</v>
      </c>
      <c r="B434" s="15" t="s">
        <v>357</v>
      </c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</row>
    <row r="435" spans="1:30" ht="15.75">
      <c r="A435" s="35" t="s">
        <v>367</v>
      </c>
      <c r="B435" s="15" t="s">
        <v>357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4900</v>
      </c>
      <c r="M435" s="14">
        <v>0</v>
      </c>
      <c r="N435" s="14">
        <v>0</v>
      </c>
      <c r="O435" s="14">
        <v>0</v>
      </c>
      <c r="P435" s="14">
        <v>0</v>
      </c>
      <c r="Q435" s="14" t="s">
        <v>357</v>
      </c>
      <c r="R435" s="14" t="s">
        <v>357</v>
      </c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</row>
    <row r="436" spans="1:43" ht="15.75">
      <c r="A436" s="35" t="s">
        <v>23</v>
      </c>
      <c r="B436" s="15" t="s">
        <v>357</v>
      </c>
      <c r="C436" s="14"/>
      <c r="D436" s="14"/>
      <c r="E436" s="14"/>
      <c r="F436" s="14"/>
      <c r="G436" s="14"/>
      <c r="H436" s="14"/>
      <c r="I436" s="14"/>
      <c r="J436" s="14"/>
      <c r="K436" s="48">
        <v>0</v>
      </c>
      <c r="L436" s="14"/>
      <c r="M436" s="14"/>
      <c r="N436" s="14"/>
      <c r="O436" s="14"/>
      <c r="P436" s="14">
        <v>7104</v>
      </c>
      <c r="Q436" s="14">
        <v>1074</v>
      </c>
      <c r="R436" s="14">
        <v>3989</v>
      </c>
      <c r="S436" s="14">
        <v>6671</v>
      </c>
      <c r="T436" s="14">
        <v>7370</v>
      </c>
      <c r="U436" s="14">
        <v>6631</v>
      </c>
      <c r="V436" s="14">
        <v>7000</v>
      </c>
      <c r="W436" s="14">
        <v>3006</v>
      </c>
      <c r="X436" s="14">
        <v>1830</v>
      </c>
      <c r="Y436" s="14">
        <v>1745</v>
      </c>
      <c r="Z436" s="14">
        <v>1456</v>
      </c>
      <c r="AA436" s="14">
        <v>2000</v>
      </c>
      <c r="AB436" s="14">
        <v>3070</v>
      </c>
      <c r="AC436" s="14">
        <v>3000</v>
      </c>
      <c r="AD436" s="14">
        <v>3000</v>
      </c>
      <c r="AE436" s="14">
        <v>3000</v>
      </c>
      <c r="AF436" s="14">
        <v>3000</v>
      </c>
      <c r="AG436" s="14">
        <v>1885</v>
      </c>
      <c r="AH436" s="14">
        <v>3000</v>
      </c>
      <c r="AI436" s="14">
        <v>3000</v>
      </c>
      <c r="AJ436" s="14">
        <v>1642</v>
      </c>
      <c r="AK436" s="14">
        <v>2774</v>
      </c>
      <c r="AL436" s="125">
        <v>3000</v>
      </c>
      <c r="AM436" s="70">
        <v>3000</v>
      </c>
      <c r="AN436" s="70">
        <v>3000</v>
      </c>
      <c r="AO436" s="70">
        <v>3000</v>
      </c>
      <c r="AP436" s="70">
        <v>3000</v>
      </c>
      <c r="AQ436" s="124" t="s">
        <v>464</v>
      </c>
    </row>
    <row r="437" spans="1:42" ht="15.75">
      <c r="A437" s="35" t="s">
        <v>403</v>
      </c>
      <c r="B437" s="15" t="s">
        <v>357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7698</v>
      </c>
      <c r="L437" s="14">
        <v>6960</v>
      </c>
      <c r="M437" s="14">
        <v>6690</v>
      </c>
      <c r="N437" s="14">
        <v>6514</v>
      </c>
      <c r="O437" s="14">
        <v>6326</v>
      </c>
      <c r="P437" s="14">
        <v>5730</v>
      </c>
      <c r="Q437" s="14">
        <v>5643</v>
      </c>
      <c r="R437" s="14">
        <v>6138</v>
      </c>
      <c r="S437" s="14">
        <v>6149</v>
      </c>
      <c r="T437" s="14">
        <v>6106</v>
      </c>
      <c r="U437" s="14">
        <v>6081</v>
      </c>
      <c r="V437" s="14">
        <v>6000</v>
      </c>
      <c r="W437" s="14">
        <v>5619</v>
      </c>
      <c r="X437" s="14">
        <v>5197</v>
      </c>
      <c r="Y437" s="14">
        <v>5059</v>
      </c>
      <c r="Z437" s="14">
        <v>4786</v>
      </c>
      <c r="AA437" s="14">
        <v>5131</v>
      </c>
      <c r="AB437" s="14">
        <v>5268</v>
      </c>
      <c r="AC437" s="14">
        <v>5183</v>
      </c>
      <c r="AD437" s="14">
        <v>4839</v>
      </c>
      <c r="AE437" s="14">
        <v>5236</v>
      </c>
      <c r="AF437" s="14">
        <v>4900</v>
      </c>
      <c r="AG437" s="14">
        <v>4219</v>
      </c>
      <c r="AH437" s="14">
        <v>4950</v>
      </c>
      <c r="AI437" s="14">
        <v>4950</v>
      </c>
      <c r="AJ437" s="14">
        <v>5363</v>
      </c>
      <c r="AK437" s="14">
        <v>5217</v>
      </c>
      <c r="AL437" s="70">
        <v>5217</v>
      </c>
      <c r="AM437" s="70">
        <v>6198</v>
      </c>
      <c r="AN437" s="70">
        <v>6000</v>
      </c>
      <c r="AO437" s="70">
        <v>6000</v>
      </c>
      <c r="AP437" s="70">
        <v>6000</v>
      </c>
    </row>
    <row r="438" spans="1:42" ht="15.75">
      <c r="A438" s="35" t="s">
        <v>436</v>
      </c>
      <c r="B438" s="15" t="s">
        <v>357</v>
      </c>
      <c r="C438" s="14"/>
      <c r="D438" s="14"/>
      <c r="E438" s="14"/>
      <c r="F438" s="14"/>
      <c r="G438" s="14"/>
      <c r="H438" s="14"/>
      <c r="I438" s="14"/>
      <c r="J438" s="14"/>
      <c r="K438" s="48">
        <v>0</v>
      </c>
      <c r="L438" s="14"/>
      <c r="M438" s="14"/>
      <c r="N438" s="14"/>
      <c r="O438" s="14"/>
      <c r="P438" s="14"/>
      <c r="Q438" s="14"/>
      <c r="R438" s="14">
        <v>11000</v>
      </c>
      <c r="S438" s="14">
        <v>11000</v>
      </c>
      <c r="T438" s="14">
        <v>11000</v>
      </c>
      <c r="U438" s="14">
        <v>11000</v>
      </c>
      <c r="V438" s="14">
        <v>11000</v>
      </c>
      <c r="W438" s="14">
        <v>11000</v>
      </c>
      <c r="X438" s="14">
        <v>11000</v>
      </c>
      <c r="Y438" s="14">
        <v>1000</v>
      </c>
      <c r="Z438" s="14">
        <v>1000</v>
      </c>
      <c r="AA438" s="14">
        <v>1000</v>
      </c>
      <c r="AB438" s="14">
        <v>1000</v>
      </c>
      <c r="AC438" s="14"/>
      <c r="AD438" s="14">
        <v>1000</v>
      </c>
      <c r="AE438" s="14"/>
      <c r="AF438" s="14">
        <v>1000</v>
      </c>
      <c r="AG438" s="14">
        <v>0</v>
      </c>
      <c r="AH438" s="14">
        <v>1000</v>
      </c>
      <c r="AI438" s="14">
        <v>0</v>
      </c>
      <c r="AJ438" s="14">
        <v>0</v>
      </c>
      <c r="AK438" s="14"/>
      <c r="AL438" s="70">
        <v>0</v>
      </c>
      <c r="AM438" s="70">
        <v>0</v>
      </c>
      <c r="AN438" s="70">
        <v>0</v>
      </c>
      <c r="AO438" s="70">
        <v>0</v>
      </c>
      <c r="AP438" s="70">
        <v>0</v>
      </c>
    </row>
    <row r="439" spans="1:42" ht="15.75">
      <c r="A439" s="35" t="s">
        <v>437</v>
      </c>
      <c r="B439" s="15" t="s">
        <v>357</v>
      </c>
      <c r="C439" s="14"/>
      <c r="D439" s="14"/>
      <c r="E439" s="14"/>
      <c r="F439" s="14"/>
      <c r="G439" s="14"/>
      <c r="H439" s="14"/>
      <c r="I439" s="14"/>
      <c r="J439" s="14"/>
      <c r="K439" s="48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>
        <v>32320</v>
      </c>
      <c r="X439" s="14"/>
      <c r="Y439" s="14"/>
      <c r="Z439" s="14"/>
      <c r="AA439" s="14"/>
      <c r="AB439" s="14">
        <v>0</v>
      </c>
      <c r="AC439" s="14"/>
      <c r="AD439" s="14"/>
      <c r="AE439" s="14"/>
      <c r="AF439" s="14">
        <v>1000</v>
      </c>
      <c r="AG439" s="14">
        <v>1164</v>
      </c>
      <c r="AH439" s="14"/>
      <c r="AI439" s="14">
        <v>2979</v>
      </c>
      <c r="AJ439" s="14">
        <v>2979</v>
      </c>
      <c r="AK439" s="14">
        <v>20000</v>
      </c>
      <c r="AL439" s="70">
        <v>20000</v>
      </c>
      <c r="AM439" s="70">
        <v>0</v>
      </c>
      <c r="AN439" s="70">
        <v>14000</v>
      </c>
      <c r="AO439" s="70">
        <v>14000</v>
      </c>
      <c r="AP439" s="70">
        <v>0</v>
      </c>
    </row>
    <row r="440" spans="1:42" ht="15.75" hidden="1">
      <c r="A440" s="35" t="s">
        <v>310</v>
      </c>
      <c r="B440" s="15" t="s">
        <v>357</v>
      </c>
      <c r="C440" s="14"/>
      <c r="D440" s="14"/>
      <c r="E440" s="14"/>
      <c r="F440" s="14"/>
      <c r="G440" s="14"/>
      <c r="H440" s="14"/>
      <c r="I440" s="14"/>
      <c r="J440" s="14"/>
      <c r="K440" s="48">
        <v>0</v>
      </c>
      <c r="L440" s="14"/>
      <c r="M440" s="14"/>
      <c r="N440" s="14"/>
      <c r="O440" s="14"/>
      <c r="P440" s="14"/>
      <c r="Q440" s="14"/>
      <c r="R440" s="14">
        <v>35000</v>
      </c>
      <c r="S440" s="14"/>
      <c r="T440" s="14"/>
      <c r="U440" s="14">
        <v>2675</v>
      </c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70"/>
      <c r="AM440" s="70"/>
      <c r="AN440" s="70"/>
      <c r="AO440" s="70"/>
      <c r="AP440" s="70"/>
    </row>
    <row r="441" spans="1:42" ht="15.75" hidden="1">
      <c r="A441" s="35" t="s">
        <v>275</v>
      </c>
      <c r="B441" s="15" t="s">
        <v>357</v>
      </c>
      <c r="C441" s="14"/>
      <c r="D441" s="14"/>
      <c r="E441" s="14"/>
      <c r="F441" s="14"/>
      <c r="G441" s="14"/>
      <c r="H441" s="14"/>
      <c r="I441" s="14"/>
      <c r="J441" s="14"/>
      <c r="K441" s="48"/>
      <c r="L441" s="14"/>
      <c r="M441" s="14"/>
      <c r="N441" s="14"/>
      <c r="O441" s="14"/>
      <c r="P441" s="14"/>
      <c r="Q441" s="14"/>
      <c r="R441" s="14"/>
      <c r="S441" s="14"/>
      <c r="T441" s="14">
        <v>76600</v>
      </c>
      <c r="U441" s="14">
        <v>60880</v>
      </c>
      <c r="V441" s="14">
        <v>13600</v>
      </c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70"/>
      <c r="AM441" s="70"/>
      <c r="AN441" s="70"/>
      <c r="AO441" s="70"/>
      <c r="AP441" s="70"/>
    </row>
    <row r="442" spans="1:42" ht="15.75">
      <c r="A442" s="35" t="s">
        <v>276</v>
      </c>
      <c r="B442" s="15" t="s">
        <v>357</v>
      </c>
      <c r="C442" s="14"/>
      <c r="D442" s="14"/>
      <c r="E442" s="14"/>
      <c r="F442" s="14"/>
      <c r="G442" s="14"/>
      <c r="H442" s="14"/>
      <c r="I442" s="14"/>
      <c r="J442" s="14"/>
      <c r="K442" s="48">
        <v>0</v>
      </c>
      <c r="L442" s="14"/>
      <c r="M442" s="14"/>
      <c r="N442" s="14"/>
      <c r="O442" s="14"/>
      <c r="P442" s="14"/>
      <c r="Q442" s="14"/>
      <c r="R442" s="14"/>
      <c r="S442" s="14">
        <v>76800</v>
      </c>
      <c r="T442" s="14">
        <v>86209</v>
      </c>
      <c r="U442" s="14">
        <v>86666</v>
      </c>
      <c r="V442" s="14">
        <v>25062</v>
      </c>
      <c r="W442" s="14" t="s">
        <v>277</v>
      </c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70"/>
      <c r="AM442" s="70"/>
      <c r="AN442" s="70"/>
      <c r="AO442" s="70"/>
      <c r="AP442" s="70"/>
    </row>
    <row r="443" spans="1:42" ht="15.75">
      <c r="A443" s="35" t="s">
        <v>291</v>
      </c>
      <c r="B443" s="15" t="s">
        <v>357</v>
      </c>
      <c r="C443" s="14"/>
      <c r="D443" s="14"/>
      <c r="E443" s="14"/>
      <c r="F443" s="14"/>
      <c r="G443" s="14"/>
      <c r="H443" s="14"/>
      <c r="I443" s="14"/>
      <c r="J443" s="14"/>
      <c r="K443" s="48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>
        <v>228</v>
      </c>
      <c r="Y443" s="14">
        <v>877</v>
      </c>
      <c r="Z443" s="14">
        <v>6295</v>
      </c>
      <c r="AA443" s="14">
        <v>79</v>
      </c>
      <c r="AB443" s="14"/>
      <c r="AC443" s="14">
        <v>2000</v>
      </c>
      <c r="AD443" s="14">
        <v>5000</v>
      </c>
      <c r="AE443" s="14"/>
      <c r="AF443" s="14"/>
      <c r="AG443" s="14">
        <v>151</v>
      </c>
      <c r="AH443" s="14"/>
      <c r="AI443" s="14">
        <v>652</v>
      </c>
      <c r="AJ443" s="14"/>
      <c r="AK443" s="14"/>
      <c r="AL443" s="70">
        <v>0</v>
      </c>
      <c r="AM443" s="70">
        <v>0</v>
      </c>
      <c r="AN443" s="70">
        <v>0</v>
      </c>
      <c r="AO443" s="70">
        <v>0</v>
      </c>
      <c r="AP443" s="70">
        <v>0</v>
      </c>
    </row>
    <row r="444" spans="1:42" ht="15.75">
      <c r="A444" s="35" t="s">
        <v>438</v>
      </c>
      <c r="B444" s="15" t="s">
        <v>357</v>
      </c>
      <c r="C444" s="14"/>
      <c r="D444" s="14"/>
      <c r="E444" s="14"/>
      <c r="F444" s="14"/>
      <c r="G444" s="14"/>
      <c r="H444" s="14"/>
      <c r="I444" s="14"/>
      <c r="J444" s="14"/>
      <c r="K444" s="14" t="s">
        <v>357</v>
      </c>
      <c r="L444" s="14"/>
      <c r="M444" s="14"/>
      <c r="N444" s="14"/>
      <c r="O444" s="14"/>
      <c r="P444" s="14"/>
      <c r="Q444" s="14" t="s">
        <v>357</v>
      </c>
      <c r="R444" s="14"/>
      <c r="S444" s="14">
        <v>-22400</v>
      </c>
      <c r="T444" s="14"/>
      <c r="U444" s="14"/>
      <c r="V444" s="14" t="s">
        <v>336</v>
      </c>
      <c r="X444" s="14"/>
      <c r="Y444" s="14"/>
      <c r="Z444" s="14"/>
      <c r="AA444" s="14"/>
      <c r="AB444" s="14">
        <v>-4000</v>
      </c>
      <c r="AC444" s="14">
        <v>-4000</v>
      </c>
      <c r="AD444" s="14">
        <v>-4000</v>
      </c>
      <c r="AE444" s="14">
        <v>-4000</v>
      </c>
      <c r="AF444" s="14">
        <v>-4000</v>
      </c>
      <c r="AG444" s="14">
        <v>0</v>
      </c>
      <c r="AH444" s="14">
        <v>-4000</v>
      </c>
      <c r="AI444" s="14">
        <v>-4000</v>
      </c>
      <c r="AJ444" s="14"/>
      <c r="AK444" s="14">
        <v>-2000</v>
      </c>
      <c r="AL444" s="70">
        <v>-2000</v>
      </c>
      <c r="AM444" s="70">
        <v>-2000</v>
      </c>
      <c r="AN444" s="70">
        <v>-1000</v>
      </c>
      <c r="AO444" s="70">
        <v>-1000</v>
      </c>
      <c r="AP444" s="70">
        <v>-1000</v>
      </c>
    </row>
    <row r="445" spans="1:42" ht="15.75">
      <c r="A445" s="35" t="s">
        <v>287</v>
      </c>
      <c r="B445" s="15" t="s">
        <v>357</v>
      </c>
      <c r="C445" s="16">
        <v>47289</v>
      </c>
      <c r="D445" s="16">
        <v>21768</v>
      </c>
      <c r="E445" s="16">
        <v>22495</v>
      </c>
      <c r="F445" s="16">
        <v>28553</v>
      </c>
      <c r="G445" s="16">
        <v>30133</v>
      </c>
      <c r="H445" s="16">
        <v>34377</v>
      </c>
      <c r="I445" s="16">
        <v>36931</v>
      </c>
      <c r="J445" s="16">
        <v>45632</v>
      </c>
      <c r="K445" s="16">
        <v>46890</v>
      </c>
      <c r="L445" s="16">
        <v>46095</v>
      </c>
      <c r="M445" s="16">
        <v>46712</v>
      </c>
      <c r="N445" s="16">
        <v>49423</v>
      </c>
      <c r="O445" s="16">
        <v>53527</v>
      </c>
      <c r="P445" s="16">
        <v>57267</v>
      </c>
      <c r="Q445" s="16">
        <v>58314</v>
      </c>
      <c r="R445" s="16">
        <v>58832</v>
      </c>
      <c r="S445" s="16">
        <v>73775</v>
      </c>
      <c r="T445" s="16">
        <v>72259</v>
      </c>
      <c r="U445" s="16">
        <v>69556</v>
      </c>
      <c r="V445" s="16">
        <v>69493</v>
      </c>
      <c r="W445" s="16">
        <v>97752</v>
      </c>
      <c r="X445" s="16">
        <v>76541</v>
      </c>
      <c r="Y445" s="16">
        <v>72929</v>
      </c>
      <c r="Z445" s="16">
        <v>69762</v>
      </c>
      <c r="AA445" s="16">
        <v>80498</v>
      </c>
      <c r="AB445" s="16">
        <v>78667</v>
      </c>
      <c r="AC445" s="16">
        <v>82546</v>
      </c>
      <c r="AD445" s="16">
        <v>77506</v>
      </c>
      <c r="AE445" s="16">
        <v>85165</v>
      </c>
      <c r="AF445" s="16">
        <v>84650</v>
      </c>
      <c r="AG445" s="16">
        <v>81831</v>
      </c>
      <c r="AH445" s="16">
        <v>85985</v>
      </c>
      <c r="AI445" s="16">
        <v>83464</v>
      </c>
      <c r="AJ445" s="16">
        <v>85072</v>
      </c>
      <c r="AK445" s="16">
        <v>97257</v>
      </c>
      <c r="AL445" s="104">
        <v>97257</v>
      </c>
      <c r="AM445" s="104">
        <v>100395</v>
      </c>
      <c r="AN445" s="104">
        <v>87891</v>
      </c>
      <c r="AO445" s="104">
        <v>87891</v>
      </c>
      <c r="AP445" s="104">
        <v>87776</v>
      </c>
    </row>
    <row r="446" spans="1:42" ht="15.75">
      <c r="A446" s="35" t="s">
        <v>9</v>
      </c>
      <c r="B446" s="15" t="s">
        <v>357</v>
      </c>
      <c r="C446" s="14">
        <f aca="true" t="shared" si="184" ref="C446:L446">SUM(C434:C445)</f>
        <v>47289</v>
      </c>
      <c r="D446" s="14">
        <f t="shared" si="184"/>
        <v>21768</v>
      </c>
      <c r="E446" s="14">
        <f t="shared" si="184"/>
        <v>22495</v>
      </c>
      <c r="F446" s="14">
        <f t="shared" si="184"/>
        <v>28553</v>
      </c>
      <c r="G446" s="14">
        <f t="shared" si="184"/>
        <v>30133</v>
      </c>
      <c r="H446" s="14">
        <f t="shared" si="184"/>
        <v>34377</v>
      </c>
      <c r="I446" s="14">
        <f t="shared" si="184"/>
        <v>36931</v>
      </c>
      <c r="J446" s="14">
        <f t="shared" si="184"/>
        <v>45632</v>
      </c>
      <c r="K446" s="14">
        <f t="shared" si="184"/>
        <v>54588</v>
      </c>
      <c r="L446" s="14">
        <f t="shared" si="184"/>
        <v>57955</v>
      </c>
      <c r="M446" s="14">
        <f aca="true" t="shared" si="185" ref="M446:U446">SUM(M434:M445)</f>
        <v>53402</v>
      </c>
      <c r="N446" s="14">
        <f t="shared" si="185"/>
        <v>55937</v>
      </c>
      <c r="O446" s="14">
        <f t="shared" si="185"/>
        <v>59853</v>
      </c>
      <c r="P446" s="14">
        <f t="shared" si="185"/>
        <v>70101</v>
      </c>
      <c r="Q446" s="14">
        <f t="shared" si="185"/>
        <v>65031</v>
      </c>
      <c r="R446" s="14">
        <f t="shared" si="185"/>
        <v>114959</v>
      </c>
      <c r="S446" s="14">
        <f t="shared" si="185"/>
        <v>151995</v>
      </c>
      <c r="T446" s="14">
        <f t="shared" si="185"/>
        <v>259544</v>
      </c>
      <c r="U446" s="14">
        <f t="shared" si="185"/>
        <v>243489</v>
      </c>
      <c r="V446" s="14">
        <f aca="true" t="shared" si="186" ref="V446:AF446">(SUM(V434:V445))</f>
        <v>132155</v>
      </c>
      <c r="W446" s="14">
        <f t="shared" si="186"/>
        <v>149697</v>
      </c>
      <c r="X446" s="14">
        <f t="shared" si="186"/>
        <v>94796</v>
      </c>
      <c r="Y446" s="14">
        <f t="shared" si="186"/>
        <v>81610</v>
      </c>
      <c r="Z446" s="14">
        <f t="shared" si="186"/>
        <v>83299</v>
      </c>
      <c r="AA446" s="14">
        <f t="shared" si="186"/>
        <v>88708</v>
      </c>
      <c r="AB446" s="14">
        <f t="shared" si="186"/>
        <v>84005</v>
      </c>
      <c r="AC446" s="14">
        <f t="shared" si="186"/>
        <v>88729</v>
      </c>
      <c r="AD446" s="14">
        <f t="shared" si="186"/>
        <v>87345</v>
      </c>
      <c r="AE446" s="14">
        <f t="shared" si="186"/>
        <v>89401</v>
      </c>
      <c r="AF446" s="14">
        <f t="shared" si="186"/>
        <v>90550</v>
      </c>
      <c r="AG446" s="14">
        <f aca="true" t="shared" si="187" ref="AG446:AP446">(SUM(AG434:AG445))</f>
        <v>89250</v>
      </c>
      <c r="AH446" s="14">
        <f t="shared" si="187"/>
        <v>90935</v>
      </c>
      <c r="AI446" s="14">
        <f t="shared" si="187"/>
        <v>91045</v>
      </c>
      <c r="AJ446" s="14">
        <f t="shared" si="187"/>
        <v>95056</v>
      </c>
      <c r="AK446" s="14">
        <f t="shared" si="187"/>
        <v>123248</v>
      </c>
      <c r="AL446" s="70">
        <f t="shared" si="187"/>
        <v>123474</v>
      </c>
      <c r="AM446" s="70">
        <f t="shared" si="187"/>
        <v>107593</v>
      </c>
      <c r="AN446" s="70">
        <f t="shared" si="187"/>
        <v>109891</v>
      </c>
      <c r="AO446" s="70">
        <f t="shared" si="187"/>
        <v>109891</v>
      </c>
      <c r="AP446" s="70">
        <f t="shared" si="187"/>
        <v>95776</v>
      </c>
    </row>
    <row r="447" spans="1:30" ht="15.75">
      <c r="A447" s="14"/>
      <c r="B447" s="15" t="s">
        <v>357</v>
      </c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</row>
    <row r="448" spans="1:30" ht="15.75" hidden="1">
      <c r="A448" s="15" t="s">
        <v>316</v>
      </c>
      <c r="B448" s="15" t="s">
        <v>357</v>
      </c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</row>
    <row r="449" spans="1:30" ht="15.75" hidden="1">
      <c r="A449" s="35" t="s">
        <v>337</v>
      </c>
      <c r="B449" s="15" t="s">
        <v>357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5250</v>
      </c>
      <c r="J449" s="14">
        <v>7165</v>
      </c>
      <c r="K449" s="14">
        <v>5700</v>
      </c>
      <c r="L449" s="14">
        <v>328</v>
      </c>
      <c r="M449" s="14">
        <v>1527</v>
      </c>
      <c r="N449" s="14">
        <v>1371</v>
      </c>
      <c r="O449" s="14">
        <v>1027</v>
      </c>
      <c r="P449" s="14">
        <v>1924</v>
      </c>
      <c r="Q449" s="14">
        <v>1542</v>
      </c>
      <c r="R449" s="14">
        <v>1477</v>
      </c>
      <c r="S449" s="14">
        <v>1633</v>
      </c>
      <c r="T449" s="14">
        <v>1883</v>
      </c>
      <c r="U449" s="14">
        <v>1941</v>
      </c>
      <c r="V449" s="14">
        <v>1307</v>
      </c>
      <c r="W449" s="14" t="s">
        <v>277</v>
      </c>
      <c r="X449" s="14"/>
      <c r="Y449" s="14"/>
      <c r="Z449" s="14"/>
      <c r="AA449" s="14"/>
      <c r="AB449" s="14"/>
      <c r="AC449" s="14"/>
      <c r="AD449" s="14"/>
    </row>
    <row r="450" spans="1:33" ht="15.75" hidden="1">
      <c r="A450" s="35" t="s">
        <v>355</v>
      </c>
      <c r="B450" s="15" t="s">
        <v>357</v>
      </c>
      <c r="C450" s="14">
        <v>241696</v>
      </c>
      <c r="D450" s="14">
        <v>284290</v>
      </c>
      <c r="E450" s="14">
        <v>380013</v>
      </c>
      <c r="F450" s="14">
        <v>937448</v>
      </c>
      <c r="G450" s="14">
        <v>599114</v>
      </c>
      <c r="H450" s="16">
        <v>455911</v>
      </c>
      <c r="I450" s="16">
        <v>374295</v>
      </c>
      <c r="J450" s="16">
        <v>327074</v>
      </c>
      <c r="K450" s="16">
        <v>423971</v>
      </c>
      <c r="L450" s="16">
        <v>309203</v>
      </c>
      <c r="M450" s="16">
        <v>306253</v>
      </c>
      <c r="N450" s="16">
        <v>371700</v>
      </c>
      <c r="O450" s="16">
        <v>464098</v>
      </c>
      <c r="P450" s="16">
        <v>474514</v>
      </c>
      <c r="Q450" s="16">
        <v>398071</v>
      </c>
      <c r="R450" s="16">
        <v>437995</v>
      </c>
      <c r="S450" s="16">
        <v>323856</v>
      </c>
      <c r="T450" s="16">
        <v>362945</v>
      </c>
      <c r="U450" s="16">
        <v>356835</v>
      </c>
      <c r="V450" s="16">
        <v>326425</v>
      </c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39"/>
    </row>
    <row r="451" spans="1:42" ht="15.75" hidden="1">
      <c r="A451" s="35" t="s">
        <v>251</v>
      </c>
      <c r="B451" s="15" t="s">
        <v>357</v>
      </c>
      <c r="C451" s="43">
        <f aca="true" t="shared" si="188" ref="C451:L451">C449+C450</f>
        <v>241696</v>
      </c>
      <c r="D451" s="43">
        <f t="shared" si="188"/>
        <v>284290</v>
      </c>
      <c r="E451" s="43">
        <f t="shared" si="188"/>
        <v>380013</v>
      </c>
      <c r="F451" s="43">
        <f t="shared" si="188"/>
        <v>937448</v>
      </c>
      <c r="G451" s="43">
        <f t="shared" si="188"/>
        <v>599114</v>
      </c>
      <c r="H451" s="16">
        <f t="shared" si="188"/>
        <v>455911</v>
      </c>
      <c r="I451" s="16">
        <f t="shared" si="188"/>
        <v>379545</v>
      </c>
      <c r="J451" s="16">
        <f t="shared" si="188"/>
        <v>334239</v>
      </c>
      <c r="K451" s="16">
        <f t="shared" si="188"/>
        <v>429671</v>
      </c>
      <c r="L451" s="16">
        <f t="shared" si="188"/>
        <v>309531</v>
      </c>
      <c r="M451" s="16">
        <f aca="true" t="shared" si="189" ref="M451:U451">M449+M450</f>
        <v>307780</v>
      </c>
      <c r="N451" s="16">
        <f t="shared" si="189"/>
        <v>373071</v>
      </c>
      <c r="O451" s="16">
        <f t="shared" si="189"/>
        <v>465125</v>
      </c>
      <c r="P451" s="16">
        <f t="shared" si="189"/>
        <v>476438</v>
      </c>
      <c r="Q451" s="16">
        <f t="shared" si="189"/>
        <v>399613</v>
      </c>
      <c r="R451" s="16">
        <f t="shared" si="189"/>
        <v>439472</v>
      </c>
      <c r="S451" s="16">
        <f t="shared" si="189"/>
        <v>325489</v>
      </c>
      <c r="T451" s="16">
        <f t="shared" si="189"/>
        <v>364828</v>
      </c>
      <c r="U451" s="16">
        <f t="shared" si="189"/>
        <v>358776</v>
      </c>
      <c r="V451" s="16">
        <f>(V449+V450)</f>
        <v>327732</v>
      </c>
      <c r="W451" s="16">
        <f>SUM(W449)+W450</f>
        <v>0</v>
      </c>
      <c r="X451" s="16">
        <f aca="true" t="shared" si="190" ref="X451:AK451">(X449+X450)</f>
        <v>0</v>
      </c>
      <c r="Y451" s="16">
        <f t="shared" si="190"/>
        <v>0</v>
      </c>
      <c r="Z451" s="16">
        <f t="shared" si="190"/>
        <v>0</v>
      </c>
      <c r="AA451" s="16">
        <f t="shared" si="190"/>
        <v>0</v>
      </c>
      <c r="AB451" s="16">
        <f t="shared" si="190"/>
        <v>0</v>
      </c>
      <c r="AC451" s="16">
        <f t="shared" si="190"/>
        <v>0</v>
      </c>
      <c r="AD451" s="16">
        <f t="shared" si="190"/>
        <v>0</v>
      </c>
      <c r="AE451" s="16">
        <f t="shared" si="190"/>
        <v>0</v>
      </c>
      <c r="AF451" s="16">
        <f t="shared" si="190"/>
        <v>0</v>
      </c>
      <c r="AG451" s="43">
        <f t="shared" si="190"/>
        <v>0</v>
      </c>
      <c r="AH451" s="43">
        <f>(AH449+AH450)</f>
        <v>0</v>
      </c>
      <c r="AI451" s="43">
        <f t="shared" si="190"/>
        <v>0</v>
      </c>
      <c r="AJ451" s="43">
        <f t="shared" si="190"/>
        <v>0</v>
      </c>
      <c r="AK451" s="43">
        <f t="shared" si="190"/>
        <v>0</v>
      </c>
      <c r="AL451" s="106">
        <f>(AL449+AL450)</f>
        <v>0</v>
      </c>
      <c r="AM451" s="106">
        <f>(AM449+AM450)</f>
        <v>0</v>
      </c>
      <c r="AN451" s="106">
        <f>(AN449+AN450)</f>
        <v>0</v>
      </c>
      <c r="AO451" s="106">
        <f>(AO449+AO450)</f>
        <v>0</v>
      </c>
      <c r="AP451" s="106">
        <f>(AP449+AP450)</f>
        <v>0</v>
      </c>
    </row>
    <row r="452" spans="1:42" ht="15.75">
      <c r="A452" s="14"/>
      <c r="B452" s="15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110"/>
      <c r="AM452" s="110"/>
      <c r="AN452" s="110"/>
      <c r="AO452" s="110"/>
      <c r="AP452" s="110"/>
    </row>
    <row r="453" spans="1:42" ht="15.75">
      <c r="A453" s="35" t="s">
        <v>10</v>
      </c>
      <c r="B453" s="15" t="s">
        <v>357</v>
      </c>
      <c r="C453" s="16">
        <f aca="true" t="shared" si="191" ref="C453:U453">C446+C451</f>
        <v>288985</v>
      </c>
      <c r="D453" s="16">
        <f t="shared" si="191"/>
        <v>306058</v>
      </c>
      <c r="E453" s="16">
        <f t="shared" si="191"/>
        <v>402508</v>
      </c>
      <c r="F453" s="16">
        <f t="shared" si="191"/>
        <v>966001</v>
      </c>
      <c r="G453" s="16">
        <f t="shared" si="191"/>
        <v>629247</v>
      </c>
      <c r="H453" s="16">
        <f t="shared" si="191"/>
        <v>490288</v>
      </c>
      <c r="I453" s="16">
        <f t="shared" si="191"/>
        <v>416476</v>
      </c>
      <c r="J453" s="16">
        <f t="shared" si="191"/>
        <v>379871</v>
      </c>
      <c r="K453" s="16">
        <f t="shared" si="191"/>
        <v>484259</v>
      </c>
      <c r="L453" s="16">
        <f t="shared" si="191"/>
        <v>367486</v>
      </c>
      <c r="M453" s="16">
        <f t="shared" si="191"/>
        <v>361182</v>
      </c>
      <c r="N453" s="16">
        <f t="shared" si="191"/>
        <v>429008</v>
      </c>
      <c r="O453" s="16">
        <f t="shared" si="191"/>
        <v>524978</v>
      </c>
      <c r="P453" s="16">
        <f t="shared" si="191"/>
        <v>546539</v>
      </c>
      <c r="Q453" s="16">
        <f t="shared" si="191"/>
        <v>464644</v>
      </c>
      <c r="R453" s="16">
        <f t="shared" si="191"/>
        <v>554431</v>
      </c>
      <c r="S453" s="16">
        <f t="shared" si="191"/>
        <v>477484</v>
      </c>
      <c r="T453" s="16">
        <f t="shared" si="191"/>
        <v>624372</v>
      </c>
      <c r="U453" s="16">
        <f t="shared" si="191"/>
        <v>602265</v>
      </c>
      <c r="V453" s="16">
        <f aca="true" t="shared" si="192" ref="V453:AA453">(V446+V451)</f>
        <v>459887</v>
      </c>
      <c r="W453" s="16">
        <f t="shared" si="192"/>
        <v>149697</v>
      </c>
      <c r="X453" s="16">
        <f t="shared" si="192"/>
        <v>94796</v>
      </c>
      <c r="Y453" s="16">
        <f t="shared" si="192"/>
        <v>81610</v>
      </c>
      <c r="Z453" s="16">
        <f t="shared" si="192"/>
        <v>83299</v>
      </c>
      <c r="AA453" s="16">
        <f t="shared" si="192"/>
        <v>88708</v>
      </c>
      <c r="AB453" s="16">
        <f aca="true" t="shared" si="193" ref="AB453:AH453">(AB446+AB451)</f>
        <v>84005</v>
      </c>
      <c r="AC453" s="16">
        <f t="shared" si="193"/>
        <v>88729</v>
      </c>
      <c r="AD453" s="16">
        <f t="shared" si="193"/>
        <v>87345</v>
      </c>
      <c r="AE453" s="16">
        <f t="shared" si="193"/>
        <v>89401</v>
      </c>
      <c r="AF453" s="16">
        <f t="shared" si="193"/>
        <v>90550</v>
      </c>
      <c r="AG453" s="16">
        <f>(AG446+AG451)</f>
        <v>89250</v>
      </c>
      <c r="AH453" s="16">
        <f t="shared" si="193"/>
        <v>90935</v>
      </c>
      <c r="AI453" s="16">
        <f aca="true" t="shared" si="194" ref="AI453:AP453">(AI446+AI451)</f>
        <v>91045</v>
      </c>
      <c r="AJ453" s="16">
        <f t="shared" si="194"/>
        <v>95056</v>
      </c>
      <c r="AK453" s="16">
        <f>(AK446+AK451)</f>
        <v>123248</v>
      </c>
      <c r="AL453" s="104">
        <f t="shared" si="194"/>
        <v>123474</v>
      </c>
      <c r="AM453" s="104">
        <f t="shared" si="194"/>
        <v>107593</v>
      </c>
      <c r="AN453" s="104">
        <f t="shared" si="194"/>
        <v>109891</v>
      </c>
      <c r="AO453" s="104">
        <f>(AO446+AO451)</f>
        <v>109891</v>
      </c>
      <c r="AP453" s="104">
        <f t="shared" si="194"/>
        <v>95776</v>
      </c>
    </row>
    <row r="454" spans="1:42" ht="15.75">
      <c r="A454" s="14"/>
      <c r="B454" s="15" t="s">
        <v>357</v>
      </c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70"/>
      <c r="AM454" s="70"/>
      <c r="AN454" s="70"/>
      <c r="AO454" s="70"/>
      <c r="AP454" s="70"/>
    </row>
    <row r="455" spans="1:42" ht="15.75">
      <c r="A455" s="35" t="s">
        <v>180</v>
      </c>
      <c r="B455" s="15" t="s">
        <v>357</v>
      </c>
      <c r="C455" s="14">
        <f aca="true" t="shared" si="195" ref="C455:U455">C430+C453</f>
        <v>1077954</v>
      </c>
      <c r="D455" s="14">
        <f t="shared" si="195"/>
        <v>1230685</v>
      </c>
      <c r="E455" s="14">
        <f t="shared" si="195"/>
        <v>1473703</v>
      </c>
      <c r="F455" s="14">
        <f t="shared" si="195"/>
        <v>1991759</v>
      </c>
      <c r="G455" s="14">
        <f t="shared" si="195"/>
        <v>1776501</v>
      </c>
      <c r="H455" s="14">
        <f t="shared" si="195"/>
        <v>1515939</v>
      </c>
      <c r="I455" s="14">
        <f t="shared" si="195"/>
        <v>1626527</v>
      </c>
      <c r="J455" s="14">
        <f t="shared" si="195"/>
        <v>1399608</v>
      </c>
      <c r="K455" s="14">
        <f t="shared" si="195"/>
        <v>1516980</v>
      </c>
      <c r="L455" s="14">
        <f t="shared" si="195"/>
        <v>1369253</v>
      </c>
      <c r="M455" s="14">
        <f t="shared" si="195"/>
        <v>1388404</v>
      </c>
      <c r="N455" s="14">
        <f t="shared" si="195"/>
        <v>1522413</v>
      </c>
      <c r="O455" s="14">
        <f t="shared" si="195"/>
        <v>1615464</v>
      </c>
      <c r="P455" s="14">
        <f t="shared" si="195"/>
        <v>1941490</v>
      </c>
      <c r="Q455" s="14">
        <f t="shared" si="195"/>
        <v>2023164</v>
      </c>
      <c r="R455" s="14">
        <f t="shared" si="195"/>
        <v>2083740</v>
      </c>
      <c r="S455" s="14">
        <f t="shared" si="195"/>
        <v>2047477</v>
      </c>
      <c r="T455" s="14">
        <f t="shared" si="195"/>
        <v>2415388</v>
      </c>
      <c r="U455" s="14">
        <f t="shared" si="195"/>
        <v>2331661.734</v>
      </c>
      <c r="V455" s="14">
        <f aca="true" t="shared" si="196" ref="V455:AA455">(V430+V453)</f>
        <v>2051910</v>
      </c>
      <c r="W455" s="14">
        <f t="shared" si="196"/>
        <v>1795694</v>
      </c>
      <c r="X455" s="14">
        <f t="shared" si="196"/>
        <v>1798065</v>
      </c>
      <c r="Y455" s="14">
        <f t="shared" si="196"/>
        <v>1829467</v>
      </c>
      <c r="Z455" s="14">
        <f t="shared" si="196"/>
        <v>1961363</v>
      </c>
      <c r="AA455" s="14">
        <f t="shared" si="196"/>
        <v>2276325</v>
      </c>
      <c r="AB455" s="14">
        <f aca="true" t="shared" si="197" ref="AB455:AH455">(AB430+AB453)</f>
        <v>2305553</v>
      </c>
      <c r="AC455" s="14">
        <f t="shared" si="197"/>
        <v>2332533</v>
      </c>
      <c r="AD455" s="14">
        <f t="shared" si="197"/>
        <v>2354279</v>
      </c>
      <c r="AE455" s="14">
        <f t="shared" si="197"/>
        <v>2403142</v>
      </c>
      <c r="AF455" s="14">
        <f t="shared" si="197"/>
        <v>2396364.6029999997</v>
      </c>
      <c r="AG455" s="14">
        <f t="shared" si="197"/>
        <v>2395651</v>
      </c>
      <c r="AH455" s="14">
        <f t="shared" si="197"/>
        <v>2344730</v>
      </c>
      <c r="AI455" s="14">
        <f aca="true" t="shared" si="198" ref="AI455:AP455">(AI430+AI453)</f>
        <v>2386747</v>
      </c>
      <c r="AJ455" s="14">
        <f t="shared" si="198"/>
        <v>2387915</v>
      </c>
      <c r="AK455" s="14">
        <f>(AK430+AK453)</f>
        <v>2379861</v>
      </c>
      <c r="AL455" s="70">
        <f t="shared" si="198"/>
        <v>2402087</v>
      </c>
      <c r="AM455" s="70">
        <f t="shared" si="198"/>
        <v>2329444</v>
      </c>
      <c r="AN455" s="70">
        <f t="shared" si="198"/>
        <v>2339787</v>
      </c>
      <c r="AO455" s="70">
        <f>(AO430+AO453)</f>
        <v>2418195</v>
      </c>
      <c r="AP455" s="70">
        <f t="shared" si="198"/>
        <v>2324666</v>
      </c>
    </row>
    <row r="456" spans="1:33" ht="15.75">
      <c r="A456" s="14"/>
      <c r="B456" s="15" t="s">
        <v>357</v>
      </c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C456" s="14"/>
      <c r="AD456" s="14"/>
      <c r="AG456" s="14"/>
    </row>
    <row r="457" spans="1:30" ht="15.75">
      <c r="A457" s="34" t="s">
        <v>386</v>
      </c>
      <c r="B457" s="15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C457" s="14"/>
      <c r="AD457" s="14"/>
    </row>
    <row r="458" spans="1:30" ht="15.75">
      <c r="A458" s="14"/>
      <c r="B458" s="15" t="s">
        <v>357</v>
      </c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C458" s="14"/>
      <c r="AD458" s="14"/>
    </row>
    <row r="459" spans="1:30" ht="15.75">
      <c r="A459" s="34" t="s">
        <v>387</v>
      </c>
      <c r="B459" s="15" t="s">
        <v>357</v>
      </c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C459" s="14"/>
      <c r="AD459" s="14"/>
    </row>
    <row r="460" spans="1:30" ht="15.75">
      <c r="A460" s="14"/>
      <c r="B460" s="15" t="s">
        <v>357</v>
      </c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C460" s="14"/>
      <c r="AD460" s="14"/>
    </row>
    <row r="461" spans="1:30" ht="15.75">
      <c r="A461" s="10" t="s">
        <v>101</v>
      </c>
      <c r="B461" s="15" t="s">
        <v>357</v>
      </c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C461" s="14"/>
      <c r="AD461" s="14"/>
    </row>
    <row r="462" spans="1:30" ht="15.75">
      <c r="A462" s="14"/>
      <c r="B462" s="15" t="s">
        <v>357</v>
      </c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C462" s="14"/>
      <c r="AD462" s="14"/>
    </row>
    <row r="463" spans="1:30" ht="15.75">
      <c r="A463" s="15" t="s">
        <v>102</v>
      </c>
      <c r="B463" s="15" t="s">
        <v>357</v>
      </c>
      <c r="C463" s="14"/>
      <c r="D463" s="14"/>
      <c r="E463" s="14"/>
      <c r="F463" s="14"/>
      <c r="G463" s="14"/>
      <c r="H463" s="15" t="s">
        <v>362</v>
      </c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C463" s="14"/>
      <c r="AD463" s="14"/>
    </row>
    <row r="464" spans="1:42" ht="15.75">
      <c r="A464" s="35" t="s">
        <v>388</v>
      </c>
      <c r="B464" s="15" t="s">
        <v>357</v>
      </c>
      <c r="C464" s="14">
        <v>20842</v>
      </c>
      <c r="D464" s="14">
        <v>39015</v>
      </c>
      <c r="E464" s="14">
        <v>40222</v>
      </c>
      <c r="F464" s="14">
        <v>53540</v>
      </c>
      <c r="G464" s="14">
        <v>41108</v>
      </c>
      <c r="H464" s="14">
        <v>40988</v>
      </c>
      <c r="I464" s="14">
        <v>42587</v>
      </c>
      <c r="J464" s="14">
        <v>44068</v>
      </c>
      <c r="K464" s="14">
        <v>44633</v>
      </c>
      <c r="L464" s="14">
        <v>41296</v>
      </c>
      <c r="M464" s="14">
        <v>42883</v>
      </c>
      <c r="N464" s="14">
        <v>47519</v>
      </c>
      <c r="O464" s="14">
        <v>49067</v>
      </c>
      <c r="P464" s="14">
        <v>50331</v>
      </c>
      <c r="Q464" s="14">
        <v>58419</v>
      </c>
      <c r="R464" s="14">
        <v>63633</v>
      </c>
      <c r="S464" s="14">
        <v>63092</v>
      </c>
      <c r="T464" s="14">
        <v>64111</v>
      </c>
      <c r="U464" s="14">
        <v>62433</v>
      </c>
      <c r="V464" s="14">
        <v>56838</v>
      </c>
      <c r="W464" s="14">
        <v>59286</v>
      </c>
      <c r="X464" s="14">
        <v>58286</v>
      </c>
      <c r="Y464" s="14">
        <v>93456</v>
      </c>
      <c r="Z464" s="14">
        <v>62706</v>
      </c>
      <c r="AA464" s="14">
        <f>64319-142</f>
        <v>64177</v>
      </c>
      <c r="AB464" s="14">
        <f>67741+2205-96</f>
        <v>69850</v>
      </c>
      <c r="AC464" s="14">
        <f>78596+568</f>
        <v>79164</v>
      </c>
      <c r="AD464" s="14">
        <f>71956+564.134</f>
        <v>72520.134</v>
      </c>
      <c r="AE464" s="14">
        <v>97140</v>
      </c>
      <c r="AF464" s="14">
        <f>78059.807+4938.391</f>
        <v>82998.198</v>
      </c>
      <c r="AG464" s="14">
        <v>82798</v>
      </c>
      <c r="AH464" s="14">
        <v>99103</v>
      </c>
      <c r="AI464" s="14">
        <v>95821</v>
      </c>
      <c r="AJ464" s="14">
        <v>98821</v>
      </c>
      <c r="AK464" s="14">
        <v>130238</v>
      </c>
      <c r="AL464" s="70">
        <v>130238</v>
      </c>
      <c r="AM464" s="70">
        <v>118845</v>
      </c>
      <c r="AN464" s="70">
        <v>94503</v>
      </c>
      <c r="AO464" s="70">
        <v>116305</v>
      </c>
      <c r="AP464" s="70">
        <v>101445</v>
      </c>
    </row>
    <row r="465" spans="1:30" ht="15.75" hidden="1" outlineLevel="1">
      <c r="A465" s="35" t="s">
        <v>122</v>
      </c>
      <c r="B465" s="15" t="s">
        <v>357</v>
      </c>
      <c r="C465" s="14">
        <v>13256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</row>
    <row r="466" spans="1:30" ht="15.75" hidden="1" outlineLevel="1">
      <c r="A466" s="35" t="s">
        <v>138</v>
      </c>
      <c r="B466" s="15" t="s">
        <v>357</v>
      </c>
      <c r="C466" s="14">
        <v>0</v>
      </c>
      <c r="D466" s="14">
        <v>0</v>
      </c>
      <c r="E466" s="14">
        <v>0</v>
      </c>
      <c r="F466" s="14">
        <v>0</v>
      </c>
      <c r="G466" s="14">
        <v>8789</v>
      </c>
      <c r="H466" s="14">
        <v>3840</v>
      </c>
      <c r="I466" s="14">
        <v>896</v>
      </c>
      <c r="J466" s="14">
        <v>800</v>
      </c>
      <c r="K466" s="14">
        <v>735</v>
      </c>
      <c r="L466" s="14">
        <v>742</v>
      </c>
      <c r="M466" s="14">
        <v>684</v>
      </c>
      <c r="N466" s="14">
        <v>1800</v>
      </c>
      <c r="O466" s="14">
        <v>1800</v>
      </c>
      <c r="P466" s="14">
        <v>1800</v>
      </c>
      <c r="Q466" s="14">
        <v>2086</v>
      </c>
      <c r="R466" s="14">
        <v>2215</v>
      </c>
      <c r="S466" s="14">
        <v>2172</v>
      </c>
      <c r="T466" s="14">
        <v>2394</v>
      </c>
      <c r="U466" s="14">
        <v>1994</v>
      </c>
      <c r="V466" s="14">
        <v>500</v>
      </c>
      <c r="W466" s="14"/>
      <c r="X466" s="14"/>
      <c r="Y466" s="14"/>
      <c r="AA466" s="14"/>
      <c r="AB466" s="14"/>
      <c r="AC466" s="14"/>
      <c r="AD466" s="14"/>
    </row>
    <row r="467" spans="1:30" ht="15.75" hidden="1" collapsed="1">
      <c r="A467" s="35" t="s">
        <v>138</v>
      </c>
      <c r="B467" s="15" t="s">
        <v>357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8118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/>
      <c r="Z467" s="14"/>
      <c r="AA467" s="14"/>
      <c r="AB467" s="14"/>
      <c r="AC467" s="14"/>
      <c r="AD467" s="14"/>
    </row>
    <row r="468" spans="1:30" ht="15.75" hidden="1">
      <c r="A468" s="35" t="s">
        <v>138</v>
      </c>
      <c r="B468" s="15" t="s">
        <v>357</v>
      </c>
      <c r="C468" s="14">
        <v>907</v>
      </c>
      <c r="D468" s="14">
        <v>1000</v>
      </c>
      <c r="E468" s="14">
        <v>1000</v>
      </c>
      <c r="F468" s="14">
        <v>1000</v>
      </c>
      <c r="G468" s="14">
        <v>0</v>
      </c>
      <c r="H468" s="14">
        <v>0</v>
      </c>
      <c r="I468" s="14">
        <v>0</v>
      </c>
      <c r="J468" s="14">
        <v>420</v>
      </c>
      <c r="K468" s="14">
        <v>1960</v>
      </c>
      <c r="L468" s="14">
        <v>951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/>
      <c r="Z468" s="14"/>
      <c r="AA468" s="14"/>
      <c r="AB468" s="14"/>
      <c r="AC468" s="14"/>
      <c r="AD468" s="14"/>
    </row>
    <row r="469" spans="1:30" ht="15.75">
      <c r="A469" s="35" t="s">
        <v>294</v>
      </c>
      <c r="B469" s="15" t="s">
        <v>357</v>
      </c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36" t="s">
        <v>68</v>
      </c>
      <c r="Z469" s="36" t="s">
        <v>391</v>
      </c>
      <c r="AA469" s="14"/>
      <c r="AB469" s="14"/>
      <c r="AC469" s="14">
        <v>3000</v>
      </c>
      <c r="AD469" s="65" t="s">
        <v>28</v>
      </c>
    </row>
    <row r="470" spans="1:30" ht="15.75">
      <c r="A470" s="35" t="s">
        <v>231</v>
      </c>
      <c r="B470" s="15" t="s">
        <v>357</v>
      </c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>
        <v>35000</v>
      </c>
      <c r="Z470" s="14"/>
      <c r="AA470" s="14"/>
      <c r="AB470" s="14"/>
      <c r="AC470" s="14"/>
      <c r="AD470" s="14"/>
    </row>
    <row r="471" spans="1:30" ht="15.75">
      <c r="A471" s="35" t="s">
        <v>123</v>
      </c>
      <c r="B471" s="15" t="s">
        <v>357</v>
      </c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>
        <v>7990</v>
      </c>
      <c r="Z471" s="14"/>
      <c r="AA471" s="14"/>
      <c r="AB471" s="14"/>
      <c r="AC471" s="14"/>
      <c r="AD471" s="14"/>
    </row>
    <row r="472" spans="1:42" ht="15.75">
      <c r="A472" s="35" t="s">
        <v>292</v>
      </c>
      <c r="B472" s="15" t="s">
        <v>357</v>
      </c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 t="s">
        <v>293</v>
      </c>
      <c r="Y472" s="14">
        <v>123720</v>
      </c>
      <c r="Z472" s="36">
        <v>3319</v>
      </c>
      <c r="AA472" s="14"/>
      <c r="AB472" s="14"/>
      <c r="AC472" s="14"/>
      <c r="AD472" s="14"/>
      <c r="AF472" s="14">
        <f>11700-20000-144</f>
        <v>-8444</v>
      </c>
      <c r="AG472" s="14">
        <f>11700-20000-144</f>
        <v>-8444</v>
      </c>
      <c r="AO472" s="70">
        <v>270</v>
      </c>
      <c r="AP472" s="70">
        <v>22240</v>
      </c>
    </row>
    <row r="473" spans="1:42" ht="15.75">
      <c r="A473" s="35" t="s">
        <v>48</v>
      </c>
      <c r="B473" s="15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36"/>
      <c r="AA473" s="14"/>
      <c r="AB473" s="14" t="s">
        <v>49</v>
      </c>
      <c r="AC473" s="14"/>
      <c r="AF473" s="14">
        <v>9855</v>
      </c>
      <c r="AG473" s="14">
        <v>9855</v>
      </c>
      <c r="AI473" s="14">
        <f>9855-13500</f>
        <v>-3645</v>
      </c>
      <c r="AJ473" s="14">
        <v>-3645</v>
      </c>
      <c r="AK473" s="14">
        <v>9710</v>
      </c>
      <c r="AL473" s="70">
        <v>9710</v>
      </c>
      <c r="AM473" s="70">
        <v>9923</v>
      </c>
      <c r="AN473" s="70">
        <v>7287</v>
      </c>
      <c r="AO473" s="70">
        <v>9715</v>
      </c>
      <c r="AP473" s="70">
        <v>9954</v>
      </c>
    </row>
    <row r="474" spans="1:42" ht="15.75">
      <c r="A474" s="35" t="s">
        <v>140</v>
      </c>
      <c r="B474" s="15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36"/>
      <c r="AA474" s="14"/>
      <c r="AB474" s="14"/>
      <c r="AC474" s="14"/>
      <c r="AD474" s="65" t="s">
        <v>27</v>
      </c>
      <c r="AE474" s="14">
        <v>200000</v>
      </c>
      <c r="AF474" s="14">
        <v>224696.771</v>
      </c>
      <c r="AG474" s="14">
        <v>224697</v>
      </c>
      <c r="AH474" s="14">
        <v>226000</v>
      </c>
      <c r="AI474" s="14">
        <v>226805</v>
      </c>
      <c r="AJ474" s="14">
        <v>226805</v>
      </c>
      <c r="AK474" s="14">
        <v>232528</v>
      </c>
      <c r="AL474" s="70">
        <v>232528</v>
      </c>
      <c r="AM474" s="70">
        <v>198000</v>
      </c>
      <c r="AN474" s="70">
        <v>232528</v>
      </c>
      <c r="AO474" s="70">
        <v>232528</v>
      </c>
      <c r="AP474" s="70">
        <v>190000</v>
      </c>
    </row>
    <row r="475" spans="1:42" ht="15.75">
      <c r="A475" s="35" t="s">
        <v>50</v>
      </c>
      <c r="B475" s="15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36"/>
      <c r="AA475" s="14"/>
      <c r="AB475" s="14"/>
      <c r="AC475" s="14"/>
      <c r="AD475" s="65"/>
      <c r="AE475" s="14"/>
      <c r="AF475" s="14"/>
      <c r="AG475" s="14">
        <v>-1449</v>
      </c>
      <c r="AH475" s="14"/>
      <c r="AI475" s="14"/>
      <c r="AJ475" s="14"/>
      <c r="AK475" s="14"/>
      <c r="AL475" s="70"/>
      <c r="AM475" s="70"/>
      <c r="AN475" s="70"/>
      <c r="AO475" s="70"/>
      <c r="AP475" s="70"/>
    </row>
    <row r="476" spans="1:33" ht="15.75">
      <c r="A476" s="35" t="s">
        <v>354</v>
      </c>
      <c r="B476" s="15" t="s">
        <v>357</v>
      </c>
      <c r="C476" s="14"/>
      <c r="D476" s="14"/>
      <c r="E476" s="14"/>
      <c r="F476" s="14"/>
      <c r="G476" s="14"/>
      <c r="H476" s="14"/>
      <c r="I476" s="14"/>
      <c r="J476" s="14"/>
      <c r="K476" s="48">
        <v>0</v>
      </c>
      <c r="L476" s="14"/>
      <c r="M476" s="14"/>
      <c r="N476" s="14"/>
      <c r="O476" s="14">
        <v>1023</v>
      </c>
      <c r="P476" s="14">
        <v>1657</v>
      </c>
      <c r="Q476" s="14">
        <v>1463</v>
      </c>
      <c r="R476" s="14">
        <v>2059</v>
      </c>
      <c r="S476" s="14">
        <v>0</v>
      </c>
      <c r="T476" s="14">
        <v>-400</v>
      </c>
      <c r="U476" s="14">
        <v>0</v>
      </c>
      <c r="V476" s="14">
        <v>0</v>
      </c>
      <c r="W476" s="14"/>
      <c r="X476" s="14"/>
      <c r="Y476" s="14"/>
      <c r="Z476" s="14"/>
      <c r="AA476" s="14"/>
      <c r="AB476" s="14"/>
      <c r="AC476" s="14"/>
      <c r="AD476" s="14"/>
      <c r="AG476" s="14">
        <v>-5</v>
      </c>
    </row>
    <row r="477" spans="1:30" ht="15.75" hidden="1">
      <c r="A477" s="35" t="s">
        <v>358</v>
      </c>
      <c r="B477" s="15" t="s">
        <v>357</v>
      </c>
      <c r="C477" s="14">
        <v>0</v>
      </c>
      <c r="D477" s="14">
        <v>0</v>
      </c>
      <c r="E477" s="14">
        <v>0</v>
      </c>
      <c r="F477" s="14">
        <v>0</v>
      </c>
      <c r="G477" s="14">
        <v>26000</v>
      </c>
      <c r="H477" s="16">
        <v>285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/>
      <c r="Z477" s="16"/>
      <c r="AA477" s="16"/>
      <c r="AB477" s="16"/>
      <c r="AC477" s="16"/>
      <c r="AD477" s="16"/>
    </row>
    <row r="478" spans="1:42" ht="15.75">
      <c r="A478" s="35" t="s">
        <v>411</v>
      </c>
      <c r="B478" s="15" t="s">
        <v>357</v>
      </c>
      <c r="C478" s="43">
        <f aca="true" t="shared" si="199" ref="C478:L478">SUM(C464:C477)</f>
        <v>35005</v>
      </c>
      <c r="D478" s="43">
        <f t="shared" si="199"/>
        <v>40015</v>
      </c>
      <c r="E478" s="43">
        <f t="shared" si="199"/>
        <v>41222</v>
      </c>
      <c r="F478" s="43">
        <f t="shared" si="199"/>
        <v>54540</v>
      </c>
      <c r="G478" s="43">
        <f t="shared" si="199"/>
        <v>75897</v>
      </c>
      <c r="H478" s="43">
        <f t="shared" si="199"/>
        <v>45113</v>
      </c>
      <c r="I478" s="43">
        <f t="shared" si="199"/>
        <v>51601</v>
      </c>
      <c r="J478" s="43">
        <f t="shared" si="199"/>
        <v>45288</v>
      </c>
      <c r="K478" s="43">
        <f t="shared" si="199"/>
        <v>47328</v>
      </c>
      <c r="L478" s="43">
        <f t="shared" si="199"/>
        <v>42989</v>
      </c>
      <c r="M478" s="43">
        <f aca="true" t="shared" si="200" ref="M478:U478">SUM(M464:M477)</f>
        <v>43567</v>
      </c>
      <c r="N478" s="43">
        <f t="shared" si="200"/>
        <v>49319</v>
      </c>
      <c r="O478" s="43">
        <f t="shared" si="200"/>
        <v>51890</v>
      </c>
      <c r="P478" s="43">
        <f t="shared" si="200"/>
        <v>53788</v>
      </c>
      <c r="Q478" s="43">
        <f t="shared" si="200"/>
        <v>61968</v>
      </c>
      <c r="R478" s="43">
        <f t="shared" si="200"/>
        <v>67907</v>
      </c>
      <c r="S478" s="43">
        <f t="shared" si="200"/>
        <v>65264</v>
      </c>
      <c r="T478" s="43">
        <f t="shared" si="200"/>
        <v>66105</v>
      </c>
      <c r="U478" s="43">
        <f t="shared" si="200"/>
        <v>64427</v>
      </c>
      <c r="V478" s="43">
        <f aca="true" t="shared" si="201" ref="V478:AG478">(SUM(V464:V477))</f>
        <v>57338</v>
      </c>
      <c r="W478" s="43">
        <f t="shared" si="201"/>
        <v>59286</v>
      </c>
      <c r="X478" s="43">
        <f t="shared" si="201"/>
        <v>58286</v>
      </c>
      <c r="Y478" s="43">
        <f t="shared" si="201"/>
        <v>260166</v>
      </c>
      <c r="Z478" s="43">
        <f t="shared" si="201"/>
        <v>66025</v>
      </c>
      <c r="AA478" s="43">
        <f t="shared" si="201"/>
        <v>64177</v>
      </c>
      <c r="AB478" s="43">
        <f t="shared" si="201"/>
        <v>69850</v>
      </c>
      <c r="AC478" s="43">
        <f t="shared" si="201"/>
        <v>82164</v>
      </c>
      <c r="AD478" s="43">
        <f t="shared" si="201"/>
        <v>72520.134</v>
      </c>
      <c r="AE478" s="43">
        <f t="shared" si="201"/>
        <v>297140</v>
      </c>
      <c r="AF478" s="43">
        <f t="shared" si="201"/>
        <v>309105.96900000004</v>
      </c>
      <c r="AG478" s="43">
        <f t="shared" si="201"/>
        <v>307452</v>
      </c>
      <c r="AH478" s="43">
        <f aca="true" t="shared" si="202" ref="AH478:AP478">(SUM(AH464:AH477))</f>
        <v>325103</v>
      </c>
      <c r="AI478" s="43">
        <f t="shared" si="202"/>
        <v>318981</v>
      </c>
      <c r="AJ478" s="43">
        <f t="shared" si="202"/>
        <v>321981</v>
      </c>
      <c r="AK478" s="43">
        <f t="shared" si="202"/>
        <v>372476</v>
      </c>
      <c r="AL478" s="106">
        <f t="shared" si="202"/>
        <v>372476</v>
      </c>
      <c r="AM478" s="106">
        <f t="shared" si="202"/>
        <v>326768</v>
      </c>
      <c r="AN478" s="106">
        <f t="shared" si="202"/>
        <v>334318</v>
      </c>
      <c r="AO478" s="106">
        <f t="shared" si="202"/>
        <v>358818</v>
      </c>
      <c r="AP478" s="106">
        <f t="shared" si="202"/>
        <v>323639</v>
      </c>
    </row>
    <row r="479" spans="1:42" s="86" customFormat="1" ht="15.75">
      <c r="A479" s="98"/>
      <c r="B479" s="97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  <c r="AA479" s="99"/>
      <c r="AB479" s="99"/>
      <c r="AC479" s="99"/>
      <c r="AD479" s="99"/>
      <c r="AE479" s="99"/>
      <c r="AF479" s="99"/>
      <c r="AG479" s="99"/>
      <c r="AH479" s="99"/>
      <c r="AI479" s="99"/>
      <c r="AJ479" s="99"/>
      <c r="AK479" s="99"/>
      <c r="AL479" s="114"/>
      <c r="AM479" s="114"/>
      <c r="AN479" s="114"/>
      <c r="AO479" s="114"/>
      <c r="AP479" s="114"/>
    </row>
    <row r="480" spans="1:42" ht="15.75">
      <c r="A480" s="35" t="s">
        <v>412</v>
      </c>
      <c r="B480" s="15" t="s">
        <v>357</v>
      </c>
      <c r="C480" s="14">
        <f aca="true" t="shared" si="203" ref="C480:U480">C478</f>
        <v>35005</v>
      </c>
      <c r="D480" s="14">
        <f t="shared" si="203"/>
        <v>40015</v>
      </c>
      <c r="E480" s="14">
        <f t="shared" si="203"/>
        <v>41222</v>
      </c>
      <c r="F480" s="14">
        <f t="shared" si="203"/>
        <v>54540</v>
      </c>
      <c r="G480" s="14">
        <f t="shared" si="203"/>
        <v>75897</v>
      </c>
      <c r="H480" s="14">
        <f t="shared" si="203"/>
        <v>45113</v>
      </c>
      <c r="I480" s="14">
        <f t="shared" si="203"/>
        <v>51601</v>
      </c>
      <c r="J480" s="14">
        <f t="shared" si="203"/>
        <v>45288</v>
      </c>
      <c r="K480" s="14">
        <f t="shared" si="203"/>
        <v>47328</v>
      </c>
      <c r="L480" s="14">
        <f t="shared" si="203"/>
        <v>42989</v>
      </c>
      <c r="M480" s="14">
        <f t="shared" si="203"/>
        <v>43567</v>
      </c>
      <c r="N480" s="14">
        <f t="shared" si="203"/>
        <v>49319</v>
      </c>
      <c r="O480" s="14">
        <f t="shared" si="203"/>
        <v>51890</v>
      </c>
      <c r="P480" s="14">
        <f t="shared" si="203"/>
        <v>53788</v>
      </c>
      <c r="Q480" s="14">
        <f t="shared" si="203"/>
        <v>61968</v>
      </c>
      <c r="R480" s="14">
        <f t="shared" si="203"/>
        <v>67907</v>
      </c>
      <c r="S480" s="14">
        <f t="shared" si="203"/>
        <v>65264</v>
      </c>
      <c r="T480" s="14">
        <f t="shared" si="203"/>
        <v>66105</v>
      </c>
      <c r="U480" s="14">
        <f t="shared" si="203"/>
        <v>64427</v>
      </c>
      <c r="V480" s="14">
        <f aca="true" t="shared" si="204" ref="V480:AA480">(V478)</f>
        <v>57338</v>
      </c>
      <c r="W480" s="14">
        <f t="shared" si="204"/>
        <v>59286</v>
      </c>
      <c r="X480" s="14">
        <f t="shared" si="204"/>
        <v>58286</v>
      </c>
      <c r="Y480" s="14">
        <f t="shared" si="204"/>
        <v>260166</v>
      </c>
      <c r="Z480" s="14">
        <f t="shared" si="204"/>
        <v>66025</v>
      </c>
      <c r="AA480" s="14">
        <f t="shared" si="204"/>
        <v>64177</v>
      </c>
      <c r="AB480" s="14">
        <f aca="true" t="shared" si="205" ref="AB480:AH480">(AB478)</f>
        <v>69850</v>
      </c>
      <c r="AC480" s="14">
        <f t="shared" si="205"/>
        <v>82164</v>
      </c>
      <c r="AD480" s="14">
        <f t="shared" si="205"/>
        <v>72520.134</v>
      </c>
      <c r="AE480" s="14">
        <f t="shared" si="205"/>
        <v>297140</v>
      </c>
      <c r="AF480" s="14">
        <f t="shared" si="205"/>
        <v>309105.96900000004</v>
      </c>
      <c r="AG480" s="14">
        <f>(AG478)</f>
        <v>307452</v>
      </c>
      <c r="AH480" s="14">
        <f t="shared" si="205"/>
        <v>325103</v>
      </c>
      <c r="AI480" s="14">
        <f aca="true" t="shared" si="206" ref="AI480:AP480">(AI478)</f>
        <v>318981</v>
      </c>
      <c r="AJ480" s="14">
        <f t="shared" si="206"/>
        <v>321981</v>
      </c>
      <c r="AK480" s="14">
        <f>(AK478)</f>
        <v>372476</v>
      </c>
      <c r="AL480" s="70">
        <f t="shared" si="206"/>
        <v>372476</v>
      </c>
      <c r="AM480" s="70">
        <f t="shared" si="206"/>
        <v>326768</v>
      </c>
      <c r="AN480" s="70">
        <f t="shared" si="206"/>
        <v>334318</v>
      </c>
      <c r="AO480" s="70">
        <f>(AO478)</f>
        <v>358818</v>
      </c>
      <c r="AP480" s="70">
        <f t="shared" si="206"/>
        <v>323639</v>
      </c>
    </row>
    <row r="481" spans="1:30" ht="15.75">
      <c r="A481" s="78" t="s">
        <v>67</v>
      </c>
      <c r="B481" s="15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</row>
    <row r="482" spans="1:30" ht="15.75">
      <c r="A482" s="10" t="s">
        <v>402</v>
      </c>
      <c r="B482" s="15" t="s">
        <v>357</v>
      </c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</row>
    <row r="483" spans="2:30" ht="15.75">
      <c r="B483" s="15" t="s">
        <v>357</v>
      </c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</row>
    <row r="484" spans="1:30" ht="15.75" hidden="1">
      <c r="A484" s="35" t="s">
        <v>359</v>
      </c>
      <c r="B484" s="15" t="s">
        <v>357</v>
      </c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>
        <v>200000</v>
      </c>
      <c r="W484" s="14"/>
      <c r="X484" s="14"/>
      <c r="Y484" s="14"/>
      <c r="Z484" s="14"/>
      <c r="AA484" s="14"/>
      <c r="AB484" s="14"/>
      <c r="AC484" s="14"/>
      <c r="AD484" s="14"/>
    </row>
    <row r="485" ht="15.75">
      <c r="A485" s="15" t="s">
        <v>394</v>
      </c>
    </row>
    <row r="486" spans="1:42" ht="15.75" outlineLevel="1">
      <c r="A486" s="35" t="s">
        <v>360</v>
      </c>
      <c r="B486" s="15" t="s">
        <v>357</v>
      </c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>
        <v>189</v>
      </c>
      <c r="X486" s="14">
        <v>0</v>
      </c>
      <c r="Y486" s="14">
        <v>3817</v>
      </c>
      <c r="Z486" s="14">
        <v>1252</v>
      </c>
      <c r="AA486" s="14">
        <v>2179</v>
      </c>
      <c r="AB486" s="14" t="s">
        <v>268</v>
      </c>
      <c r="AC486" s="14"/>
      <c r="AD486" s="14"/>
      <c r="AE486" s="14"/>
      <c r="AF486" s="14"/>
      <c r="AG486" s="14"/>
      <c r="AH486" s="14"/>
      <c r="AI486" s="14"/>
      <c r="AJ486" s="14"/>
      <c r="AK486" s="14"/>
      <c r="AL486" s="70"/>
      <c r="AM486" s="70"/>
      <c r="AN486" s="70"/>
      <c r="AO486" s="70"/>
      <c r="AP486" s="70"/>
    </row>
    <row r="487" spans="1:42" ht="15.75" hidden="1" collapsed="1">
      <c r="A487" s="35" t="s">
        <v>450</v>
      </c>
      <c r="B487" s="15" t="s">
        <v>357</v>
      </c>
      <c r="C487" s="14">
        <v>2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70"/>
      <c r="AM487" s="70"/>
      <c r="AN487" s="70"/>
      <c r="AO487" s="70"/>
      <c r="AP487" s="70"/>
    </row>
    <row r="488" spans="1:42" ht="15.75">
      <c r="A488" s="35" t="s">
        <v>51</v>
      </c>
      <c r="B488" s="15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36" t="s">
        <v>52</v>
      </c>
      <c r="AH488" s="14"/>
      <c r="AI488" s="14">
        <v>51</v>
      </c>
      <c r="AJ488" s="14">
        <v>24</v>
      </c>
      <c r="AK488" s="14">
        <v>0</v>
      </c>
      <c r="AL488" s="70">
        <v>0</v>
      </c>
      <c r="AM488" s="70">
        <v>37</v>
      </c>
      <c r="AN488" s="70">
        <v>40</v>
      </c>
      <c r="AO488" s="70">
        <v>40</v>
      </c>
      <c r="AP488" s="70">
        <v>40</v>
      </c>
    </row>
    <row r="489" spans="1:42" ht="15.75">
      <c r="A489" s="35" t="s">
        <v>407</v>
      </c>
      <c r="B489" s="15" t="s">
        <v>357</v>
      </c>
      <c r="C489" s="14"/>
      <c r="D489" s="14"/>
      <c r="E489" s="14"/>
      <c r="F489" s="14"/>
      <c r="G489" s="14"/>
      <c r="H489" s="14"/>
      <c r="I489" s="14"/>
      <c r="J489" s="14"/>
      <c r="K489" s="14" t="s">
        <v>357</v>
      </c>
      <c r="L489" s="14"/>
      <c r="M489" s="14"/>
      <c r="N489" s="14"/>
      <c r="O489" s="14"/>
      <c r="P489" s="14"/>
      <c r="Q489" s="14"/>
      <c r="R489" s="14"/>
      <c r="S489" s="14">
        <v>6</v>
      </c>
      <c r="T489" s="14">
        <v>84</v>
      </c>
      <c r="U489" s="14">
        <v>90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14">
        <v>0</v>
      </c>
      <c r="AB489" s="14"/>
      <c r="AC489" s="14"/>
      <c r="AD489" s="14"/>
      <c r="AE489" s="14"/>
      <c r="AF489" s="14"/>
      <c r="AG489" s="14"/>
      <c r="AH489" s="14"/>
      <c r="AI489" s="14"/>
      <c r="AJ489" s="14">
        <v>23</v>
      </c>
      <c r="AK489" s="14">
        <v>0</v>
      </c>
      <c r="AL489" s="70">
        <v>0</v>
      </c>
      <c r="AM489" s="70">
        <v>23</v>
      </c>
      <c r="AN489" s="70">
        <v>75</v>
      </c>
      <c r="AO489" s="70">
        <v>75</v>
      </c>
      <c r="AP489" s="70">
        <v>75</v>
      </c>
    </row>
    <row r="490" spans="1:42" ht="15.75" hidden="1">
      <c r="A490" s="35" t="s">
        <v>403</v>
      </c>
      <c r="B490" s="15" t="s">
        <v>357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6">
        <v>0</v>
      </c>
      <c r="I490" s="16">
        <v>0</v>
      </c>
      <c r="J490" s="16">
        <v>0</v>
      </c>
      <c r="K490" s="16">
        <v>14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/>
      <c r="AH490" s="16">
        <v>0</v>
      </c>
      <c r="AI490" s="16">
        <v>0</v>
      </c>
      <c r="AJ490" s="16"/>
      <c r="AK490" s="16"/>
      <c r="AL490" s="104">
        <v>0</v>
      </c>
      <c r="AM490" s="104">
        <v>0</v>
      </c>
      <c r="AN490" s="104">
        <v>0</v>
      </c>
      <c r="AO490" s="104">
        <v>0</v>
      </c>
      <c r="AP490" s="104">
        <v>0</v>
      </c>
    </row>
    <row r="491" spans="1:42" ht="15.75">
      <c r="A491" s="35" t="s">
        <v>315</v>
      </c>
      <c r="B491" s="15" t="s">
        <v>357</v>
      </c>
      <c r="C491" s="43">
        <f aca="true" t="shared" si="207" ref="C491:L491">SUM(C487:C490)</f>
        <v>2</v>
      </c>
      <c r="D491" s="43">
        <f t="shared" si="207"/>
        <v>0</v>
      </c>
      <c r="E491" s="43">
        <f t="shared" si="207"/>
        <v>0</v>
      </c>
      <c r="F491" s="43">
        <f t="shared" si="207"/>
        <v>0</v>
      </c>
      <c r="G491" s="43">
        <f t="shared" si="207"/>
        <v>0</v>
      </c>
      <c r="H491" s="43">
        <f t="shared" si="207"/>
        <v>0</v>
      </c>
      <c r="I491" s="43">
        <f t="shared" si="207"/>
        <v>0</v>
      </c>
      <c r="J491" s="43">
        <f t="shared" si="207"/>
        <v>0</v>
      </c>
      <c r="K491" s="43">
        <f t="shared" si="207"/>
        <v>14</v>
      </c>
      <c r="L491" s="43">
        <f t="shared" si="207"/>
        <v>0</v>
      </c>
      <c r="M491" s="43">
        <f aca="true" t="shared" si="208" ref="M491:U491">SUM(M487:M490)</f>
        <v>0</v>
      </c>
      <c r="N491" s="43">
        <f t="shared" si="208"/>
        <v>0</v>
      </c>
      <c r="O491" s="43">
        <f t="shared" si="208"/>
        <v>0</v>
      </c>
      <c r="P491" s="43">
        <f t="shared" si="208"/>
        <v>0</v>
      </c>
      <c r="Q491" s="43">
        <f t="shared" si="208"/>
        <v>0</v>
      </c>
      <c r="R491" s="43">
        <f t="shared" si="208"/>
        <v>0</v>
      </c>
      <c r="S491" s="43">
        <f t="shared" si="208"/>
        <v>6</v>
      </c>
      <c r="T491" s="43">
        <f t="shared" si="208"/>
        <v>84</v>
      </c>
      <c r="U491" s="43">
        <f t="shared" si="208"/>
        <v>90</v>
      </c>
      <c r="V491" s="43">
        <f aca="true" t="shared" si="209" ref="V491:AG491">(SUM(V484:V490))</f>
        <v>200000</v>
      </c>
      <c r="W491" s="43">
        <f t="shared" si="209"/>
        <v>189</v>
      </c>
      <c r="X491" s="43">
        <f t="shared" si="209"/>
        <v>0</v>
      </c>
      <c r="Y491" s="43">
        <f t="shared" si="209"/>
        <v>3817</v>
      </c>
      <c r="Z491" s="43">
        <f t="shared" si="209"/>
        <v>1252</v>
      </c>
      <c r="AA491" s="43">
        <f t="shared" si="209"/>
        <v>2179</v>
      </c>
      <c r="AB491" s="43">
        <f t="shared" si="209"/>
        <v>0</v>
      </c>
      <c r="AC491" s="43">
        <f t="shared" si="209"/>
        <v>0</v>
      </c>
      <c r="AD491" s="43">
        <f t="shared" si="209"/>
        <v>0</v>
      </c>
      <c r="AE491" s="43">
        <f t="shared" si="209"/>
        <v>0</v>
      </c>
      <c r="AF491" s="43">
        <f t="shared" si="209"/>
        <v>0</v>
      </c>
      <c r="AG491" s="43">
        <f t="shared" si="209"/>
        <v>0</v>
      </c>
      <c r="AH491" s="43">
        <f aca="true" t="shared" si="210" ref="AH491:AP491">(SUM(AH484:AH490))</f>
        <v>0</v>
      </c>
      <c r="AI491" s="43">
        <f t="shared" si="210"/>
        <v>51</v>
      </c>
      <c r="AJ491" s="43">
        <f t="shared" si="210"/>
        <v>47</v>
      </c>
      <c r="AK491" s="43">
        <f t="shared" si="210"/>
        <v>0</v>
      </c>
      <c r="AL491" s="106">
        <f t="shared" si="210"/>
        <v>0</v>
      </c>
      <c r="AM491" s="106">
        <f t="shared" si="210"/>
        <v>60</v>
      </c>
      <c r="AN491" s="106">
        <f t="shared" si="210"/>
        <v>115</v>
      </c>
      <c r="AO491" s="106">
        <f t="shared" si="210"/>
        <v>115</v>
      </c>
      <c r="AP491" s="106">
        <f t="shared" si="210"/>
        <v>115</v>
      </c>
    </row>
    <row r="492" spans="1:42" ht="15.75">
      <c r="A492" s="14"/>
      <c r="B492" s="15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110"/>
      <c r="AM492" s="110"/>
      <c r="AN492" s="110"/>
      <c r="AO492" s="110"/>
      <c r="AP492" s="110"/>
    </row>
    <row r="493" spans="1:42" ht="15.75">
      <c r="A493" s="35" t="s">
        <v>10</v>
      </c>
      <c r="B493" s="15" t="s">
        <v>357</v>
      </c>
      <c r="C493" s="16">
        <f aca="true" t="shared" si="211" ref="C493:U493">C491</f>
        <v>2</v>
      </c>
      <c r="D493" s="16">
        <f t="shared" si="211"/>
        <v>0</v>
      </c>
      <c r="E493" s="16">
        <f t="shared" si="211"/>
        <v>0</v>
      </c>
      <c r="F493" s="16">
        <f t="shared" si="211"/>
        <v>0</v>
      </c>
      <c r="G493" s="16">
        <f t="shared" si="211"/>
        <v>0</v>
      </c>
      <c r="H493" s="16">
        <f t="shared" si="211"/>
        <v>0</v>
      </c>
      <c r="I493" s="16">
        <f t="shared" si="211"/>
        <v>0</v>
      </c>
      <c r="J493" s="16">
        <f t="shared" si="211"/>
        <v>0</v>
      </c>
      <c r="K493" s="16">
        <f t="shared" si="211"/>
        <v>14</v>
      </c>
      <c r="L493" s="16">
        <f t="shared" si="211"/>
        <v>0</v>
      </c>
      <c r="M493" s="16">
        <f t="shared" si="211"/>
        <v>0</v>
      </c>
      <c r="N493" s="16">
        <f t="shared" si="211"/>
        <v>0</v>
      </c>
      <c r="O493" s="16">
        <f t="shared" si="211"/>
        <v>0</v>
      </c>
      <c r="P493" s="16">
        <f t="shared" si="211"/>
        <v>0</v>
      </c>
      <c r="Q493" s="16">
        <f t="shared" si="211"/>
        <v>0</v>
      </c>
      <c r="R493" s="16">
        <f t="shared" si="211"/>
        <v>0</v>
      </c>
      <c r="S493" s="16">
        <f t="shared" si="211"/>
        <v>6</v>
      </c>
      <c r="T493" s="16">
        <f t="shared" si="211"/>
        <v>84</v>
      </c>
      <c r="U493" s="16">
        <f t="shared" si="211"/>
        <v>90</v>
      </c>
      <c r="V493" s="16">
        <f aca="true" t="shared" si="212" ref="V493:AA493">(V491)</f>
        <v>200000</v>
      </c>
      <c r="W493" s="16">
        <f t="shared" si="212"/>
        <v>189</v>
      </c>
      <c r="X493" s="16">
        <f t="shared" si="212"/>
        <v>0</v>
      </c>
      <c r="Y493" s="16">
        <f t="shared" si="212"/>
        <v>3817</v>
      </c>
      <c r="Z493" s="16">
        <f t="shared" si="212"/>
        <v>1252</v>
      </c>
      <c r="AA493" s="16">
        <f t="shared" si="212"/>
        <v>2179</v>
      </c>
      <c r="AB493" s="16">
        <f aca="true" t="shared" si="213" ref="AB493:AH493">(AB491)</f>
        <v>0</v>
      </c>
      <c r="AC493" s="16">
        <f t="shared" si="213"/>
        <v>0</v>
      </c>
      <c r="AD493" s="16">
        <f t="shared" si="213"/>
        <v>0</v>
      </c>
      <c r="AE493" s="16">
        <f t="shared" si="213"/>
        <v>0</v>
      </c>
      <c r="AF493" s="16">
        <f t="shared" si="213"/>
        <v>0</v>
      </c>
      <c r="AG493" s="16">
        <f>(AG491)</f>
        <v>0</v>
      </c>
      <c r="AH493" s="16">
        <f t="shared" si="213"/>
        <v>0</v>
      </c>
      <c r="AI493" s="16">
        <f aca="true" t="shared" si="214" ref="AI493:AP493">(AI491)</f>
        <v>51</v>
      </c>
      <c r="AJ493" s="16">
        <f t="shared" si="214"/>
        <v>47</v>
      </c>
      <c r="AK493" s="16">
        <f t="shared" si="214"/>
        <v>0</v>
      </c>
      <c r="AL493" s="104">
        <f t="shared" si="214"/>
        <v>0</v>
      </c>
      <c r="AM493" s="104">
        <f t="shared" si="214"/>
        <v>60</v>
      </c>
      <c r="AN493" s="104">
        <f t="shared" si="214"/>
        <v>115</v>
      </c>
      <c r="AO493" s="104">
        <f>(AO491)</f>
        <v>115</v>
      </c>
      <c r="AP493" s="104">
        <f t="shared" si="214"/>
        <v>115</v>
      </c>
    </row>
    <row r="494" spans="1:42" ht="15.75">
      <c r="A494" s="14"/>
      <c r="B494" s="15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110"/>
      <c r="AM494" s="110"/>
      <c r="AN494" s="110"/>
      <c r="AO494" s="110"/>
      <c r="AP494" s="110"/>
    </row>
    <row r="495" spans="1:42" ht="15.75">
      <c r="A495" s="35" t="s">
        <v>75</v>
      </c>
      <c r="B495" s="15" t="s">
        <v>357</v>
      </c>
      <c r="C495" s="14">
        <f aca="true" t="shared" si="215" ref="C495:L495">C480+C493</f>
        <v>35007</v>
      </c>
      <c r="D495" s="14">
        <f t="shared" si="215"/>
        <v>40015</v>
      </c>
      <c r="E495" s="14">
        <f t="shared" si="215"/>
        <v>41222</v>
      </c>
      <c r="F495" s="14">
        <f t="shared" si="215"/>
        <v>54540</v>
      </c>
      <c r="G495" s="14">
        <f t="shared" si="215"/>
        <v>75897</v>
      </c>
      <c r="H495" s="14">
        <f t="shared" si="215"/>
        <v>45113</v>
      </c>
      <c r="I495" s="14">
        <f t="shared" si="215"/>
        <v>51601</v>
      </c>
      <c r="J495" s="14">
        <f t="shared" si="215"/>
        <v>45288</v>
      </c>
      <c r="K495" s="14">
        <f t="shared" si="215"/>
        <v>47342</v>
      </c>
      <c r="L495" s="14">
        <f t="shared" si="215"/>
        <v>42989</v>
      </c>
      <c r="M495" s="14">
        <f aca="true" t="shared" si="216" ref="M495:U495">M480+M493</f>
        <v>43567</v>
      </c>
      <c r="N495" s="14">
        <f t="shared" si="216"/>
        <v>49319</v>
      </c>
      <c r="O495" s="14">
        <f t="shared" si="216"/>
        <v>51890</v>
      </c>
      <c r="P495" s="14">
        <f t="shared" si="216"/>
        <v>53788</v>
      </c>
      <c r="Q495" s="14">
        <f t="shared" si="216"/>
        <v>61968</v>
      </c>
      <c r="R495" s="14">
        <f t="shared" si="216"/>
        <v>67907</v>
      </c>
      <c r="S495" s="14">
        <f t="shared" si="216"/>
        <v>65270</v>
      </c>
      <c r="T495" s="14">
        <f t="shared" si="216"/>
        <v>66189</v>
      </c>
      <c r="U495" s="14">
        <f t="shared" si="216"/>
        <v>64517</v>
      </c>
      <c r="V495" s="14">
        <f aca="true" t="shared" si="217" ref="V495:AA495">(V480+V493)</f>
        <v>257338</v>
      </c>
      <c r="W495" s="14">
        <f t="shared" si="217"/>
        <v>59475</v>
      </c>
      <c r="X495" s="14">
        <f t="shared" si="217"/>
        <v>58286</v>
      </c>
      <c r="Y495" s="14">
        <f t="shared" si="217"/>
        <v>263983</v>
      </c>
      <c r="Z495" s="14">
        <f t="shared" si="217"/>
        <v>67277</v>
      </c>
      <c r="AA495" s="14">
        <f t="shared" si="217"/>
        <v>66356</v>
      </c>
      <c r="AB495" s="14">
        <f aca="true" t="shared" si="218" ref="AB495:AH495">(AB480+AB493)</f>
        <v>69850</v>
      </c>
      <c r="AC495" s="14">
        <f t="shared" si="218"/>
        <v>82164</v>
      </c>
      <c r="AD495" s="14">
        <f t="shared" si="218"/>
        <v>72520.134</v>
      </c>
      <c r="AE495" s="14">
        <f t="shared" si="218"/>
        <v>297140</v>
      </c>
      <c r="AF495" s="14">
        <f t="shared" si="218"/>
        <v>309105.96900000004</v>
      </c>
      <c r="AG495" s="14">
        <f>(AG480+AG493)</f>
        <v>307452</v>
      </c>
      <c r="AH495" s="14">
        <f t="shared" si="218"/>
        <v>325103</v>
      </c>
      <c r="AI495" s="14">
        <f aca="true" t="shared" si="219" ref="AI495:AP495">(AI480+AI493)</f>
        <v>319032</v>
      </c>
      <c r="AJ495" s="14">
        <f t="shared" si="219"/>
        <v>322028</v>
      </c>
      <c r="AK495" s="14">
        <f t="shared" si="219"/>
        <v>372476</v>
      </c>
      <c r="AL495" s="70">
        <f t="shared" si="219"/>
        <v>372476</v>
      </c>
      <c r="AM495" s="70">
        <f t="shared" si="219"/>
        <v>326828</v>
      </c>
      <c r="AN495" s="70">
        <f t="shared" si="219"/>
        <v>334433</v>
      </c>
      <c r="AO495" s="70">
        <f>(AO480+AO493)</f>
        <v>358933</v>
      </c>
      <c r="AP495" s="70">
        <f t="shared" si="219"/>
        <v>323754</v>
      </c>
    </row>
    <row r="496" spans="1:30" ht="15.75">
      <c r="A496" s="35"/>
      <c r="B496" s="15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3"/>
      <c r="T496" s="15" t="s">
        <v>357</v>
      </c>
      <c r="U496" s="14"/>
      <c r="V496" s="14"/>
      <c r="W496" s="14"/>
      <c r="X496" s="14"/>
      <c r="Y496" s="14"/>
      <c r="Z496" s="14"/>
      <c r="AA496" s="14"/>
      <c r="AC496" s="14"/>
      <c r="AD496" s="14"/>
    </row>
    <row r="497" spans="1:30" ht="15.75">
      <c r="A497" s="34" t="s">
        <v>76</v>
      </c>
      <c r="B497" s="15" t="s">
        <v>357</v>
      </c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C497" s="14"/>
      <c r="AD497" s="14"/>
    </row>
    <row r="498" spans="1:30" ht="15.75">
      <c r="A498" s="3" t="s">
        <v>124</v>
      </c>
      <c r="B498" s="15" t="s">
        <v>357</v>
      </c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C498" s="14"/>
      <c r="AD498" s="14"/>
    </row>
    <row r="499" spans="1:30" ht="15.75">
      <c r="A499" s="10" t="s">
        <v>101</v>
      </c>
      <c r="B499" s="15" t="s">
        <v>357</v>
      </c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C499" s="14"/>
      <c r="AD499" s="14"/>
    </row>
    <row r="500" spans="1:30" ht="15.75">
      <c r="A500" s="14"/>
      <c r="B500" s="15" t="s">
        <v>357</v>
      </c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C500" s="14"/>
      <c r="AD500" s="14"/>
    </row>
    <row r="501" spans="1:30" ht="15.75" outlineLevel="1">
      <c r="A501" s="15" t="s">
        <v>102</v>
      </c>
      <c r="B501" s="15" t="s">
        <v>357</v>
      </c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C501" s="14"/>
      <c r="AD501" s="14"/>
    </row>
    <row r="502" spans="1:42" ht="15.75" collapsed="1">
      <c r="A502" s="35" t="s">
        <v>396</v>
      </c>
      <c r="B502" s="15" t="s">
        <v>357</v>
      </c>
      <c r="C502" s="14">
        <v>58072</v>
      </c>
      <c r="D502" s="14">
        <v>71968</v>
      </c>
      <c r="E502" s="14">
        <v>55410</v>
      </c>
      <c r="F502" s="14">
        <v>90079</v>
      </c>
      <c r="G502" s="14">
        <v>77915</v>
      </c>
      <c r="H502" s="14">
        <v>92892</v>
      </c>
      <c r="I502" s="14">
        <v>85989</v>
      </c>
      <c r="J502" s="14">
        <v>81756</v>
      </c>
      <c r="K502" s="14">
        <v>77444</v>
      </c>
      <c r="L502" s="14">
        <v>76459</v>
      </c>
      <c r="M502" s="14">
        <v>78224</v>
      </c>
      <c r="N502" s="14">
        <v>78235</v>
      </c>
      <c r="O502" s="14">
        <v>92767</v>
      </c>
      <c r="P502" s="14">
        <v>76489</v>
      </c>
      <c r="Q502" s="14">
        <v>105820</v>
      </c>
      <c r="R502" s="14">
        <v>92665</v>
      </c>
      <c r="S502" s="14">
        <v>81203</v>
      </c>
      <c r="T502" s="14">
        <v>81907</v>
      </c>
      <c r="U502" s="14">
        <v>78193</v>
      </c>
      <c r="V502" s="14">
        <v>74613</v>
      </c>
      <c r="W502" s="14">
        <v>65188</v>
      </c>
      <c r="X502" s="14">
        <v>67514</v>
      </c>
      <c r="Y502" s="14">
        <f>38455+27720</f>
        <v>66175</v>
      </c>
      <c r="Z502" s="14">
        <v>70171</v>
      </c>
      <c r="AA502" s="14">
        <v>78463</v>
      </c>
      <c r="AB502" s="14">
        <f>78950-1902</f>
        <v>77048</v>
      </c>
      <c r="AC502" s="14">
        <v>70217</v>
      </c>
      <c r="AD502" s="14">
        <v>75902</v>
      </c>
      <c r="AE502" s="14">
        <v>71343</v>
      </c>
      <c r="AF502" s="14">
        <v>75743.977</v>
      </c>
      <c r="AG502" s="14">
        <v>75743.977</v>
      </c>
      <c r="AH502" s="14">
        <v>72935</v>
      </c>
      <c r="AI502" s="14">
        <v>75581</v>
      </c>
      <c r="AJ502" s="14">
        <v>75582</v>
      </c>
      <c r="AK502" s="14">
        <v>76160</v>
      </c>
      <c r="AL502" s="70">
        <v>76160</v>
      </c>
      <c r="AM502" s="70">
        <v>74361</v>
      </c>
      <c r="AN502" s="70">
        <v>74846</v>
      </c>
      <c r="AO502" s="70">
        <v>76197</v>
      </c>
      <c r="AP502" s="70">
        <v>74921</v>
      </c>
    </row>
    <row r="503" spans="1:42" ht="15.75" customHeight="1" hidden="1" outlineLevel="1">
      <c r="A503" s="35" t="s">
        <v>125</v>
      </c>
      <c r="B503" s="15" t="s">
        <v>357</v>
      </c>
      <c r="C503" s="14">
        <v>101717</v>
      </c>
      <c r="D503" s="14">
        <v>117666</v>
      </c>
      <c r="E503" s="14">
        <v>114706</v>
      </c>
      <c r="F503" s="14">
        <v>120002</v>
      </c>
      <c r="G503" s="14">
        <v>94522</v>
      </c>
      <c r="H503" s="14">
        <v>98614</v>
      </c>
      <c r="I503" s="14">
        <v>95840</v>
      </c>
      <c r="J503" s="14">
        <v>114109</v>
      </c>
      <c r="K503" s="14">
        <v>98795</v>
      </c>
      <c r="L503" s="14">
        <v>76455</v>
      </c>
      <c r="M503" s="14">
        <v>67387</v>
      </c>
      <c r="N503" s="14">
        <v>41940</v>
      </c>
      <c r="O503" s="14">
        <v>28434</v>
      </c>
      <c r="P503" s="14">
        <v>32927</v>
      </c>
      <c r="Q503" s="14">
        <v>48452</v>
      </c>
      <c r="R503" s="14">
        <v>24143</v>
      </c>
      <c r="S503" s="14">
        <v>23051</v>
      </c>
      <c r="T503" s="14">
        <v>23838</v>
      </c>
      <c r="U503" s="14">
        <f>19838-38-32139</f>
        <v>-12339</v>
      </c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70"/>
      <c r="AM503" s="70"/>
      <c r="AN503" s="70"/>
      <c r="AO503" s="70"/>
      <c r="AP503" s="70"/>
    </row>
    <row r="504" spans="1:42" ht="15.75" hidden="1" collapsed="1">
      <c r="A504" s="35" t="s">
        <v>312</v>
      </c>
      <c r="B504" s="15" t="s">
        <v>357</v>
      </c>
      <c r="C504" s="14">
        <v>0</v>
      </c>
      <c r="D504" s="14">
        <v>0</v>
      </c>
      <c r="E504" s="14">
        <v>12600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70"/>
      <c r="AM504" s="70"/>
      <c r="AN504" s="70"/>
      <c r="AO504" s="70"/>
      <c r="AP504" s="70"/>
    </row>
    <row r="505" spans="1:42" ht="15.75" hidden="1">
      <c r="A505" s="35" t="s">
        <v>313</v>
      </c>
      <c r="B505" s="15" t="s">
        <v>357</v>
      </c>
      <c r="C505" s="14">
        <v>0</v>
      </c>
      <c r="D505" s="14">
        <v>0</v>
      </c>
      <c r="E505" s="14">
        <v>0</v>
      </c>
      <c r="F505" s="14">
        <v>41500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70"/>
      <c r="AM505" s="70"/>
      <c r="AN505" s="70"/>
      <c r="AO505" s="70"/>
      <c r="AP505" s="70"/>
    </row>
    <row r="506" spans="1:42" ht="15.75">
      <c r="A506" s="35" t="s">
        <v>352</v>
      </c>
      <c r="B506" s="15" t="s">
        <v>357</v>
      </c>
      <c r="C506" s="14">
        <v>0</v>
      </c>
      <c r="D506" s="14">
        <v>0</v>
      </c>
      <c r="E506" s="14">
        <v>0</v>
      </c>
      <c r="F506" s="14">
        <v>0</v>
      </c>
      <c r="G506" s="14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210840</v>
      </c>
      <c r="M506" s="16">
        <v>191750</v>
      </c>
      <c r="N506" s="16">
        <v>33620</v>
      </c>
      <c r="O506" s="16">
        <v>32360</v>
      </c>
      <c r="P506" s="16">
        <v>23260</v>
      </c>
      <c r="Q506" s="16">
        <v>24722</v>
      </c>
      <c r="R506" s="16">
        <v>24821</v>
      </c>
      <c r="S506" s="16">
        <v>20368</v>
      </c>
      <c r="T506" s="16">
        <v>20402</v>
      </c>
      <c r="U506" s="16">
        <v>28574</v>
      </c>
      <c r="V506" s="16">
        <v>24938</v>
      </c>
      <c r="W506" s="16">
        <v>23538</v>
      </c>
      <c r="X506" s="16">
        <v>20545</v>
      </c>
      <c r="Y506" s="16">
        <f>8930+12000</f>
        <v>20930</v>
      </c>
      <c r="Z506" s="16">
        <f>8311+12000</f>
        <v>20311</v>
      </c>
      <c r="AA506" s="16">
        <v>20726</v>
      </c>
      <c r="AB506" s="16">
        <v>23245</v>
      </c>
      <c r="AC506" s="16">
        <v>20745</v>
      </c>
      <c r="AD506" s="16">
        <v>20927</v>
      </c>
      <c r="AE506" s="16">
        <v>16125</v>
      </c>
      <c r="AF506" s="16">
        <v>6379.011</v>
      </c>
      <c r="AG506" s="16">
        <v>6379.011</v>
      </c>
      <c r="AH506" s="16">
        <v>5941</v>
      </c>
      <c r="AI506" s="16">
        <v>5450</v>
      </c>
      <c r="AJ506" s="16">
        <v>5450</v>
      </c>
      <c r="AK506" s="16">
        <v>5313</v>
      </c>
      <c r="AL506" s="104">
        <v>5313</v>
      </c>
      <c r="AM506" s="104">
        <v>4862</v>
      </c>
      <c r="AN506" s="104">
        <v>5362</v>
      </c>
      <c r="AO506" s="104">
        <v>5313</v>
      </c>
      <c r="AP506" s="104">
        <v>4862</v>
      </c>
    </row>
    <row r="507" spans="1:42" ht="15.75">
      <c r="A507" s="35" t="s">
        <v>411</v>
      </c>
      <c r="B507" s="15" t="s">
        <v>357</v>
      </c>
      <c r="C507" s="43">
        <f aca="true" t="shared" si="220" ref="C507:L507">SUM(C502:C506)</f>
        <v>159789</v>
      </c>
      <c r="D507" s="43">
        <f t="shared" si="220"/>
        <v>189634</v>
      </c>
      <c r="E507" s="43">
        <f t="shared" si="220"/>
        <v>182716</v>
      </c>
      <c r="F507" s="43">
        <f t="shared" si="220"/>
        <v>251581</v>
      </c>
      <c r="G507" s="43">
        <f t="shared" si="220"/>
        <v>172437</v>
      </c>
      <c r="H507" s="16">
        <f t="shared" si="220"/>
        <v>191506</v>
      </c>
      <c r="I507" s="16">
        <f t="shared" si="220"/>
        <v>181829</v>
      </c>
      <c r="J507" s="16">
        <f t="shared" si="220"/>
        <v>195865</v>
      </c>
      <c r="K507" s="16">
        <f t="shared" si="220"/>
        <v>176239</v>
      </c>
      <c r="L507" s="16">
        <f t="shared" si="220"/>
        <v>363754</v>
      </c>
      <c r="M507" s="16">
        <f aca="true" t="shared" si="221" ref="M507:U507">SUM(M502:M506)</f>
        <v>337361</v>
      </c>
      <c r="N507" s="16">
        <f t="shared" si="221"/>
        <v>153795</v>
      </c>
      <c r="O507" s="16">
        <f t="shared" si="221"/>
        <v>153561</v>
      </c>
      <c r="P507" s="16">
        <f t="shared" si="221"/>
        <v>132676</v>
      </c>
      <c r="Q507" s="16">
        <f t="shared" si="221"/>
        <v>178994</v>
      </c>
      <c r="R507" s="16">
        <f t="shared" si="221"/>
        <v>141629</v>
      </c>
      <c r="S507" s="16">
        <f t="shared" si="221"/>
        <v>124622</v>
      </c>
      <c r="T507" s="16">
        <f t="shared" si="221"/>
        <v>126147</v>
      </c>
      <c r="U507" s="16">
        <f t="shared" si="221"/>
        <v>94428</v>
      </c>
      <c r="V507" s="16">
        <f aca="true" t="shared" si="222" ref="V507:AG507">(SUM(V502:V506))</f>
        <v>99551</v>
      </c>
      <c r="W507" s="16">
        <f t="shared" si="222"/>
        <v>88726</v>
      </c>
      <c r="X507" s="16">
        <f t="shared" si="222"/>
        <v>88059</v>
      </c>
      <c r="Y507" s="16">
        <f t="shared" si="222"/>
        <v>87105</v>
      </c>
      <c r="Z507" s="16">
        <f t="shared" si="222"/>
        <v>90482</v>
      </c>
      <c r="AA507" s="16">
        <f t="shared" si="222"/>
        <v>99189</v>
      </c>
      <c r="AB507" s="16">
        <f t="shared" si="222"/>
        <v>100293</v>
      </c>
      <c r="AC507" s="16">
        <f t="shared" si="222"/>
        <v>90962</v>
      </c>
      <c r="AD507" s="16">
        <f t="shared" si="222"/>
        <v>96829</v>
      </c>
      <c r="AE507" s="16">
        <f t="shared" si="222"/>
        <v>87468</v>
      </c>
      <c r="AF507" s="16">
        <f t="shared" si="222"/>
        <v>82122.988</v>
      </c>
      <c r="AG507" s="16">
        <f t="shared" si="222"/>
        <v>82122.988</v>
      </c>
      <c r="AH507" s="16">
        <f aca="true" t="shared" si="223" ref="AH507:AP507">(SUM(AH502:AH506))</f>
        <v>78876</v>
      </c>
      <c r="AI507" s="16">
        <f t="shared" si="223"/>
        <v>81031</v>
      </c>
      <c r="AJ507" s="16">
        <f t="shared" si="223"/>
        <v>81032</v>
      </c>
      <c r="AK507" s="16">
        <f t="shared" si="223"/>
        <v>81473</v>
      </c>
      <c r="AL507" s="104">
        <f t="shared" si="223"/>
        <v>81473</v>
      </c>
      <c r="AM507" s="104">
        <f t="shared" si="223"/>
        <v>79223</v>
      </c>
      <c r="AN507" s="104">
        <f t="shared" si="223"/>
        <v>80208</v>
      </c>
      <c r="AO507" s="104">
        <f t="shared" si="223"/>
        <v>81510</v>
      </c>
      <c r="AP507" s="104">
        <f t="shared" si="223"/>
        <v>79783</v>
      </c>
    </row>
    <row r="508" spans="1:42" ht="15.75">
      <c r="A508" s="14"/>
      <c r="B508" s="15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110"/>
      <c r="AM508" s="110"/>
      <c r="AN508" s="110"/>
      <c r="AO508" s="110"/>
      <c r="AP508" s="110"/>
    </row>
    <row r="509" spans="1:42" ht="15.75">
      <c r="A509" s="35" t="s">
        <v>412</v>
      </c>
      <c r="B509" s="15" t="s">
        <v>357</v>
      </c>
      <c r="C509" s="14">
        <f aca="true" t="shared" si="224" ref="C509:U509">C507</f>
        <v>159789</v>
      </c>
      <c r="D509" s="14">
        <f t="shared" si="224"/>
        <v>189634</v>
      </c>
      <c r="E509" s="14">
        <f t="shared" si="224"/>
        <v>182716</v>
      </c>
      <c r="F509" s="14">
        <f t="shared" si="224"/>
        <v>251581</v>
      </c>
      <c r="G509" s="14">
        <f t="shared" si="224"/>
        <v>172437</v>
      </c>
      <c r="H509" s="14">
        <f t="shared" si="224"/>
        <v>191506</v>
      </c>
      <c r="I509" s="14">
        <f t="shared" si="224"/>
        <v>181829</v>
      </c>
      <c r="J509" s="14">
        <f t="shared" si="224"/>
        <v>195865</v>
      </c>
      <c r="K509" s="14">
        <f t="shared" si="224"/>
        <v>176239</v>
      </c>
      <c r="L509" s="14">
        <f t="shared" si="224"/>
        <v>363754</v>
      </c>
      <c r="M509" s="14">
        <f t="shared" si="224"/>
        <v>337361</v>
      </c>
      <c r="N509" s="14">
        <f t="shared" si="224"/>
        <v>153795</v>
      </c>
      <c r="O509" s="14">
        <f t="shared" si="224"/>
        <v>153561</v>
      </c>
      <c r="P509" s="14">
        <f t="shared" si="224"/>
        <v>132676</v>
      </c>
      <c r="Q509" s="14">
        <f t="shared" si="224"/>
        <v>178994</v>
      </c>
      <c r="R509" s="14">
        <f t="shared" si="224"/>
        <v>141629</v>
      </c>
      <c r="S509" s="14">
        <f t="shared" si="224"/>
        <v>124622</v>
      </c>
      <c r="T509" s="14">
        <f t="shared" si="224"/>
        <v>126147</v>
      </c>
      <c r="U509" s="14">
        <f t="shared" si="224"/>
        <v>94428</v>
      </c>
      <c r="V509" s="14">
        <f aca="true" t="shared" si="225" ref="V509:AA509">(V507)</f>
        <v>99551</v>
      </c>
      <c r="W509" s="14">
        <f t="shared" si="225"/>
        <v>88726</v>
      </c>
      <c r="X509" s="14">
        <f t="shared" si="225"/>
        <v>88059</v>
      </c>
      <c r="Y509" s="14">
        <f t="shared" si="225"/>
        <v>87105</v>
      </c>
      <c r="Z509" s="14">
        <f t="shared" si="225"/>
        <v>90482</v>
      </c>
      <c r="AA509" s="14">
        <f t="shared" si="225"/>
        <v>99189</v>
      </c>
      <c r="AB509" s="14">
        <f aca="true" t="shared" si="226" ref="AB509:AH509">(AB507)</f>
        <v>100293</v>
      </c>
      <c r="AC509" s="14">
        <f t="shared" si="226"/>
        <v>90962</v>
      </c>
      <c r="AD509" s="14">
        <f t="shared" si="226"/>
        <v>96829</v>
      </c>
      <c r="AE509" s="14">
        <f t="shared" si="226"/>
        <v>87468</v>
      </c>
      <c r="AF509" s="14">
        <f t="shared" si="226"/>
        <v>82122.988</v>
      </c>
      <c r="AG509" s="14">
        <f>(AG507)</f>
        <v>82122.988</v>
      </c>
      <c r="AH509" s="14">
        <f t="shared" si="226"/>
        <v>78876</v>
      </c>
      <c r="AI509" s="14">
        <f aca="true" t="shared" si="227" ref="AI509:AP509">(AI507)</f>
        <v>81031</v>
      </c>
      <c r="AJ509" s="14">
        <f t="shared" si="227"/>
        <v>81032</v>
      </c>
      <c r="AK509" s="14">
        <f>(AK507)</f>
        <v>81473</v>
      </c>
      <c r="AL509" s="70">
        <f t="shared" si="227"/>
        <v>81473</v>
      </c>
      <c r="AM509" s="70">
        <f t="shared" si="227"/>
        <v>79223</v>
      </c>
      <c r="AN509" s="70">
        <f t="shared" si="227"/>
        <v>80208</v>
      </c>
      <c r="AO509" s="70">
        <f>(AO507)</f>
        <v>81510</v>
      </c>
      <c r="AP509" s="70">
        <f t="shared" si="227"/>
        <v>79783</v>
      </c>
    </row>
    <row r="510" spans="1:30" ht="15.75">
      <c r="A510" s="14"/>
      <c r="B510" s="15" t="s">
        <v>357</v>
      </c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</row>
    <row r="511" spans="1:30" ht="15.75">
      <c r="A511" s="10" t="s">
        <v>402</v>
      </c>
      <c r="B511" s="15" t="s">
        <v>357</v>
      </c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</row>
    <row r="512" spans="1:30" ht="15.75">
      <c r="A512" s="14"/>
      <c r="B512" s="15" t="s">
        <v>357</v>
      </c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</row>
    <row r="513" spans="1:30" ht="15.75">
      <c r="A513" s="15" t="s">
        <v>394</v>
      </c>
      <c r="B513" s="15" t="s">
        <v>357</v>
      </c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</row>
    <row r="514" spans="1:42" ht="15.75" outlineLevel="1">
      <c r="A514" s="35" t="s">
        <v>313</v>
      </c>
      <c r="B514" s="15" t="s">
        <v>357</v>
      </c>
      <c r="C514" s="14">
        <v>0</v>
      </c>
      <c r="D514" s="14">
        <v>0</v>
      </c>
      <c r="E514" s="14">
        <v>0</v>
      </c>
      <c r="F514" s="14">
        <v>48400</v>
      </c>
      <c r="G514" s="14">
        <v>66366</v>
      </c>
      <c r="H514" s="14">
        <v>66094</v>
      </c>
      <c r="I514" s="14">
        <v>55563</v>
      </c>
      <c r="J514" s="14">
        <v>65258</v>
      </c>
      <c r="K514" s="14">
        <v>53351</v>
      </c>
      <c r="L514" s="14">
        <v>79915</v>
      </c>
      <c r="M514" s="14">
        <v>69384</v>
      </c>
      <c r="N514" s="14">
        <v>71200</v>
      </c>
      <c r="O514" s="14">
        <v>79790</v>
      </c>
      <c r="P514" s="14">
        <v>73592</v>
      </c>
      <c r="Q514" s="14">
        <v>63943</v>
      </c>
      <c r="R514" s="14">
        <v>90084</v>
      </c>
      <c r="S514" s="14">
        <v>97253</v>
      </c>
      <c r="T514" s="14">
        <v>101865</v>
      </c>
      <c r="U514" s="14">
        <v>82763</v>
      </c>
      <c r="V514" s="14">
        <v>83544</v>
      </c>
      <c r="W514" s="14">
        <v>80549</v>
      </c>
      <c r="X514" s="14">
        <v>80185</v>
      </c>
      <c r="Y514" s="14">
        <v>109270</v>
      </c>
      <c r="Z514" s="14">
        <v>148116</v>
      </c>
      <c r="AA514" s="14">
        <v>106086</v>
      </c>
      <c r="AB514" s="14">
        <v>133923</v>
      </c>
      <c r="AC514" s="14">
        <v>122000</v>
      </c>
      <c r="AD514" s="14">
        <v>94822</v>
      </c>
      <c r="AE514" s="14">
        <f>148543+19000</f>
        <v>167543</v>
      </c>
      <c r="AF514" s="14">
        <v>108000</v>
      </c>
      <c r="AG514" s="14">
        <v>114927</v>
      </c>
      <c r="AH514" s="14">
        <v>108000</v>
      </c>
      <c r="AI514" s="14">
        <v>115000</v>
      </c>
      <c r="AJ514" s="14">
        <v>144689</v>
      </c>
      <c r="AK514" s="14">
        <v>131368</v>
      </c>
      <c r="AL514" s="70">
        <v>131368</v>
      </c>
      <c r="AM514" s="70">
        <v>144700</v>
      </c>
      <c r="AN514" s="70">
        <v>119000</v>
      </c>
      <c r="AO514" s="70">
        <v>119000</v>
      </c>
      <c r="AP514" s="70">
        <v>119000</v>
      </c>
    </row>
    <row r="515" spans="1:42" ht="15.75" hidden="1" collapsed="1">
      <c r="A515" s="35" t="s">
        <v>353</v>
      </c>
      <c r="B515" s="15" t="s">
        <v>357</v>
      </c>
      <c r="C515" s="14">
        <v>20298</v>
      </c>
      <c r="D515" s="14">
        <v>24662</v>
      </c>
      <c r="E515" s="14">
        <v>27131</v>
      </c>
      <c r="F515" s="14">
        <v>1829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/>
      <c r="AF515" s="14"/>
      <c r="AG515" s="14"/>
      <c r="AH515" s="14"/>
      <c r="AI515" s="14"/>
      <c r="AJ515" s="14"/>
      <c r="AK515" s="14"/>
      <c r="AL515" s="70"/>
      <c r="AM515" s="70"/>
      <c r="AN515" s="70"/>
      <c r="AO515" s="70"/>
      <c r="AP515" s="70"/>
    </row>
    <row r="516" spans="1:42" ht="15.75" hidden="1">
      <c r="A516" s="35" t="s">
        <v>389</v>
      </c>
      <c r="B516" s="15" t="s">
        <v>357</v>
      </c>
      <c r="C516" s="14"/>
      <c r="D516" s="14"/>
      <c r="E516" s="14"/>
      <c r="F516" s="14"/>
      <c r="G516" s="14"/>
      <c r="H516" s="14"/>
      <c r="I516" s="14"/>
      <c r="J516" s="14"/>
      <c r="K516" s="48">
        <v>0</v>
      </c>
      <c r="L516" s="14"/>
      <c r="M516" s="14"/>
      <c r="N516" s="14"/>
      <c r="O516" s="14"/>
      <c r="P516" s="14"/>
      <c r="Q516" s="14"/>
      <c r="R516" s="14"/>
      <c r="S516" s="14">
        <v>7923</v>
      </c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70"/>
      <c r="AM516" s="70"/>
      <c r="AN516" s="70"/>
      <c r="AO516" s="70"/>
      <c r="AP516" s="70"/>
    </row>
    <row r="517" spans="1:42" ht="15.75">
      <c r="A517" s="35" t="s">
        <v>352</v>
      </c>
      <c r="B517" s="15" t="s">
        <v>357</v>
      </c>
      <c r="C517" s="14">
        <v>0</v>
      </c>
      <c r="D517" s="14">
        <v>0</v>
      </c>
      <c r="E517" s="14">
        <v>0</v>
      </c>
      <c r="F517" s="14">
        <v>0</v>
      </c>
      <c r="G517" s="14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10032</v>
      </c>
      <c r="M517" s="16">
        <v>202922</v>
      </c>
      <c r="N517" s="16">
        <v>127081</v>
      </c>
      <c r="O517" s="16">
        <v>80820</v>
      </c>
      <c r="P517" s="16">
        <v>113200</v>
      </c>
      <c r="Q517" s="16">
        <v>162888</v>
      </c>
      <c r="R517" s="16">
        <v>138668</v>
      </c>
      <c r="S517" s="16">
        <v>141069</v>
      </c>
      <c r="T517" s="16">
        <v>122469</v>
      </c>
      <c r="U517" s="16">
        <v>360082</v>
      </c>
      <c r="V517" s="16">
        <v>244848</v>
      </c>
      <c r="W517" s="16">
        <v>225125</v>
      </c>
      <c r="X517" s="16">
        <v>127470</v>
      </c>
      <c r="Y517" s="16">
        <v>119820</v>
      </c>
      <c r="Z517" s="16">
        <v>120551</v>
      </c>
      <c r="AA517" s="16">
        <v>122014</v>
      </c>
      <c r="AB517" s="16">
        <v>145486</v>
      </c>
      <c r="AC517" s="16">
        <v>146355</v>
      </c>
      <c r="AD517" s="16">
        <v>145485</v>
      </c>
      <c r="AE517" s="16">
        <v>122000</v>
      </c>
      <c r="AF517" s="16">
        <v>193443</v>
      </c>
      <c r="AG517" s="16">
        <v>194071</v>
      </c>
      <c r="AH517" s="16">
        <v>194968</v>
      </c>
      <c r="AI517" s="16">
        <v>196021</v>
      </c>
      <c r="AJ517" s="16">
        <v>196082</v>
      </c>
      <c r="AK517" s="16">
        <v>199557</v>
      </c>
      <c r="AL517" s="104">
        <v>199557</v>
      </c>
      <c r="AM517" s="104">
        <v>202403</v>
      </c>
      <c r="AN517" s="104">
        <v>202649</v>
      </c>
      <c r="AO517" s="104">
        <v>202649</v>
      </c>
      <c r="AP517" s="104">
        <v>205060</v>
      </c>
    </row>
    <row r="518" spans="1:42" ht="15.75">
      <c r="A518" s="35" t="s">
        <v>9</v>
      </c>
      <c r="B518" s="15" t="s">
        <v>357</v>
      </c>
      <c r="C518" s="43">
        <f aca="true" t="shared" si="228" ref="C518:L518">SUM(C514:C517)</f>
        <v>20298</v>
      </c>
      <c r="D518" s="43">
        <f t="shared" si="228"/>
        <v>24662</v>
      </c>
      <c r="E518" s="43">
        <f t="shared" si="228"/>
        <v>27131</v>
      </c>
      <c r="F518" s="43">
        <f t="shared" si="228"/>
        <v>50229</v>
      </c>
      <c r="G518" s="43">
        <f t="shared" si="228"/>
        <v>66366</v>
      </c>
      <c r="H518" s="16">
        <f t="shared" si="228"/>
        <v>66094</v>
      </c>
      <c r="I518" s="16">
        <f t="shared" si="228"/>
        <v>55563</v>
      </c>
      <c r="J518" s="16">
        <f t="shared" si="228"/>
        <v>65258</v>
      </c>
      <c r="K518" s="16">
        <f t="shared" si="228"/>
        <v>53351</v>
      </c>
      <c r="L518" s="16">
        <f t="shared" si="228"/>
        <v>89947</v>
      </c>
      <c r="M518" s="16">
        <f aca="true" t="shared" si="229" ref="M518:U518">SUM(M514:M517)</f>
        <v>272306</v>
      </c>
      <c r="N518" s="16">
        <f t="shared" si="229"/>
        <v>198281</v>
      </c>
      <c r="O518" s="16">
        <f t="shared" si="229"/>
        <v>160610</v>
      </c>
      <c r="P518" s="16">
        <f t="shared" si="229"/>
        <v>186792</v>
      </c>
      <c r="Q518" s="16">
        <f t="shared" si="229"/>
        <v>226831</v>
      </c>
      <c r="R518" s="16">
        <f t="shared" si="229"/>
        <v>228752</v>
      </c>
      <c r="S518" s="16">
        <f t="shared" si="229"/>
        <v>246245</v>
      </c>
      <c r="T518" s="16">
        <f t="shared" si="229"/>
        <v>224334</v>
      </c>
      <c r="U518" s="16">
        <f t="shared" si="229"/>
        <v>442845</v>
      </c>
      <c r="V518" s="16">
        <f aca="true" t="shared" si="230" ref="V518:AG518">(SUM(V514:V517))</f>
        <v>328392</v>
      </c>
      <c r="W518" s="16">
        <f t="shared" si="230"/>
        <v>305674</v>
      </c>
      <c r="X518" s="16">
        <f t="shared" si="230"/>
        <v>207655</v>
      </c>
      <c r="Y518" s="16">
        <f t="shared" si="230"/>
        <v>229090</v>
      </c>
      <c r="Z518" s="16">
        <f t="shared" si="230"/>
        <v>268667</v>
      </c>
      <c r="AA518" s="16">
        <f t="shared" si="230"/>
        <v>228100</v>
      </c>
      <c r="AB518" s="16">
        <f t="shared" si="230"/>
        <v>279409</v>
      </c>
      <c r="AC518" s="16">
        <f t="shared" si="230"/>
        <v>268355</v>
      </c>
      <c r="AD518" s="16">
        <f t="shared" si="230"/>
        <v>240307</v>
      </c>
      <c r="AE518" s="16">
        <f t="shared" si="230"/>
        <v>289543</v>
      </c>
      <c r="AF518" s="16">
        <f t="shared" si="230"/>
        <v>301443</v>
      </c>
      <c r="AG518" s="16">
        <f t="shared" si="230"/>
        <v>308998</v>
      </c>
      <c r="AH518" s="16">
        <f aca="true" t="shared" si="231" ref="AH518:AP518">(SUM(AH514:AH517))</f>
        <v>302968</v>
      </c>
      <c r="AI518" s="16">
        <f t="shared" si="231"/>
        <v>311021</v>
      </c>
      <c r="AJ518" s="16">
        <f t="shared" si="231"/>
        <v>340771</v>
      </c>
      <c r="AK518" s="16">
        <f t="shared" si="231"/>
        <v>330925</v>
      </c>
      <c r="AL518" s="104">
        <f t="shared" si="231"/>
        <v>330925</v>
      </c>
      <c r="AM518" s="104">
        <f t="shared" si="231"/>
        <v>347103</v>
      </c>
      <c r="AN518" s="104">
        <f t="shared" si="231"/>
        <v>321649</v>
      </c>
      <c r="AO518" s="104">
        <f t="shared" si="231"/>
        <v>321649</v>
      </c>
      <c r="AP518" s="104">
        <f t="shared" si="231"/>
        <v>324060</v>
      </c>
    </row>
    <row r="519" spans="1:42" ht="15.75">
      <c r="A519" s="14"/>
      <c r="B519" s="15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110"/>
      <c r="AM519" s="110"/>
      <c r="AN519" s="110"/>
      <c r="AO519" s="110"/>
      <c r="AP519" s="110"/>
    </row>
    <row r="520" spans="1:42" ht="15.75">
      <c r="A520" s="35" t="s">
        <v>10</v>
      </c>
      <c r="B520" s="15" t="s">
        <v>357</v>
      </c>
      <c r="C520" s="16">
        <f aca="true" t="shared" si="232" ref="C520:U520">C518</f>
        <v>20298</v>
      </c>
      <c r="D520" s="16">
        <f t="shared" si="232"/>
        <v>24662</v>
      </c>
      <c r="E520" s="16">
        <f t="shared" si="232"/>
        <v>27131</v>
      </c>
      <c r="F520" s="16">
        <f t="shared" si="232"/>
        <v>50229</v>
      </c>
      <c r="G520" s="16">
        <f t="shared" si="232"/>
        <v>66366</v>
      </c>
      <c r="H520" s="16">
        <f t="shared" si="232"/>
        <v>66094</v>
      </c>
      <c r="I520" s="16">
        <f t="shared" si="232"/>
        <v>55563</v>
      </c>
      <c r="J520" s="16">
        <f t="shared" si="232"/>
        <v>65258</v>
      </c>
      <c r="K520" s="16">
        <f t="shared" si="232"/>
        <v>53351</v>
      </c>
      <c r="L520" s="16">
        <f t="shared" si="232"/>
        <v>89947</v>
      </c>
      <c r="M520" s="16">
        <f t="shared" si="232"/>
        <v>272306</v>
      </c>
      <c r="N520" s="16">
        <f t="shared" si="232"/>
        <v>198281</v>
      </c>
      <c r="O520" s="16">
        <f t="shared" si="232"/>
        <v>160610</v>
      </c>
      <c r="P520" s="16">
        <f t="shared" si="232"/>
        <v>186792</v>
      </c>
      <c r="Q520" s="16">
        <f t="shared" si="232"/>
        <v>226831</v>
      </c>
      <c r="R520" s="16">
        <f t="shared" si="232"/>
        <v>228752</v>
      </c>
      <c r="S520" s="16">
        <f t="shared" si="232"/>
        <v>246245</v>
      </c>
      <c r="T520" s="16">
        <f t="shared" si="232"/>
        <v>224334</v>
      </c>
      <c r="U520" s="16">
        <f t="shared" si="232"/>
        <v>442845</v>
      </c>
      <c r="V520" s="16">
        <f aca="true" t="shared" si="233" ref="V520:AA520">(V518)</f>
        <v>328392</v>
      </c>
      <c r="W520" s="16">
        <f t="shared" si="233"/>
        <v>305674</v>
      </c>
      <c r="X520" s="16">
        <f t="shared" si="233"/>
        <v>207655</v>
      </c>
      <c r="Y520" s="16">
        <f t="shared" si="233"/>
        <v>229090</v>
      </c>
      <c r="Z520" s="16">
        <f t="shared" si="233"/>
        <v>268667</v>
      </c>
      <c r="AA520" s="16">
        <f t="shared" si="233"/>
        <v>228100</v>
      </c>
      <c r="AB520" s="16">
        <f aca="true" t="shared" si="234" ref="AB520:AH520">(AB518)</f>
        <v>279409</v>
      </c>
      <c r="AC520" s="16">
        <f t="shared" si="234"/>
        <v>268355</v>
      </c>
      <c r="AD520" s="16">
        <f t="shared" si="234"/>
        <v>240307</v>
      </c>
      <c r="AE520" s="16">
        <f t="shared" si="234"/>
        <v>289543</v>
      </c>
      <c r="AF520" s="16">
        <f t="shared" si="234"/>
        <v>301443</v>
      </c>
      <c r="AG520" s="16">
        <f>(AG518)</f>
        <v>308998</v>
      </c>
      <c r="AH520" s="16">
        <f t="shared" si="234"/>
        <v>302968</v>
      </c>
      <c r="AI520" s="16">
        <f aca="true" t="shared" si="235" ref="AI520:AP520">(AI518)</f>
        <v>311021</v>
      </c>
      <c r="AJ520" s="16">
        <f t="shared" si="235"/>
        <v>340771</v>
      </c>
      <c r="AK520" s="16">
        <f>(AK518)</f>
        <v>330925</v>
      </c>
      <c r="AL520" s="104">
        <f t="shared" si="235"/>
        <v>330925</v>
      </c>
      <c r="AM520" s="104">
        <f t="shared" si="235"/>
        <v>347103</v>
      </c>
      <c r="AN520" s="104">
        <f t="shared" si="235"/>
        <v>321649</v>
      </c>
      <c r="AO520" s="104">
        <f>(AO518)</f>
        <v>321649</v>
      </c>
      <c r="AP520" s="104">
        <f t="shared" si="235"/>
        <v>324060</v>
      </c>
    </row>
    <row r="521" spans="1:30" ht="15.75">
      <c r="A521" s="14"/>
      <c r="B521" s="15" t="s">
        <v>357</v>
      </c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</row>
    <row r="522" spans="1:42" ht="15.75">
      <c r="A522" s="14" t="s">
        <v>390</v>
      </c>
      <c r="B522" s="15" t="s">
        <v>357</v>
      </c>
      <c r="C522" s="14">
        <f aca="true" t="shared" si="236" ref="C522:U522">C509+C520</f>
        <v>180087</v>
      </c>
      <c r="D522" s="14">
        <f t="shared" si="236"/>
        <v>214296</v>
      </c>
      <c r="E522" s="14">
        <f t="shared" si="236"/>
        <v>209847</v>
      </c>
      <c r="F522" s="14">
        <f t="shared" si="236"/>
        <v>301810</v>
      </c>
      <c r="G522" s="14">
        <f t="shared" si="236"/>
        <v>238803</v>
      </c>
      <c r="H522" s="14">
        <f t="shared" si="236"/>
        <v>257600</v>
      </c>
      <c r="I522" s="14">
        <f t="shared" si="236"/>
        <v>237392</v>
      </c>
      <c r="J522" s="14">
        <f t="shared" si="236"/>
        <v>261123</v>
      </c>
      <c r="K522" s="14">
        <f t="shared" si="236"/>
        <v>229590</v>
      </c>
      <c r="L522" s="14">
        <f t="shared" si="236"/>
        <v>453701</v>
      </c>
      <c r="M522" s="14">
        <f t="shared" si="236"/>
        <v>609667</v>
      </c>
      <c r="N522" s="14">
        <f t="shared" si="236"/>
        <v>352076</v>
      </c>
      <c r="O522" s="14">
        <f t="shared" si="236"/>
        <v>314171</v>
      </c>
      <c r="P522" s="14">
        <f t="shared" si="236"/>
        <v>319468</v>
      </c>
      <c r="Q522" s="14">
        <f t="shared" si="236"/>
        <v>405825</v>
      </c>
      <c r="R522" s="14">
        <f t="shared" si="236"/>
        <v>370381</v>
      </c>
      <c r="S522" s="14">
        <f t="shared" si="236"/>
        <v>370867</v>
      </c>
      <c r="T522" s="14">
        <f t="shared" si="236"/>
        <v>350481</v>
      </c>
      <c r="U522" s="14">
        <f t="shared" si="236"/>
        <v>537273</v>
      </c>
      <c r="V522" s="14">
        <f aca="true" t="shared" si="237" ref="V522:AA522">(V509+V520)</f>
        <v>427943</v>
      </c>
      <c r="W522" s="14">
        <f t="shared" si="237"/>
        <v>394400</v>
      </c>
      <c r="X522" s="14">
        <f t="shared" si="237"/>
        <v>295714</v>
      </c>
      <c r="Y522" s="14">
        <f t="shared" si="237"/>
        <v>316195</v>
      </c>
      <c r="Z522" s="14">
        <f t="shared" si="237"/>
        <v>359149</v>
      </c>
      <c r="AA522" s="14">
        <f t="shared" si="237"/>
        <v>327289</v>
      </c>
      <c r="AB522" s="14">
        <f aca="true" t="shared" si="238" ref="AB522:AH522">(AB509+AB520)</f>
        <v>379702</v>
      </c>
      <c r="AC522" s="14">
        <f t="shared" si="238"/>
        <v>359317</v>
      </c>
      <c r="AD522" s="14">
        <f t="shared" si="238"/>
        <v>337136</v>
      </c>
      <c r="AE522" s="14">
        <f t="shared" si="238"/>
        <v>377011</v>
      </c>
      <c r="AF522" s="14">
        <f t="shared" si="238"/>
        <v>383565.988</v>
      </c>
      <c r="AG522" s="14">
        <f>(AG509+AG520)</f>
        <v>391120.988</v>
      </c>
      <c r="AH522" s="14">
        <f t="shared" si="238"/>
        <v>381844</v>
      </c>
      <c r="AI522" s="14">
        <f aca="true" t="shared" si="239" ref="AI522:AP522">(AI509+AI520)</f>
        <v>392052</v>
      </c>
      <c r="AJ522" s="14">
        <f t="shared" si="239"/>
        <v>421803</v>
      </c>
      <c r="AK522" s="14">
        <f t="shared" si="239"/>
        <v>412398</v>
      </c>
      <c r="AL522" s="70">
        <f t="shared" si="239"/>
        <v>412398</v>
      </c>
      <c r="AM522" s="70">
        <f t="shared" si="239"/>
        <v>426326</v>
      </c>
      <c r="AN522" s="70">
        <f t="shared" si="239"/>
        <v>401857</v>
      </c>
      <c r="AO522" s="70">
        <f>(AO509+AO520)</f>
        <v>403159</v>
      </c>
      <c r="AP522" s="70">
        <f t="shared" si="239"/>
        <v>403843</v>
      </c>
    </row>
    <row r="523" spans="1:30" ht="15.75">
      <c r="A523" s="14"/>
      <c r="B523" s="15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C523" s="14"/>
      <c r="AD523" s="14"/>
    </row>
    <row r="524" spans="1:30" ht="30" customHeight="1">
      <c r="A524" s="55" t="s">
        <v>193</v>
      </c>
      <c r="B524" s="15" t="s">
        <v>357</v>
      </c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C524" s="14"/>
      <c r="AD524" s="14"/>
    </row>
    <row r="525" spans="1:30" ht="15.75">
      <c r="A525" s="14"/>
      <c r="B525" s="15" t="s">
        <v>357</v>
      </c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C525" s="14"/>
      <c r="AD525" s="14"/>
    </row>
    <row r="526" spans="1:30" ht="15.75">
      <c r="A526" s="10" t="s">
        <v>101</v>
      </c>
      <c r="B526" s="15" t="s">
        <v>357</v>
      </c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C526" s="14"/>
      <c r="AD526" s="14"/>
    </row>
    <row r="527" spans="1:30" ht="15.75">
      <c r="A527" s="14"/>
      <c r="B527" s="15" t="s">
        <v>357</v>
      </c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C527" s="14"/>
      <c r="AD527" s="14"/>
    </row>
    <row r="528" spans="1:30" ht="15.75">
      <c r="A528" s="15" t="s">
        <v>102</v>
      </c>
      <c r="B528" s="15" t="s">
        <v>357</v>
      </c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C528" s="14"/>
      <c r="AD528" s="14"/>
    </row>
    <row r="529" spans="1:42" ht="15.75">
      <c r="A529" s="35" t="s">
        <v>296</v>
      </c>
      <c r="B529" s="15" t="s">
        <v>357</v>
      </c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4" t="s">
        <v>306</v>
      </c>
      <c r="W529" s="13"/>
      <c r="X529" s="16">
        <v>4228</v>
      </c>
      <c r="Y529" s="16">
        <v>4492</v>
      </c>
      <c r="Z529" s="16">
        <v>5374</v>
      </c>
      <c r="AA529" s="16">
        <v>5391</v>
      </c>
      <c r="AB529" s="16">
        <v>5497</v>
      </c>
      <c r="AC529" s="16">
        <v>5538</v>
      </c>
      <c r="AD529" s="16">
        <v>5502</v>
      </c>
      <c r="AE529" s="16">
        <v>5633</v>
      </c>
      <c r="AF529" s="16">
        <v>5563.591</v>
      </c>
      <c r="AG529" s="16">
        <v>5563.591</v>
      </c>
      <c r="AH529" s="16">
        <v>5818</v>
      </c>
      <c r="AI529" s="16">
        <v>5737</v>
      </c>
      <c r="AJ529" s="16">
        <v>5737</v>
      </c>
      <c r="AK529" s="16">
        <v>6016</v>
      </c>
      <c r="AL529" s="104">
        <v>6016</v>
      </c>
      <c r="AM529" s="104">
        <v>6109</v>
      </c>
      <c r="AN529" s="104">
        <v>5464</v>
      </c>
      <c r="AO529" s="104">
        <v>6043</v>
      </c>
      <c r="AP529" s="104">
        <v>6224</v>
      </c>
    </row>
    <row r="530" spans="1:42" ht="15.75">
      <c r="A530" s="35" t="s">
        <v>411</v>
      </c>
      <c r="B530" s="15" t="s">
        <v>357</v>
      </c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4" t="s">
        <v>8</v>
      </c>
      <c r="W530" s="13"/>
      <c r="X530" s="16">
        <f aca="true" t="shared" si="240" ref="X530:AG530">X529</f>
        <v>4228</v>
      </c>
      <c r="Y530" s="16">
        <f t="shared" si="240"/>
        <v>4492</v>
      </c>
      <c r="Z530" s="16">
        <f t="shared" si="240"/>
        <v>5374</v>
      </c>
      <c r="AA530" s="16">
        <f t="shared" si="240"/>
        <v>5391</v>
      </c>
      <c r="AB530" s="16">
        <f t="shared" si="240"/>
        <v>5497</v>
      </c>
      <c r="AC530" s="16">
        <f t="shared" si="240"/>
        <v>5538</v>
      </c>
      <c r="AD530" s="16">
        <f t="shared" si="240"/>
        <v>5502</v>
      </c>
      <c r="AE530" s="16">
        <f t="shared" si="240"/>
        <v>5633</v>
      </c>
      <c r="AF530" s="16">
        <f t="shared" si="240"/>
        <v>5563.591</v>
      </c>
      <c r="AG530" s="16">
        <f t="shared" si="240"/>
        <v>5563.591</v>
      </c>
      <c r="AH530" s="16">
        <f aca="true" t="shared" si="241" ref="AH530:AP530">AH529</f>
        <v>5818</v>
      </c>
      <c r="AI530" s="16">
        <f t="shared" si="241"/>
        <v>5737</v>
      </c>
      <c r="AJ530" s="16">
        <f t="shared" si="241"/>
        <v>5737</v>
      </c>
      <c r="AK530" s="16">
        <f t="shared" si="241"/>
        <v>6016</v>
      </c>
      <c r="AL530" s="104">
        <f t="shared" si="241"/>
        <v>6016</v>
      </c>
      <c r="AM530" s="104">
        <f t="shared" si="241"/>
        <v>6109</v>
      </c>
      <c r="AN530" s="104">
        <f t="shared" si="241"/>
        <v>5464</v>
      </c>
      <c r="AO530" s="104">
        <f t="shared" si="241"/>
        <v>6043</v>
      </c>
      <c r="AP530" s="104">
        <f t="shared" si="241"/>
        <v>6224</v>
      </c>
    </row>
    <row r="531" spans="1:42" ht="15.75">
      <c r="A531" s="14"/>
      <c r="B531" s="15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 t="s">
        <v>440</v>
      </c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12"/>
      <c r="AM531" s="112"/>
      <c r="AN531" s="112"/>
      <c r="AO531" s="112"/>
      <c r="AP531" s="112"/>
    </row>
    <row r="532" spans="1:42" ht="15.75">
      <c r="A532" s="35" t="s">
        <v>412</v>
      </c>
      <c r="B532" s="15" t="s">
        <v>357</v>
      </c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4">
        <f aca="true" t="shared" si="242" ref="X532:AC532">X529</f>
        <v>4228</v>
      </c>
      <c r="Y532" s="14">
        <f t="shared" si="242"/>
        <v>4492</v>
      </c>
      <c r="Z532" s="14">
        <f t="shared" si="242"/>
        <v>5374</v>
      </c>
      <c r="AA532" s="14">
        <f t="shared" si="242"/>
        <v>5391</v>
      </c>
      <c r="AB532" s="14">
        <f t="shared" si="242"/>
        <v>5497</v>
      </c>
      <c r="AC532" s="14">
        <f t="shared" si="242"/>
        <v>5538</v>
      </c>
      <c r="AD532" s="14">
        <f aca="true" t="shared" si="243" ref="AD532:AL532">AD529</f>
        <v>5502</v>
      </c>
      <c r="AE532" s="14">
        <f t="shared" si="243"/>
        <v>5633</v>
      </c>
      <c r="AF532" s="14">
        <f t="shared" si="243"/>
        <v>5563.591</v>
      </c>
      <c r="AG532" s="14">
        <f t="shared" si="243"/>
        <v>5563.591</v>
      </c>
      <c r="AH532" s="14">
        <f t="shared" si="243"/>
        <v>5818</v>
      </c>
      <c r="AI532" s="14">
        <f t="shared" si="243"/>
        <v>5737</v>
      </c>
      <c r="AJ532" s="14">
        <f t="shared" si="243"/>
        <v>5737</v>
      </c>
      <c r="AK532" s="14">
        <f>AK529</f>
        <v>6016</v>
      </c>
      <c r="AL532" s="70">
        <f t="shared" si="243"/>
        <v>6016</v>
      </c>
      <c r="AM532" s="70">
        <f>AM529</f>
        <v>6109</v>
      </c>
      <c r="AN532" s="70">
        <f>AN529</f>
        <v>5464</v>
      </c>
      <c r="AO532" s="70">
        <f>AO529</f>
        <v>6043</v>
      </c>
      <c r="AP532" s="70">
        <f>AP529</f>
        <v>6224</v>
      </c>
    </row>
    <row r="533" spans="1:30" ht="15.75">
      <c r="A533" s="14"/>
      <c r="B533" s="15" t="s">
        <v>357</v>
      </c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4"/>
      <c r="Y533" s="14"/>
      <c r="Z533" s="14"/>
      <c r="AA533" s="14"/>
      <c r="AB533" s="14"/>
      <c r="AC533" s="14"/>
      <c r="AD533" s="14"/>
    </row>
    <row r="534" spans="1:30" ht="15.75">
      <c r="A534" s="10" t="s">
        <v>402</v>
      </c>
      <c r="B534" s="15" t="s">
        <v>357</v>
      </c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</row>
    <row r="535" spans="1:30" ht="15.75">
      <c r="A535" s="14"/>
      <c r="B535" s="15" t="s">
        <v>357</v>
      </c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</row>
    <row r="536" spans="1:30" ht="15.75">
      <c r="A536" s="15" t="s">
        <v>394</v>
      </c>
      <c r="B536" s="15" t="s">
        <v>357</v>
      </c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</row>
    <row r="537" spans="1:42" ht="15.75">
      <c r="A537" s="35" t="s">
        <v>449</v>
      </c>
      <c r="B537" s="15" t="s">
        <v>357</v>
      </c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6">
        <v>25662</v>
      </c>
      <c r="Y537" s="16">
        <v>33755</v>
      </c>
      <c r="Z537" s="16">
        <v>21992</v>
      </c>
      <c r="AA537" s="16">
        <f>100446-7256</f>
        <v>93190</v>
      </c>
      <c r="AB537" s="16">
        <f>22619-7280</f>
        <v>15339</v>
      </c>
      <c r="AC537" s="16">
        <f>45126-1000</f>
        <v>44126</v>
      </c>
      <c r="AD537" s="16">
        <v>25740</v>
      </c>
      <c r="AE537" s="16">
        <f>50000-1000</f>
        <v>49000</v>
      </c>
      <c r="AF537" s="16">
        <v>38400</v>
      </c>
      <c r="AG537" s="16">
        <v>35526</v>
      </c>
      <c r="AH537" s="16">
        <v>35700</v>
      </c>
      <c r="AI537" s="16">
        <v>30650</v>
      </c>
      <c r="AJ537" s="16">
        <v>37681</v>
      </c>
      <c r="AK537" s="16">
        <v>73771</v>
      </c>
      <c r="AL537" s="104">
        <v>73771</v>
      </c>
      <c r="AM537" s="104">
        <v>29000</v>
      </c>
      <c r="AN537" s="104">
        <v>64000</v>
      </c>
      <c r="AO537" s="104">
        <v>64000</v>
      </c>
      <c r="AP537" s="104">
        <v>39000</v>
      </c>
    </row>
    <row r="538" spans="1:42" ht="15.75">
      <c r="A538" s="35" t="s">
        <v>9</v>
      </c>
      <c r="B538" s="15" t="s">
        <v>357</v>
      </c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6">
        <f aca="true" t="shared" si="244" ref="X538:AG538">X537</f>
        <v>25662</v>
      </c>
      <c r="Y538" s="16">
        <f t="shared" si="244"/>
        <v>33755</v>
      </c>
      <c r="Z538" s="16">
        <f t="shared" si="244"/>
        <v>21992</v>
      </c>
      <c r="AA538" s="16">
        <f t="shared" si="244"/>
        <v>93190</v>
      </c>
      <c r="AB538" s="16">
        <f t="shared" si="244"/>
        <v>15339</v>
      </c>
      <c r="AC538" s="16">
        <f t="shared" si="244"/>
        <v>44126</v>
      </c>
      <c r="AD538" s="16">
        <f t="shared" si="244"/>
        <v>25740</v>
      </c>
      <c r="AE538" s="16">
        <f t="shared" si="244"/>
        <v>49000</v>
      </c>
      <c r="AF538" s="16">
        <f t="shared" si="244"/>
        <v>38400</v>
      </c>
      <c r="AG538" s="16">
        <f t="shared" si="244"/>
        <v>35526</v>
      </c>
      <c r="AH538" s="16">
        <f aca="true" t="shared" si="245" ref="AH538:AP538">AH537</f>
        <v>35700</v>
      </c>
      <c r="AI538" s="16">
        <f t="shared" si="245"/>
        <v>30650</v>
      </c>
      <c r="AJ538" s="16">
        <f t="shared" si="245"/>
        <v>37681</v>
      </c>
      <c r="AK538" s="16">
        <f t="shared" si="245"/>
        <v>73771</v>
      </c>
      <c r="AL538" s="104">
        <f t="shared" si="245"/>
        <v>73771</v>
      </c>
      <c r="AM538" s="104">
        <f t="shared" si="245"/>
        <v>29000</v>
      </c>
      <c r="AN538" s="104">
        <f t="shared" si="245"/>
        <v>64000</v>
      </c>
      <c r="AO538" s="104">
        <f t="shared" si="245"/>
        <v>64000</v>
      </c>
      <c r="AP538" s="104">
        <f t="shared" si="245"/>
        <v>39000</v>
      </c>
    </row>
    <row r="539" spans="1:42" ht="15.75">
      <c r="A539" s="14"/>
      <c r="B539" s="15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12"/>
      <c r="AM539" s="112"/>
      <c r="AN539" s="112"/>
      <c r="AO539" s="112"/>
      <c r="AP539" s="112"/>
    </row>
    <row r="540" spans="1:42" ht="15.75">
      <c r="A540" s="35" t="s">
        <v>10</v>
      </c>
      <c r="B540" s="15" t="s">
        <v>357</v>
      </c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4">
        <f aca="true" t="shared" si="246" ref="X540:AC540">X537</f>
        <v>25662</v>
      </c>
      <c r="Y540" s="14">
        <f t="shared" si="246"/>
        <v>33755</v>
      </c>
      <c r="Z540" s="14">
        <f t="shared" si="246"/>
        <v>21992</v>
      </c>
      <c r="AA540" s="14">
        <f t="shared" si="246"/>
        <v>93190</v>
      </c>
      <c r="AB540" s="14">
        <f t="shared" si="246"/>
        <v>15339</v>
      </c>
      <c r="AC540" s="14">
        <f t="shared" si="246"/>
        <v>44126</v>
      </c>
      <c r="AD540" s="14">
        <f aca="true" t="shared" si="247" ref="AD540:AL540">AD537</f>
        <v>25740</v>
      </c>
      <c r="AE540" s="14">
        <f t="shared" si="247"/>
        <v>49000</v>
      </c>
      <c r="AF540" s="14">
        <f t="shared" si="247"/>
        <v>38400</v>
      </c>
      <c r="AG540" s="14">
        <f t="shared" si="247"/>
        <v>35526</v>
      </c>
      <c r="AH540" s="14">
        <f t="shared" si="247"/>
        <v>35700</v>
      </c>
      <c r="AI540" s="14">
        <f t="shared" si="247"/>
        <v>30650</v>
      </c>
      <c r="AJ540" s="14">
        <f>AJ537</f>
        <v>37681</v>
      </c>
      <c r="AK540" s="14">
        <f>AK537</f>
        <v>73771</v>
      </c>
      <c r="AL540" s="70">
        <f t="shared" si="247"/>
        <v>73771</v>
      </c>
      <c r="AM540" s="70">
        <f>AM537</f>
        <v>29000</v>
      </c>
      <c r="AN540" s="70">
        <f>AN537</f>
        <v>64000</v>
      </c>
      <c r="AO540" s="70">
        <f>AO537</f>
        <v>64000</v>
      </c>
      <c r="AP540" s="70">
        <f>AP537</f>
        <v>39000</v>
      </c>
    </row>
    <row r="541" spans="1:42" ht="15.75">
      <c r="A541" s="14"/>
      <c r="B541" s="15" t="s">
        <v>357</v>
      </c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12"/>
      <c r="AM541" s="112"/>
      <c r="AN541" s="112"/>
      <c r="AO541" s="112"/>
      <c r="AP541" s="112"/>
    </row>
    <row r="542" spans="1:42" ht="15.75">
      <c r="A542" s="35" t="s">
        <v>295</v>
      </c>
      <c r="B542" s="15" t="s">
        <v>357</v>
      </c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4">
        <f aca="true" t="shared" si="248" ref="X542:AC542">X540+X532</f>
        <v>29890</v>
      </c>
      <c r="Y542" s="14">
        <f t="shared" si="248"/>
        <v>38247</v>
      </c>
      <c r="Z542" s="14">
        <f t="shared" si="248"/>
        <v>27366</v>
      </c>
      <c r="AA542" s="14">
        <f t="shared" si="248"/>
        <v>98581</v>
      </c>
      <c r="AB542" s="14">
        <f t="shared" si="248"/>
        <v>20836</v>
      </c>
      <c r="AC542" s="14">
        <f t="shared" si="248"/>
        <v>49664</v>
      </c>
      <c r="AD542" s="14">
        <f aca="true" t="shared" si="249" ref="AD542:AL542">AD540+AD532</f>
        <v>31242</v>
      </c>
      <c r="AE542" s="14">
        <f t="shared" si="249"/>
        <v>54633</v>
      </c>
      <c r="AF542" s="14">
        <f t="shared" si="249"/>
        <v>43963.591</v>
      </c>
      <c r="AG542" s="14">
        <f t="shared" si="249"/>
        <v>41089.591</v>
      </c>
      <c r="AH542" s="14">
        <f t="shared" si="249"/>
        <v>41518</v>
      </c>
      <c r="AI542" s="14">
        <f t="shared" si="249"/>
        <v>36387</v>
      </c>
      <c r="AJ542" s="14">
        <f>AJ540+AJ532</f>
        <v>43418</v>
      </c>
      <c r="AK542" s="14">
        <f>AK540+AK532</f>
        <v>79787</v>
      </c>
      <c r="AL542" s="70">
        <f t="shared" si="249"/>
        <v>79787</v>
      </c>
      <c r="AM542" s="70">
        <f>AM540+AM532</f>
        <v>35109</v>
      </c>
      <c r="AN542" s="70">
        <f>AN540+AN532</f>
        <v>69464</v>
      </c>
      <c r="AO542" s="70">
        <f>AO540+AO532</f>
        <v>70043</v>
      </c>
      <c r="AP542" s="70">
        <f>AP540+AP532</f>
        <v>45224</v>
      </c>
    </row>
    <row r="543" spans="1:30" ht="15.75">
      <c r="A543" s="56"/>
      <c r="B543" s="25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C543" s="14"/>
      <c r="AD543" s="14"/>
    </row>
    <row r="544" spans="1:30" ht="15.75">
      <c r="A544" s="34" t="s">
        <v>227</v>
      </c>
      <c r="B544" s="15" t="s">
        <v>357</v>
      </c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C544" s="14"/>
      <c r="AD544" s="14"/>
    </row>
    <row r="545" spans="1:30" ht="15.75">
      <c r="A545" s="14"/>
      <c r="B545" s="15" t="s">
        <v>357</v>
      </c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C545" s="14"/>
      <c r="AD545" s="14"/>
    </row>
    <row r="546" spans="1:30" ht="15.75">
      <c r="A546" s="10" t="s">
        <v>101</v>
      </c>
      <c r="B546" s="15" t="s">
        <v>357</v>
      </c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C546" s="14"/>
      <c r="AD546" s="14"/>
    </row>
    <row r="547" spans="1:30" ht="15.75">
      <c r="A547" s="14"/>
      <c r="B547" s="15" t="s">
        <v>357</v>
      </c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C547" s="14"/>
      <c r="AD547" s="14"/>
    </row>
    <row r="548" spans="1:30" ht="15.75">
      <c r="A548" s="15" t="s">
        <v>102</v>
      </c>
      <c r="B548" s="15" t="s">
        <v>357</v>
      </c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C548" s="14"/>
      <c r="AD548" s="14"/>
    </row>
    <row r="549" spans="1:42" ht="15.75">
      <c r="A549" s="35" t="s">
        <v>13</v>
      </c>
      <c r="B549" s="15" t="s">
        <v>357</v>
      </c>
      <c r="C549" s="14">
        <v>12381</v>
      </c>
      <c r="D549" s="14">
        <v>14407</v>
      </c>
      <c r="E549" s="14">
        <v>15082</v>
      </c>
      <c r="F549" s="14">
        <v>16466</v>
      </c>
      <c r="G549" s="14">
        <v>17908</v>
      </c>
      <c r="H549" s="16">
        <v>17750</v>
      </c>
      <c r="I549" s="16">
        <v>19551</v>
      </c>
      <c r="J549" s="16">
        <v>19542</v>
      </c>
      <c r="K549" s="16">
        <v>20562</v>
      </c>
      <c r="L549" s="16">
        <v>19385</v>
      </c>
      <c r="M549" s="16">
        <v>21280</v>
      </c>
      <c r="N549" s="16">
        <v>23053</v>
      </c>
      <c r="O549" s="16">
        <v>24686</v>
      </c>
      <c r="P549" s="16">
        <v>25305</v>
      </c>
      <c r="Q549" s="16">
        <v>26742</v>
      </c>
      <c r="R549" s="16">
        <v>31128</v>
      </c>
      <c r="S549" s="16">
        <v>31457</v>
      </c>
      <c r="T549" s="16">
        <v>33359</v>
      </c>
      <c r="U549" s="16">
        <v>34586</v>
      </c>
      <c r="V549" s="16">
        <v>34381</v>
      </c>
      <c r="W549" s="16">
        <v>35443</v>
      </c>
      <c r="X549" s="16">
        <v>35443</v>
      </c>
      <c r="Y549" s="16">
        <v>37452</v>
      </c>
      <c r="Z549" s="16">
        <v>40196</v>
      </c>
      <c r="AA549" s="16">
        <v>40108</v>
      </c>
      <c r="AB549" s="16">
        <f>45000-27</f>
        <v>44973</v>
      </c>
      <c r="AC549" s="16">
        <v>47773</v>
      </c>
      <c r="AD549" s="16">
        <v>47462</v>
      </c>
      <c r="AE549" s="16">
        <v>50374</v>
      </c>
      <c r="AF549" s="16">
        <v>49753.297</v>
      </c>
      <c r="AG549" s="16">
        <v>49753.297</v>
      </c>
      <c r="AH549" s="16">
        <v>53453</v>
      </c>
      <c r="AI549" s="16">
        <v>51656</v>
      </c>
      <c r="AJ549" s="16">
        <v>51662</v>
      </c>
      <c r="AK549" s="16">
        <v>54624</v>
      </c>
      <c r="AL549" s="104">
        <v>54624</v>
      </c>
      <c r="AM549" s="104">
        <v>56755</v>
      </c>
      <c r="AN549" s="104">
        <v>54624</v>
      </c>
      <c r="AO549" s="104">
        <v>55018</v>
      </c>
      <c r="AP549" s="104">
        <v>58949</v>
      </c>
    </row>
    <row r="550" spans="1:42" ht="15.75">
      <c r="A550" s="35" t="s">
        <v>411</v>
      </c>
      <c r="B550" s="15" t="s">
        <v>357</v>
      </c>
      <c r="C550" s="43">
        <f aca="true" t="shared" si="250" ref="C550:U550">C549</f>
        <v>12381</v>
      </c>
      <c r="D550" s="43">
        <f t="shared" si="250"/>
        <v>14407</v>
      </c>
      <c r="E550" s="43">
        <f t="shared" si="250"/>
        <v>15082</v>
      </c>
      <c r="F550" s="43">
        <f t="shared" si="250"/>
        <v>16466</v>
      </c>
      <c r="G550" s="43">
        <f t="shared" si="250"/>
        <v>17908</v>
      </c>
      <c r="H550" s="16">
        <f t="shared" si="250"/>
        <v>17750</v>
      </c>
      <c r="I550" s="16">
        <f t="shared" si="250"/>
        <v>19551</v>
      </c>
      <c r="J550" s="16">
        <f t="shared" si="250"/>
        <v>19542</v>
      </c>
      <c r="K550" s="16">
        <f t="shared" si="250"/>
        <v>20562</v>
      </c>
      <c r="L550" s="16">
        <f t="shared" si="250"/>
        <v>19385</v>
      </c>
      <c r="M550" s="16">
        <f t="shared" si="250"/>
        <v>21280</v>
      </c>
      <c r="N550" s="16">
        <f t="shared" si="250"/>
        <v>23053</v>
      </c>
      <c r="O550" s="16">
        <f t="shared" si="250"/>
        <v>24686</v>
      </c>
      <c r="P550" s="16">
        <f t="shared" si="250"/>
        <v>25305</v>
      </c>
      <c r="Q550" s="16">
        <f t="shared" si="250"/>
        <v>26742</v>
      </c>
      <c r="R550" s="16">
        <f t="shared" si="250"/>
        <v>31128</v>
      </c>
      <c r="S550" s="16">
        <f t="shared" si="250"/>
        <v>31457</v>
      </c>
      <c r="T550" s="16">
        <f t="shared" si="250"/>
        <v>33359</v>
      </c>
      <c r="U550" s="16">
        <f t="shared" si="250"/>
        <v>34586</v>
      </c>
      <c r="V550" s="16">
        <f aca="true" t="shared" si="251" ref="V550:AG551">(V549)</f>
        <v>34381</v>
      </c>
      <c r="W550" s="16">
        <f t="shared" si="251"/>
        <v>35443</v>
      </c>
      <c r="X550" s="16">
        <f t="shared" si="251"/>
        <v>35443</v>
      </c>
      <c r="Y550" s="16">
        <f t="shared" si="251"/>
        <v>37452</v>
      </c>
      <c r="Z550" s="16">
        <f t="shared" si="251"/>
        <v>40196</v>
      </c>
      <c r="AA550" s="16">
        <f t="shared" si="251"/>
        <v>40108</v>
      </c>
      <c r="AB550" s="16">
        <f t="shared" si="251"/>
        <v>44973</v>
      </c>
      <c r="AC550" s="16">
        <f t="shared" si="251"/>
        <v>47773</v>
      </c>
      <c r="AD550" s="16">
        <f t="shared" si="251"/>
        <v>47462</v>
      </c>
      <c r="AE550" s="16">
        <f t="shared" si="251"/>
        <v>50374</v>
      </c>
      <c r="AF550" s="16">
        <f t="shared" si="251"/>
        <v>49753.297</v>
      </c>
      <c r="AG550" s="16">
        <f t="shared" si="251"/>
        <v>49753.297</v>
      </c>
      <c r="AH550" s="16">
        <f aca="true" t="shared" si="252" ref="AH550:AP551">(AH549)</f>
        <v>53453</v>
      </c>
      <c r="AI550" s="16">
        <f t="shared" si="252"/>
        <v>51656</v>
      </c>
      <c r="AJ550" s="16">
        <f t="shared" si="252"/>
        <v>51662</v>
      </c>
      <c r="AK550" s="16">
        <f t="shared" si="252"/>
        <v>54624</v>
      </c>
      <c r="AL550" s="104">
        <f t="shared" si="252"/>
        <v>54624</v>
      </c>
      <c r="AM550" s="104">
        <f t="shared" si="252"/>
        <v>56755</v>
      </c>
      <c r="AN550" s="104">
        <f t="shared" si="252"/>
        <v>54624</v>
      </c>
      <c r="AO550" s="104">
        <f t="shared" si="252"/>
        <v>55018</v>
      </c>
      <c r="AP550" s="104">
        <f t="shared" si="252"/>
        <v>58949</v>
      </c>
    </row>
    <row r="551" spans="1:42" ht="15.75">
      <c r="A551" s="35" t="s">
        <v>412</v>
      </c>
      <c r="B551" s="15" t="s">
        <v>357</v>
      </c>
      <c r="C551" s="43">
        <f aca="true" t="shared" si="253" ref="C551:U551">C550</f>
        <v>12381</v>
      </c>
      <c r="D551" s="43">
        <f t="shared" si="253"/>
        <v>14407</v>
      </c>
      <c r="E551" s="43">
        <f t="shared" si="253"/>
        <v>15082</v>
      </c>
      <c r="F551" s="43">
        <f t="shared" si="253"/>
        <v>16466</v>
      </c>
      <c r="G551" s="43">
        <f t="shared" si="253"/>
        <v>17908</v>
      </c>
      <c r="H551" s="16">
        <f t="shared" si="253"/>
        <v>17750</v>
      </c>
      <c r="I551" s="16">
        <f t="shared" si="253"/>
        <v>19551</v>
      </c>
      <c r="J551" s="16">
        <f t="shared" si="253"/>
        <v>19542</v>
      </c>
      <c r="K551" s="16">
        <f t="shared" si="253"/>
        <v>20562</v>
      </c>
      <c r="L551" s="16">
        <f t="shared" si="253"/>
        <v>19385</v>
      </c>
      <c r="M551" s="16">
        <f t="shared" si="253"/>
        <v>21280</v>
      </c>
      <c r="N551" s="16">
        <f t="shared" si="253"/>
        <v>23053</v>
      </c>
      <c r="O551" s="16">
        <f t="shared" si="253"/>
        <v>24686</v>
      </c>
      <c r="P551" s="16">
        <f t="shared" si="253"/>
        <v>25305</v>
      </c>
      <c r="Q551" s="16">
        <f t="shared" si="253"/>
        <v>26742</v>
      </c>
      <c r="R551" s="16">
        <f t="shared" si="253"/>
        <v>31128</v>
      </c>
      <c r="S551" s="16">
        <f t="shared" si="253"/>
        <v>31457</v>
      </c>
      <c r="T551" s="16">
        <f t="shared" si="253"/>
        <v>33359</v>
      </c>
      <c r="U551" s="16">
        <f t="shared" si="253"/>
        <v>34586</v>
      </c>
      <c r="V551" s="16">
        <f t="shared" si="251"/>
        <v>34381</v>
      </c>
      <c r="W551" s="16">
        <f t="shared" si="251"/>
        <v>35443</v>
      </c>
      <c r="X551" s="16">
        <f t="shared" si="251"/>
        <v>35443</v>
      </c>
      <c r="Y551" s="16">
        <f t="shared" si="251"/>
        <v>37452</v>
      </c>
      <c r="Z551" s="16">
        <f t="shared" si="251"/>
        <v>40196</v>
      </c>
      <c r="AA551" s="16">
        <f t="shared" si="251"/>
        <v>40108</v>
      </c>
      <c r="AB551" s="16">
        <f t="shared" si="251"/>
        <v>44973</v>
      </c>
      <c r="AC551" s="16">
        <f t="shared" si="251"/>
        <v>47773</v>
      </c>
      <c r="AD551" s="16">
        <f t="shared" si="251"/>
        <v>47462</v>
      </c>
      <c r="AE551" s="16">
        <f t="shared" si="251"/>
        <v>50374</v>
      </c>
      <c r="AF551" s="16">
        <f t="shared" si="251"/>
        <v>49753.297</v>
      </c>
      <c r="AG551" s="16">
        <f t="shared" si="251"/>
        <v>49753.297</v>
      </c>
      <c r="AH551" s="16">
        <f t="shared" si="252"/>
        <v>53453</v>
      </c>
      <c r="AI551" s="16">
        <f t="shared" si="252"/>
        <v>51656</v>
      </c>
      <c r="AJ551" s="16">
        <f t="shared" si="252"/>
        <v>51662</v>
      </c>
      <c r="AK551" s="16">
        <f t="shared" si="252"/>
        <v>54624</v>
      </c>
      <c r="AL551" s="104">
        <f t="shared" si="252"/>
        <v>54624</v>
      </c>
      <c r="AM551" s="104">
        <f t="shared" si="252"/>
        <v>56755</v>
      </c>
      <c r="AN551" s="104">
        <f t="shared" si="252"/>
        <v>54624</v>
      </c>
      <c r="AO551" s="104">
        <f t="shared" si="252"/>
        <v>55018</v>
      </c>
      <c r="AP551" s="104">
        <f t="shared" si="252"/>
        <v>58949</v>
      </c>
    </row>
    <row r="552" spans="1:42" ht="15.75">
      <c r="A552" s="14"/>
      <c r="B552" s="15" t="s">
        <v>357</v>
      </c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70"/>
      <c r="AM552" s="70"/>
      <c r="AN552" s="70"/>
      <c r="AO552" s="70"/>
      <c r="AP552" s="70"/>
    </row>
    <row r="553" spans="1:42" ht="15.75">
      <c r="A553" s="35" t="s">
        <v>252</v>
      </c>
      <c r="B553" s="15" t="s">
        <v>357</v>
      </c>
      <c r="C553" s="14">
        <f aca="true" t="shared" si="254" ref="C553:U553">C551</f>
        <v>12381</v>
      </c>
      <c r="D553" s="14">
        <f t="shared" si="254"/>
        <v>14407</v>
      </c>
      <c r="E553" s="14">
        <f t="shared" si="254"/>
        <v>15082</v>
      </c>
      <c r="F553" s="14">
        <f t="shared" si="254"/>
        <v>16466</v>
      </c>
      <c r="G553" s="14">
        <f t="shared" si="254"/>
        <v>17908</v>
      </c>
      <c r="H553" s="14">
        <f t="shared" si="254"/>
        <v>17750</v>
      </c>
      <c r="I553" s="14">
        <f t="shared" si="254"/>
        <v>19551</v>
      </c>
      <c r="J553" s="14">
        <f t="shared" si="254"/>
        <v>19542</v>
      </c>
      <c r="K553" s="14">
        <f t="shared" si="254"/>
        <v>20562</v>
      </c>
      <c r="L553" s="14">
        <f t="shared" si="254"/>
        <v>19385</v>
      </c>
      <c r="M553" s="14">
        <f t="shared" si="254"/>
        <v>21280</v>
      </c>
      <c r="N553" s="14">
        <f t="shared" si="254"/>
        <v>23053</v>
      </c>
      <c r="O553" s="14">
        <f t="shared" si="254"/>
        <v>24686</v>
      </c>
      <c r="P553" s="14">
        <f t="shared" si="254"/>
        <v>25305</v>
      </c>
      <c r="Q553" s="14">
        <f t="shared" si="254"/>
        <v>26742</v>
      </c>
      <c r="R553" s="14">
        <f t="shared" si="254"/>
        <v>31128</v>
      </c>
      <c r="S553" s="14">
        <f t="shared" si="254"/>
        <v>31457</v>
      </c>
      <c r="T553" s="14">
        <f t="shared" si="254"/>
        <v>33359</v>
      </c>
      <c r="U553" s="14">
        <f t="shared" si="254"/>
        <v>34586</v>
      </c>
      <c r="V553" s="14">
        <f aca="true" t="shared" si="255" ref="V553:AA553">(V551)</f>
        <v>34381</v>
      </c>
      <c r="W553" s="14">
        <f t="shared" si="255"/>
        <v>35443</v>
      </c>
      <c r="X553" s="14">
        <f t="shared" si="255"/>
        <v>35443</v>
      </c>
      <c r="Y553" s="14">
        <f t="shared" si="255"/>
        <v>37452</v>
      </c>
      <c r="Z553" s="14">
        <f t="shared" si="255"/>
        <v>40196</v>
      </c>
      <c r="AA553" s="14">
        <f t="shared" si="255"/>
        <v>40108</v>
      </c>
      <c r="AB553" s="14">
        <f aca="true" t="shared" si="256" ref="AB553:AH553">(AB551)</f>
        <v>44973</v>
      </c>
      <c r="AC553" s="14">
        <f t="shared" si="256"/>
        <v>47773</v>
      </c>
      <c r="AD553" s="14">
        <f t="shared" si="256"/>
        <v>47462</v>
      </c>
      <c r="AE553" s="14">
        <f t="shared" si="256"/>
        <v>50374</v>
      </c>
      <c r="AF553" s="14">
        <f t="shared" si="256"/>
        <v>49753.297</v>
      </c>
      <c r="AG553" s="14">
        <f>(AG551)</f>
        <v>49753.297</v>
      </c>
      <c r="AH553" s="14">
        <f t="shared" si="256"/>
        <v>53453</v>
      </c>
      <c r="AI553" s="14">
        <f aca="true" t="shared" si="257" ref="AI553:AP553">(AI551)</f>
        <v>51656</v>
      </c>
      <c r="AJ553" s="14">
        <f t="shared" si="257"/>
        <v>51662</v>
      </c>
      <c r="AK553" s="14">
        <f>(AK551)</f>
        <v>54624</v>
      </c>
      <c r="AL553" s="70">
        <f t="shared" si="257"/>
        <v>54624</v>
      </c>
      <c r="AM553" s="70">
        <f t="shared" si="257"/>
        <v>56755</v>
      </c>
      <c r="AN553" s="70">
        <f t="shared" si="257"/>
        <v>54624</v>
      </c>
      <c r="AO553" s="70">
        <f>(AO551)</f>
        <v>55018</v>
      </c>
      <c r="AP553" s="70">
        <f t="shared" si="257"/>
        <v>58949</v>
      </c>
    </row>
    <row r="554" spans="1:27" ht="15.75">
      <c r="A554" s="56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 spans="1:27" ht="15.75">
      <c r="A555" s="34" t="s">
        <v>253</v>
      </c>
      <c r="B555" s="15" t="s">
        <v>357</v>
      </c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15.75">
      <c r="A556" s="14"/>
      <c r="B556" s="15" t="s">
        <v>357</v>
      </c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5.75">
      <c r="A557" s="10" t="s">
        <v>101</v>
      </c>
      <c r="B557" s="15" t="s">
        <v>357</v>
      </c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5.75">
      <c r="A558" s="14"/>
      <c r="B558" s="15" t="s">
        <v>357</v>
      </c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5.75">
      <c r="A559" s="15" t="s">
        <v>102</v>
      </c>
      <c r="B559" s="15" t="s">
        <v>357</v>
      </c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42" ht="15.75">
      <c r="A560" s="35" t="s">
        <v>136</v>
      </c>
      <c r="B560" s="15" t="s">
        <v>357</v>
      </c>
      <c r="C560" s="14">
        <v>0</v>
      </c>
      <c r="D560" s="14">
        <v>0</v>
      </c>
      <c r="E560" s="14">
        <v>0</v>
      </c>
      <c r="F560" s="14">
        <v>0</v>
      </c>
      <c r="G560" s="14">
        <v>9119</v>
      </c>
      <c r="H560" s="16">
        <v>13369</v>
      </c>
      <c r="I560" s="16">
        <v>21900</v>
      </c>
      <c r="J560" s="16">
        <v>16814</v>
      </c>
      <c r="K560" s="16">
        <v>16908</v>
      </c>
      <c r="L560" s="16">
        <v>15424</v>
      </c>
      <c r="M560" s="16">
        <v>16725</v>
      </c>
      <c r="N560" s="16">
        <v>17757</v>
      </c>
      <c r="O560" s="16">
        <v>18749</v>
      </c>
      <c r="P560" s="16">
        <v>20464</v>
      </c>
      <c r="Q560" s="16">
        <v>22040</v>
      </c>
      <c r="R560" s="16">
        <v>23741</v>
      </c>
      <c r="S560" s="16">
        <v>23539</v>
      </c>
      <c r="T560" s="16">
        <v>24283</v>
      </c>
      <c r="U560" s="16">
        <v>23898</v>
      </c>
      <c r="V560" s="16">
        <v>23906</v>
      </c>
      <c r="W560" s="16">
        <v>24439</v>
      </c>
      <c r="X560" s="16">
        <v>24500</v>
      </c>
      <c r="Y560" s="16">
        <v>25436</v>
      </c>
      <c r="Z560" s="16">
        <v>26086</v>
      </c>
      <c r="AA560" s="16">
        <v>27785</v>
      </c>
      <c r="AB560" s="16">
        <f>34302-19</f>
        <v>34283</v>
      </c>
      <c r="AC560" s="16">
        <f>36659-568</f>
        <v>36091</v>
      </c>
      <c r="AD560" s="16">
        <f>36003-564.134</f>
        <v>35438.866</v>
      </c>
      <c r="AE560" s="16">
        <v>39049</v>
      </c>
      <c r="AF560" s="16">
        <v>38271.539</v>
      </c>
      <c r="AG560" s="16">
        <v>38271.539</v>
      </c>
      <c r="AH560" s="16">
        <v>39400</v>
      </c>
      <c r="AI560" s="16">
        <v>37275</v>
      </c>
      <c r="AJ560" s="16">
        <v>37275</v>
      </c>
      <c r="AK560" s="16">
        <v>38541</v>
      </c>
      <c r="AL560" s="104">
        <v>38541</v>
      </c>
      <c r="AM560" s="104">
        <v>40699</v>
      </c>
      <c r="AN560" s="104">
        <v>38541</v>
      </c>
      <c r="AO560" s="104">
        <v>38823</v>
      </c>
      <c r="AP560" s="104">
        <v>42322</v>
      </c>
    </row>
    <row r="561" spans="1:42" ht="15.75">
      <c r="A561" s="35" t="s">
        <v>411</v>
      </c>
      <c r="B561" s="15" t="s">
        <v>357</v>
      </c>
      <c r="C561" s="43">
        <f aca="true" t="shared" si="258" ref="C561:U561">C560</f>
        <v>0</v>
      </c>
      <c r="D561" s="43">
        <f t="shared" si="258"/>
        <v>0</v>
      </c>
      <c r="E561" s="43">
        <f t="shared" si="258"/>
        <v>0</v>
      </c>
      <c r="F561" s="43">
        <f t="shared" si="258"/>
        <v>0</v>
      </c>
      <c r="G561" s="43">
        <f t="shared" si="258"/>
        <v>9119</v>
      </c>
      <c r="H561" s="16">
        <f t="shared" si="258"/>
        <v>13369</v>
      </c>
      <c r="I561" s="16">
        <f t="shared" si="258"/>
        <v>21900</v>
      </c>
      <c r="J561" s="16">
        <f t="shared" si="258"/>
        <v>16814</v>
      </c>
      <c r="K561" s="16">
        <f t="shared" si="258"/>
        <v>16908</v>
      </c>
      <c r="L561" s="16">
        <f t="shared" si="258"/>
        <v>15424</v>
      </c>
      <c r="M561" s="16">
        <f t="shared" si="258"/>
        <v>16725</v>
      </c>
      <c r="N561" s="16">
        <f t="shared" si="258"/>
        <v>17757</v>
      </c>
      <c r="O561" s="16">
        <f t="shared" si="258"/>
        <v>18749</v>
      </c>
      <c r="P561" s="16">
        <f t="shared" si="258"/>
        <v>20464</v>
      </c>
      <c r="Q561" s="16">
        <f t="shared" si="258"/>
        <v>22040</v>
      </c>
      <c r="R561" s="16">
        <f t="shared" si="258"/>
        <v>23741</v>
      </c>
      <c r="S561" s="16">
        <f t="shared" si="258"/>
        <v>23539</v>
      </c>
      <c r="T561" s="16">
        <f t="shared" si="258"/>
        <v>24283</v>
      </c>
      <c r="U561" s="16">
        <f t="shared" si="258"/>
        <v>23898</v>
      </c>
      <c r="V561" s="16">
        <f aca="true" t="shared" si="259" ref="V561:AG561">(V560)</f>
        <v>23906</v>
      </c>
      <c r="W561" s="16">
        <f t="shared" si="259"/>
        <v>24439</v>
      </c>
      <c r="X561" s="16">
        <f t="shared" si="259"/>
        <v>24500</v>
      </c>
      <c r="Y561" s="16">
        <f t="shared" si="259"/>
        <v>25436</v>
      </c>
      <c r="Z561" s="16">
        <f t="shared" si="259"/>
        <v>26086</v>
      </c>
      <c r="AA561" s="16">
        <f t="shared" si="259"/>
        <v>27785</v>
      </c>
      <c r="AB561" s="16">
        <f t="shared" si="259"/>
        <v>34283</v>
      </c>
      <c r="AC561" s="16">
        <f t="shared" si="259"/>
        <v>36091</v>
      </c>
      <c r="AD561" s="16">
        <f t="shared" si="259"/>
        <v>35438.866</v>
      </c>
      <c r="AE561" s="16">
        <f t="shared" si="259"/>
        <v>39049</v>
      </c>
      <c r="AF561" s="16">
        <f t="shared" si="259"/>
        <v>38271.539</v>
      </c>
      <c r="AG561" s="16">
        <f t="shared" si="259"/>
        <v>38271.539</v>
      </c>
      <c r="AH561" s="16">
        <f aca="true" t="shared" si="260" ref="AH561:AP561">(AH560)</f>
        <v>39400</v>
      </c>
      <c r="AI561" s="16">
        <f t="shared" si="260"/>
        <v>37275</v>
      </c>
      <c r="AJ561" s="16">
        <f t="shared" si="260"/>
        <v>37275</v>
      </c>
      <c r="AK561" s="16">
        <f t="shared" si="260"/>
        <v>38541</v>
      </c>
      <c r="AL561" s="104">
        <f t="shared" si="260"/>
        <v>38541</v>
      </c>
      <c r="AM561" s="104">
        <f t="shared" si="260"/>
        <v>40699</v>
      </c>
      <c r="AN561" s="104">
        <f t="shared" si="260"/>
        <v>38541</v>
      </c>
      <c r="AO561" s="104">
        <f t="shared" si="260"/>
        <v>38823</v>
      </c>
      <c r="AP561" s="104">
        <f t="shared" si="260"/>
        <v>42322</v>
      </c>
    </row>
    <row r="562" spans="1:42" ht="15.75">
      <c r="A562" s="14"/>
      <c r="B562" s="15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110"/>
      <c r="AM562" s="110"/>
      <c r="AN562" s="110"/>
      <c r="AO562" s="110"/>
      <c r="AP562" s="110"/>
    </row>
    <row r="563" spans="1:42" ht="15.75">
      <c r="A563" s="35" t="s">
        <v>412</v>
      </c>
      <c r="B563" s="15" t="s">
        <v>357</v>
      </c>
      <c r="C563" s="14">
        <f aca="true" t="shared" si="261" ref="C563:U563">C561</f>
        <v>0</v>
      </c>
      <c r="D563" s="14">
        <f t="shared" si="261"/>
        <v>0</v>
      </c>
      <c r="E563" s="14">
        <f t="shared" si="261"/>
        <v>0</v>
      </c>
      <c r="F563" s="14">
        <f t="shared" si="261"/>
        <v>0</v>
      </c>
      <c r="G563" s="14">
        <f t="shared" si="261"/>
        <v>9119</v>
      </c>
      <c r="H563" s="14">
        <f t="shared" si="261"/>
        <v>13369</v>
      </c>
      <c r="I563" s="14">
        <f t="shared" si="261"/>
        <v>21900</v>
      </c>
      <c r="J563" s="14">
        <f t="shared" si="261"/>
        <v>16814</v>
      </c>
      <c r="K563" s="14">
        <f t="shared" si="261"/>
        <v>16908</v>
      </c>
      <c r="L563" s="14">
        <f t="shared" si="261"/>
        <v>15424</v>
      </c>
      <c r="M563" s="14">
        <f t="shared" si="261"/>
        <v>16725</v>
      </c>
      <c r="N563" s="14">
        <f t="shared" si="261"/>
        <v>17757</v>
      </c>
      <c r="O563" s="14">
        <f t="shared" si="261"/>
        <v>18749</v>
      </c>
      <c r="P563" s="14">
        <f t="shared" si="261"/>
        <v>20464</v>
      </c>
      <c r="Q563" s="14">
        <f t="shared" si="261"/>
        <v>22040</v>
      </c>
      <c r="R563" s="14">
        <f t="shared" si="261"/>
        <v>23741</v>
      </c>
      <c r="S563" s="14">
        <f t="shared" si="261"/>
        <v>23539</v>
      </c>
      <c r="T563" s="14">
        <f t="shared" si="261"/>
        <v>24283</v>
      </c>
      <c r="U563" s="14">
        <f t="shared" si="261"/>
        <v>23898</v>
      </c>
      <c r="V563" s="14">
        <f aca="true" t="shared" si="262" ref="V563:AA563">(V561)</f>
        <v>23906</v>
      </c>
      <c r="W563" s="14">
        <f t="shared" si="262"/>
        <v>24439</v>
      </c>
      <c r="X563" s="14">
        <f t="shared" si="262"/>
        <v>24500</v>
      </c>
      <c r="Y563" s="14">
        <f t="shared" si="262"/>
        <v>25436</v>
      </c>
      <c r="Z563" s="14">
        <f t="shared" si="262"/>
        <v>26086</v>
      </c>
      <c r="AA563" s="14">
        <f t="shared" si="262"/>
        <v>27785</v>
      </c>
      <c r="AB563" s="14">
        <f aca="true" t="shared" si="263" ref="AB563:AH563">(AB561)</f>
        <v>34283</v>
      </c>
      <c r="AC563" s="14">
        <f t="shared" si="263"/>
        <v>36091</v>
      </c>
      <c r="AD563" s="14">
        <f t="shared" si="263"/>
        <v>35438.866</v>
      </c>
      <c r="AE563" s="14">
        <f t="shared" si="263"/>
        <v>39049</v>
      </c>
      <c r="AF563" s="14">
        <f t="shared" si="263"/>
        <v>38271.539</v>
      </c>
      <c r="AG563" s="14">
        <f>(AG561)</f>
        <v>38271.539</v>
      </c>
      <c r="AH563" s="14">
        <f t="shared" si="263"/>
        <v>39400</v>
      </c>
      <c r="AI563" s="14">
        <f aca="true" t="shared" si="264" ref="AI563:AP563">(AI561)</f>
        <v>37275</v>
      </c>
      <c r="AJ563" s="14">
        <f t="shared" si="264"/>
        <v>37275</v>
      </c>
      <c r="AK563" s="14">
        <f>(AK561)</f>
        <v>38541</v>
      </c>
      <c r="AL563" s="70">
        <f t="shared" si="264"/>
        <v>38541</v>
      </c>
      <c r="AM563" s="70">
        <f t="shared" si="264"/>
        <v>40699</v>
      </c>
      <c r="AN563" s="70">
        <f t="shared" si="264"/>
        <v>38541</v>
      </c>
      <c r="AO563" s="70">
        <f>(AO561)</f>
        <v>38823</v>
      </c>
      <c r="AP563" s="70">
        <f t="shared" si="264"/>
        <v>42322</v>
      </c>
    </row>
    <row r="564" spans="1:27" ht="15.75">
      <c r="A564" s="14"/>
      <c r="B564" s="15" t="s">
        <v>357</v>
      </c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15.75" hidden="1">
      <c r="A565" s="10" t="s">
        <v>402</v>
      </c>
      <c r="B565" s="15" t="s">
        <v>357</v>
      </c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5.75" hidden="1">
      <c r="A566" s="14"/>
      <c r="B566" s="15" t="s">
        <v>357</v>
      </c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5.75" hidden="1">
      <c r="A567" s="15" t="s">
        <v>394</v>
      </c>
      <c r="B567" s="15" t="s">
        <v>357</v>
      </c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42" ht="15.75" hidden="1">
      <c r="A568" s="35" t="s">
        <v>403</v>
      </c>
      <c r="B568" s="15" t="s">
        <v>357</v>
      </c>
      <c r="C568" s="14">
        <v>0</v>
      </c>
      <c r="D568" s="14">
        <v>0</v>
      </c>
      <c r="E568" s="14">
        <v>0</v>
      </c>
      <c r="F568" s="14">
        <v>0</v>
      </c>
      <c r="G568" s="14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31</v>
      </c>
      <c r="M568" s="16">
        <v>36</v>
      </c>
      <c r="N568" s="16">
        <v>16</v>
      </c>
      <c r="O568" s="16">
        <v>12</v>
      </c>
      <c r="P568" s="16">
        <v>-42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  <c r="AH568" s="16">
        <v>0</v>
      </c>
      <c r="AI568" s="16">
        <v>0</v>
      </c>
      <c r="AJ568" s="16">
        <v>0</v>
      </c>
      <c r="AK568" s="16">
        <v>0</v>
      </c>
      <c r="AL568" s="104">
        <v>0</v>
      </c>
      <c r="AM568" s="104">
        <v>0</v>
      </c>
      <c r="AN568" s="104">
        <v>0</v>
      </c>
      <c r="AO568" s="104">
        <v>0</v>
      </c>
      <c r="AP568" s="104">
        <v>0</v>
      </c>
    </row>
    <row r="569" spans="1:42" ht="15.75" hidden="1">
      <c r="A569" s="35" t="s">
        <v>9</v>
      </c>
      <c r="B569" s="15" t="s">
        <v>357</v>
      </c>
      <c r="C569" s="14">
        <f aca="true" t="shared" si="265" ref="C569:U569">C568</f>
        <v>0</v>
      </c>
      <c r="D569" s="14">
        <f t="shared" si="265"/>
        <v>0</v>
      </c>
      <c r="E569" s="14">
        <f t="shared" si="265"/>
        <v>0</v>
      </c>
      <c r="F569" s="14">
        <f t="shared" si="265"/>
        <v>0</v>
      </c>
      <c r="G569" s="14">
        <f t="shared" si="265"/>
        <v>0</v>
      </c>
      <c r="H569" s="16">
        <f t="shared" si="265"/>
        <v>0</v>
      </c>
      <c r="I569" s="16">
        <f t="shared" si="265"/>
        <v>0</v>
      </c>
      <c r="J569" s="16">
        <f t="shared" si="265"/>
        <v>0</v>
      </c>
      <c r="K569" s="16">
        <f t="shared" si="265"/>
        <v>0</v>
      </c>
      <c r="L569" s="16">
        <f t="shared" si="265"/>
        <v>31</v>
      </c>
      <c r="M569" s="16">
        <f t="shared" si="265"/>
        <v>36</v>
      </c>
      <c r="N569" s="16">
        <f t="shared" si="265"/>
        <v>16</v>
      </c>
      <c r="O569" s="16">
        <f t="shared" si="265"/>
        <v>12</v>
      </c>
      <c r="P569" s="16">
        <f t="shared" si="265"/>
        <v>-42</v>
      </c>
      <c r="Q569" s="16">
        <f t="shared" si="265"/>
        <v>0</v>
      </c>
      <c r="R569" s="16">
        <f t="shared" si="265"/>
        <v>0</v>
      </c>
      <c r="S569" s="16">
        <f t="shared" si="265"/>
        <v>0</v>
      </c>
      <c r="T569" s="16">
        <f t="shared" si="265"/>
        <v>0</v>
      </c>
      <c r="U569" s="16">
        <f t="shared" si="265"/>
        <v>0</v>
      </c>
      <c r="V569" s="16">
        <f aca="true" t="shared" si="266" ref="V569:AG570">(V568)</f>
        <v>0</v>
      </c>
      <c r="W569" s="16">
        <f t="shared" si="266"/>
        <v>0</v>
      </c>
      <c r="X569" s="16">
        <f t="shared" si="266"/>
        <v>0</v>
      </c>
      <c r="Y569" s="16">
        <f t="shared" si="266"/>
        <v>0</v>
      </c>
      <c r="Z569" s="16">
        <f t="shared" si="266"/>
        <v>0</v>
      </c>
      <c r="AA569" s="16">
        <f t="shared" si="266"/>
        <v>0</v>
      </c>
      <c r="AB569" s="16">
        <f t="shared" si="266"/>
        <v>0</v>
      </c>
      <c r="AC569" s="16">
        <f t="shared" si="266"/>
        <v>0</v>
      </c>
      <c r="AD569" s="16">
        <f t="shared" si="266"/>
        <v>0</v>
      </c>
      <c r="AE569" s="16">
        <f t="shared" si="266"/>
        <v>0</v>
      </c>
      <c r="AF569" s="16">
        <f t="shared" si="266"/>
        <v>0</v>
      </c>
      <c r="AG569" s="16">
        <f t="shared" si="266"/>
        <v>0</v>
      </c>
      <c r="AH569" s="16">
        <f aca="true" t="shared" si="267" ref="AH569:AP570">(AH568)</f>
        <v>0</v>
      </c>
      <c r="AI569" s="16">
        <f t="shared" si="267"/>
        <v>0</v>
      </c>
      <c r="AJ569" s="16">
        <f t="shared" si="267"/>
        <v>0</v>
      </c>
      <c r="AK569" s="16">
        <f t="shared" si="267"/>
        <v>0</v>
      </c>
      <c r="AL569" s="104">
        <f t="shared" si="267"/>
        <v>0</v>
      </c>
      <c r="AM569" s="104">
        <f t="shared" si="267"/>
        <v>0</v>
      </c>
      <c r="AN569" s="104">
        <f t="shared" si="267"/>
        <v>0</v>
      </c>
      <c r="AO569" s="104">
        <f t="shared" si="267"/>
        <v>0</v>
      </c>
      <c r="AP569" s="104">
        <f t="shared" si="267"/>
        <v>0</v>
      </c>
    </row>
    <row r="570" spans="1:42" ht="15.75" hidden="1">
      <c r="A570" s="35" t="s">
        <v>10</v>
      </c>
      <c r="B570" s="15" t="s">
        <v>357</v>
      </c>
      <c r="C570" s="14">
        <f aca="true" t="shared" si="268" ref="C570:U570">C569</f>
        <v>0</v>
      </c>
      <c r="D570" s="14">
        <f t="shared" si="268"/>
        <v>0</v>
      </c>
      <c r="E570" s="14">
        <f t="shared" si="268"/>
        <v>0</v>
      </c>
      <c r="F570" s="14">
        <f t="shared" si="268"/>
        <v>0</v>
      </c>
      <c r="G570" s="14">
        <f t="shared" si="268"/>
        <v>0</v>
      </c>
      <c r="H570" s="16">
        <f t="shared" si="268"/>
        <v>0</v>
      </c>
      <c r="I570" s="16">
        <f t="shared" si="268"/>
        <v>0</v>
      </c>
      <c r="J570" s="16">
        <f t="shared" si="268"/>
        <v>0</v>
      </c>
      <c r="K570" s="16">
        <f t="shared" si="268"/>
        <v>0</v>
      </c>
      <c r="L570" s="16">
        <f t="shared" si="268"/>
        <v>31</v>
      </c>
      <c r="M570" s="16">
        <f t="shared" si="268"/>
        <v>36</v>
      </c>
      <c r="N570" s="16">
        <f t="shared" si="268"/>
        <v>16</v>
      </c>
      <c r="O570" s="16">
        <f t="shared" si="268"/>
        <v>12</v>
      </c>
      <c r="P570" s="16">
        <f t="shared" si="268"/>
        <v>-42</v>
      </c>
      <c r="Q570" s="16">
        <f t="shared" si="268"/>
        <v>0</v>
      </c>
      <c r="R570" s="16">
        <f t="shared" si="268"/>
        <v>0</v>
      </c>
      <c r="S570" s="16">
        <f t="shared" si="268"/>
        <v>0</v>
      </c>
      <c r="T570" s="16">
        <f t="shared" si="268"/>
        <v>0</v>
      </c>
      <c r="U570" s="16">
        <f t="shared" si="268"/>
        <v>0</v>
      </c>
      <c r="V570" s="16">
        <f t="shared" si="266"/>
        <v>0</v>
      </c>
      <c r="W570" s="16">
        <f t="shared" si="266"/>
        <v>0</v>
      </c>
      <c r="X570" s="16">
        <f t="shared" si="266"/>
        <v>0</v>
      </c>
      <c r="Y570" s="16">
        <f t="shared" si="266"/>
        <v>0</v>
      </c>
      <c r="Z570" s="16">
        <f t="shared" si="266"/>
        <v>0</v>
      </c>
      <c r="AA570" s="16">
        <f t="shared" si="266"/>
        <v>0</v>
      </c>
      <c r="AB570" s="16">
        <f t="shared" si="266"/>
        <v>0</v>
      </c>
      <c r="AC570" s="16">
        <f t="shared" si="266"/>
        <v>0</v>
      </c>
      <c r="AD570" s="16">
        <f t="shared" si="266"/>
        <v>0</v>
      </c>
      <c r="AE570" s="16">
        <f t="shared" si="266"/>
        <v>0</v>
      </c>
      <c r="AF570" s="16">
        <f t="shared" si="266"/>
        <v>0</v>
      </c>
      <c r="AG570" s="16">
        <f t="shared" si="266"/>
        <v>0</v>
      </c>
      <c r="AH570" s="16">
        <f t="shared" si="267"/>
        <v>0</v>
      </c>
      <c r="AI570" s="16">
        <f t="shared" si="267"/>
        <v>0</v>
      </c>
      <c r="AJ570" s="16">
        <f t="shared" si="267"/>
        <v>0</v>
      </c>
      <c r="AK570" s="16">
        <f t="shared" si="267"/>
        <v>0</v>
      </c>
      <c r="AL570" s="104">
        <f t="shared" si="267"/>
        <v>0</v>
      </c>
      <c r="AM570" s="104">
        <f t="shared" si="267"/>
        <v>0</v>
      </c>
      <c r="AN570" s="104">
        <f t="shared" si="267"/>
        <v>0</v>
      </c>
      <c r="AO570" s="104">
        <f t="shared" si="267"/>
        <v>0</v>
      </c>
      <c r="AP570" s="104">
        <f t="shared" si="267"/>
        <v>0</v>
      </c>
    </row>
    <row r="571" spans="1:42" ht="15.75">
      <c r="A571" s="14"/>
      <c r="B571" s="15" t="s">
        <v>357</v>
      </c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70"/>
      <c r="AM571" s="70"/>
      <c r="AN571" s="70"/>
      <c r="AO571" s="70"/>
      <c r="AP571" s="70"/>
    </row>
    <row r="572" spans="1:42" ht="15.75">
      <c r="A572" s="35" t="s">
        <v>93</v>
      </c>
      <c r="B572" s="15" t="s">
        <v>357</v>
      </c>
      <c r="C572" s="14">
        <f aca="true" t="shared" si="269" ref="C572:U572">C563+C570</f>
        <v>0</v>
      </c>
      <c r="D572" s="14">
        <f t="shared" si="269"/>
        <v>0</v>
      </c>
      <c r="E572" s="14">
        <f t="shared" si="269"/>
        <v>0</v>
      </c>
      <c r="F572" s="14">
        <f t="shared" si="269"/>
        <v>0</v>
      </c>
      <c r="G572" s="14">
        <f t="shared" si="269"/>
        <v>9119</v>
      </c>
      <c r="H572" s="14">
        <f t="shared" si="269"/>
        <v>13369</v>
      </c>
      <c r="I572" s="14">
        <f t="shared" si="269"/>
        <v>21900</v>
      </c>
      <c r="J572" s="14">
        <f t="shared" si="269"/>
        <v>16814</v>
      </c>
      <c r="K572" s="14">
        <f t="shared" si="269"/>
        <v>16908</v>
      </c>
      <c r="L572" s="14">
        <f t="shared" si="269"/>
        <v>15455</v>
      </c>
      <c r="M572" s="14">
        <f t="shared" si="269"/>
        <v>16761</v>
      </c>
      <c r="N572" s="14">
        <f t="shared" si="269"/>
        <v>17773</v>
      </c>
      <c r="O572" s="14">
        <f t="shared" si="269"/>
        <v>18761</v>
      </c>
      <c r="P572" s="14">
        <f t="shared" si="269"/>
        <v>20422</v>
      </c>
      <c r="Q572" s="14">
        <f t="shared" si="269"/>
        <v>22040</v>
      </c>
      <c r="R572" s="14">
        <f t="shared" si="269"/>
        <v>23741</v>
      </c>
      <c r="S572" s="14">
        <f t="shared" si="269"/>
        <v>23539</v>
      </c>
      <c r="T572" s="14">
        <f t="shared" si="269"/>
        <v>24283</v>
      </c>
      <c r="U572" s="14">
        <f t="shared" si="269"/>
        <v>23898</v>
      </c>
      <c r="V572" s="14">
        <f aca="true" t="shared" si="270" ref="V572:AA572">(V563+V570)</f>
        <v>23906</v>
      </c>
      <c r="W572" s="14">
        <f t="shared" si="270"/>
        <v>24439</v>
      </c>
      <c r="X572" s="14">
        <f t="shared" si="270"/>
        <v>24500</v>
      </c>
      <c r="Y572" s="14">
        <f t="shared" si="270"/>
        <v>25436</v>
      </c>
      <c r="Z572" s="14">
        <f t="shared" si="270"/>
        <v>26086</v>
      </c>
      <c r="AA572" s="14">
        <f t="shared" si="270"/>
        <v>27785</v>
      </c>
      <c r="AB572" s="14">
        <f aca="true" t="shared" si="271" ref="AB572:AH572">(AB563+AB570)</f>
        <v>34283</v>
      </c>
      <c r="AC572" s="14">
        <f t="shared" si="271"/>
        <v>36091</v>
      </c>
      <c r="AD572" s="14">
        <f t="shared" si="271"/>
        <v>35438.866</v>
      </c>
      <c r="AE572" s="14">
        <f t="shared" si="271"/>
        <v>39049</v>
      </c>
      <c r="AF572" s="14">
        <f t="shared" si="271"/>
        <v>38271.539</v>
      </c>
      <c r="AG572" s="14">
        <f>(AG563+AG570)</f>
        <v>38271.539</v>
      </c>
      <c r="AH572" s="14">
        <f t="shared" si="271"/>
        <v>39400</v>
      </c>
      <c r="AI572" s="14">
        <f aca="true" t="shared" si="272" ref="AI572:AP572">(AI563+AI570)</f>
        <v>37275</v>
      </c>
      <c r="AJ572" s="14">
        <f t="shared" si="272"/>
        <v>37275</v>
      </c>
      <c r="AK572" s="14">
        <f>(AK563+AK570)</f>
        <v>38541</v>
      </c>
      <c r="AL572" s="70">
        <f t="shared" si="272"/>
        <v>38541</v>
      </c>
      <c r="AM572" s="70">
        <f t="shared" si="272"/>
        <v>40699</v>
      </c>
      <c r="AN572" s="70">
        <f t="shared" si="272"/>
        <v>38541</v>
      </c>
      <c r="AO572" s="70">
        <f>(AO563+AO570)</f>
        <v>38823</v>
      </c>
      <c r="AP572" s="70">
        <f t="shared" si="272"/>
        <v>42322</v>
      </c>
    </row>
    <row r="573" spans="1:30" ht="15.75">
      <c r="A573" s="56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C573" s="14"/>
      <c r="AD573" s="14"/>
    </row>
    <row r="574" spans="1:30" ht="15.75">
      <c r="A574" s="34" t="s">
        <v>82</v>
      </c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C574" s="14"/>
      <c r="AD574" s="14"/>
    </row>
    <row r="575" spans="1:30" ht="15.75">
      <c r="A575" s="34" t="s">
        <v>83</v>
      </c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C575" s="14"/>
      <c r="AD575" s="14"/>
    </row>
    <row r="576" spans="1:30" ht="15.75">
      <c r="A576" s="10" t="s">
        <v>101</v>
      </c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C576" s="14"/>
      <c r="AD576" s="14"/>
    </row>
    <row r="577" spans="1:30" ht="15.75">
      <c r="A577" s="14"/>
      <c r="B577" s="15" t="s">
        <v>357</v>
      </c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C577" s="14"/>
      <c r="AD577" s="14"/>
    </row>
    <row r="578" spans="1:30" ht="15.75">
      <c r="A578" s="15" t="s">
        <v>102</v>
      </c>
      <c r="B578" s="15" t="s">
        <v>357</v>
      </c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C578" s="14"/>
      <c r="AD578" s="14"/>
    </row>
    <row r="579" spans="1:42" ht="15.75">
      <c r="A579" s="35" t="s">
        <v>181</v>
      </c>
      <c r="B579" s="15" t="s">
        <v>357</v>
      </c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57">
        <v>16315</v>
      </c>
      <c r="W579" s="58">
        <v>34120</v>
      </c>
      <c r="X579" s="58">
        <v>38557</v>
      </c>
      <c r="Y579" s="58">
        <v>56979</v>
      </c>
      <c r="Z579" s="58">
        <v>87690</v>
      </c>
      <c r="AA579" s="58">
        <v>109985</v>
      </c>
      <c r="AB579" s="58">
        <f>99224-53</f>
        <v>99171</v>
      </c>
      <c r="AC579" s="58">
        <v>151027</v>
      </c>
      <c r="AD579" s="58">
        <v>140359</v>
      </c>
      <c r="AE579" s="58">
        <v>274641</v>
      </c>
      <c r="AF579" s="58">
        <v>187304.265</v>
      </c>
      <c r="AG579" s="58">
        <v>187304.265</v>
      </c>
      <c r="AH579" s="58">
        <v>247666</v>
      </c>
      <c r="AI579" s="58">
        <v>193540</v>
      </c>
      <c r="AJ579" s="58">
        <v>183320</v>
      </c>
      <c r="AK579" s="58">
        <v>191774</v>
      </c>
      <c r="AL579" s="115">
        <v>191774</v>
      </c>
      <c r="AM579" s="115">
        <v>185036</v>
      </c>
      <c r="AN579" s="115">
        <v>150036</v>
      </c>
      <c r="AO579" s="115">
        <v>189251</v>
      </c>
      <c r="AP579" s="115">
        <v>186158</v>
      </c>
    </row>
    <row r="580" spans="1:42" ht="15.75">
      <c r="A580" s="35" t="s">
        <v>341</v>
      </c>
      <c r="B580" s="15" t="s">
        <v>357</v>
      </c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18"/>
      <c r="W580" s="52"/>
      <c r="X580" s="52"/>
      <c r="Y580" s="52" t="s">
        <v>194</v>
      </c>
      <c r="Z580" s="52">
        <v>5000</v>
      </c>
      <c r="AA580" s="52">
        <v>8980</v>
      </c>
      <c r="AB580" s="52">
        <v>10980</v>
      </c>
      <c r="AC580" s="52">
        <v>7980</v>
      </c>
      <c r="AD580" s="52">
        <v>7928</v>
      </c>
      <c r="AE580" s="52" t="s">
        <v>194</v>
      </c>
      <c r="AF580" s="52">
        <v>21709.165</v>
      </c>
      <c r="AG580" s="52">
        <v>21709.165</v>
      </c>
      <c r="AH580" s="52">
        <f>75000-5000</f>
        <v>70000</v>
      </c>
      <c r="AI580" s="52">
        <v>34514</v>
      </c>
      <c r="AJ580" s="52">
        <v>44734</v>
      </c>
      <c r="AK580" s="52">
        <v>34006</v>
      </c>
      <c r="AL580" s="116">
        <v>34006</v>
      </c>
      <c r="AM580" s="116">
        <v>59449</v>
      </c>
      <c r="AN580" s="116">
        <v>30747</v>
      </c>
      <c r="AO580" s="116">
        <v>34006</v>
      </c>
      <c r="AP580" s="116">
        <v>10000</v>
      </c>
    </row>
    <row r="581" spans="1:42" ht="15.75">
      <c r="A581" s="35" t="s">
        <v>411</v>
      </c>
      <c r="B581" s="15" t="s">
        <v>357</v>
      </c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52">
        <f aca="true" t="shared" si="273" ref="V581:AG581">SUM(V579:V580)</f>
        <v>16315</v>
      </c>
      <c r="W581" s="52">
        <f t="shared" si="273"/>
        <v>34120</v>
      </c>
      <c r="X581" s="52">
        <f t="shared" si="273"/>
        <v>38557</v>
      </c>
      <c r="Y581" s="52">
        <f t="shared" si="273"/>
        <v>56979</v>
      </c>
      <c r="Z581" s="52">
        <f t="shared" si="273"/>
        <v>92690</v>
      </c>
      <c r="AA581" s="52">
        <f t="shared" si="273"/>
        <v>118965</v>
      </c>
      <c r="AB581" s="52">
        <f t="shared" si="273"/>
        <v>110151</v>
      </c>
      <c r="AC581" s="52">
        <f t="shared" si="273"/>
        <v>159007</v>
      </c>
      <c r="AD581" s="52">
        <f t="shared" si="273"/>
        <v>148287</v>
      </c>
      <c r="AE581" s="52">
        <f t="shared" si="273"/>
        <v>274641</v>
      </c>
      <c r="AF581" s="52">
        <f t="shared" si="273"/>
        <v>209013.43000000002</v>
      </c>
      <c r="AG581" s="52">
        <f t="shared" si="273"/>
        <v>209013.43000000002</v>
      </c>
      <c r="AH581" s="52">
        <f aca="true" t="shared" si="274" ref="AH581:AP581">SUM(AH579:AH580)</f>
        <v>317666</v>
      </c>
      <c r="AI581" s="52">
        <f t="shared" si="274"/>
        <v>228054</v>
      </c>
      <c r="AJ581" s="52">
        <f t="shared" si="274"/>
        <v>228054</v>
      </c>
      <c r="AK581" s="52">
        <f t="shared" si="274"/>
        <v>225780</v>
      </c>
      <c r="AL581" s="116">
        <f t="shared" si="274"/>
        <v>225780</v>
      </c>
      <c r="AM581" s="116">
        <f t="shared" si="274"/>
        <v>244485</v>
      </c>
      <c r="AN581" s="116">
        <f t="shared" si="274"/>
        <v>180783</v>
      </c>
      <c r="AO581" s="116">
        <f t="shared" si="274"/>
        <v>223257</v>
      </c>
      <c r="AP581" s="116">
        <f t="shared" si="274"/>
        <v>196158</v>
      </c>
    </row>
    <row r="582" spans="1:42" ht="15.75">
      <c r="A582" s="35" t="s">
        <v>412</v>
      </c>
      <c r="B582" s="15" t="s">
        <v>357</v>
      </c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52">
        <f aca="true" t="shared" si="275" ref="V582:AG582">V581</f>
        <v>16315</v>
      </c>
      <c r="W582" s="52">
        <f t="shared" si="275"/>
        <v>34120</v>
      </c>
      <c r="X582" s="52">
        <f t="shared" si="275"/>
        <v>38557</v>
      </c>
      <c r="Y582" s="52">
        <f t="shared" si="275"/>
        <v>56979</v>
      </c>
      <c r="Z582" s="52">
        <f t="shared" si="275"/>
        <v>92690</v>
      </c>
      <c r="AA582" s="52">
        <f t="shared" si="275"/>
        <v>118965</v>
      </c>
      <c r="AB582" s="52">
        <f t="shared" si="275"/>
        <v>110151</v>
      </c>
      <c r="AC582" s="52">
        <f t="shared" si="275"/>
        <v>159007</v>
      </c>
      <c r="AD582" s="52">
        <f t="shared" si="275"/>
        <v>148287</v>
      </c>
      <c r="AE582" s="52">
        <f t="shared" si="275"/>
        <v>274641</v>
      </c>
      <c r="AF582" s="52">
        <f t="shared" si="275"/>
        <v>209013.43000000002</v>
      </c>
      <c r="AG582" s="52">
        <f t="shared" si="275"/>
        <v>209013.43000000002</v>
      </c>
      <c r="AH582" s="52">
        <f aca="true" t="shared" si="276" ref="AH582:AP582">AH581</f>
        <v>317666</v>
      </c>
      <c r="AI582" s="52">
        <f t="shared" si="276"/>
        <v>228054</v>
      </c>
      <c r="AJ582" s="52">
        <f t="shared" si="276"/>
        <v>228054</v>
      </c>
      <c r="AK582" s="52">
        <f t="shared" si="276"/>
        <v>225780</v>
      </c>
      <c r="AL582" s="116">
        <f t="shared" si="276"/>
        <v>225780</v>
      </c>
      <c r="AM582" s="116">
        <f t="shared" si="276"/>
        <v>244485</v>
      </c>
      <c r="AN582" s="116">
        <f t="shared" si="276"/>
        <v>180783</v>
      </c>
      <c r="AO582" s="116">
        <f t="shared" si="276"/>
        <v>223257</v>
      </c>
      <c r="AP582" s="116">
        <f t="shared" si="276"/>
        <v>196158</v>
      </c>
    </row>
    <row r="583" spans="1:30" ht="15.75">
      <c r="A583" s="14"/>
      <c r="B583" s="15" t="s">
        <v>357</v>
      </c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36"/>
      <c r="W583" s="36"/>
      <c r="X583" s="36"/>
      <c r="Y583" s="36"/>
      <c r="Z583" s="36"/>
      <c r="AA583" s="36"/>
      <c r="AB583" s="36"/>
      <c r="AC583" s="14"/>
      <c r="AD583" s="14"/>
    </row>
    <row r="584" spans="1:30" ht="15.75">
      <c r="A584" s="10" t="s">
        <v>402</v>
      </c>
      <c r="B584" s="15" t="s">
        <v>357</v>
      </c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59" t="s">
        <v>298</v>
      </c>
      <c r="Z584" s="14"/>
      <c r="AA584" s="14"/>
      <c r="AB584" s="14"/>
      <c r="AC584" s="14"/>
      <c r="AD584" s="14"/>
    </row>
    <row r="585" spans="1:30" ht="15.75">
      <c r="A585" s="14"/>
      <c r="B585" s="15" t="s">
        <v>357</v>
      </c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59" t="s">
        <v>299</v>
      </c>
      <c r="Z585" s="14"/>
      <c r="AA585" s="14"/>
      <c r="AB585" s="14"/>
      <c r="AC585" s="14"/>
      <c r="AD585" s="14"/>
    </row>
    <row r="586" spans="1:30" ht="15.75">
      <c r="A586" s="15" t="s">
        <v>394</v>
      </c>
      <c r="B586" s="15" t="s">
        <v>357</v>
      </c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59" t="s">
        <v>284</v>
      </c>
      <c r="Z586" s="14"/>
      <c r="AA586" s="14"/>
      <c r="AB586" s="14"/>
      <c r="AC586" s="14"/>
      <c r="AD586" s="14"/>
    </row>
    <row r="587" spans="1:30" ht="15.75">
      <c r="A587" s="35" t="s">
        <v>182</v>
      </c>
      <c r="B587" s="15" t="s">
        <v>357</v>
      </c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81" t="s">
        <v>183</v>
      </c>
      <c r="W587" s="16">
        <v>23620</v>
      </c>
      <c r="X587" s="16">
        <v>19725</v>
      </c>
      <c r="Y587" s="16">
        <v>23401</v>
      </c>
      <c r="AC587" s="14"/>
      <c r="AD587" s="14"/>
    </row>
    <row r="588" spans="1:30" ht="15.75">
      <c r="A588" s="35" t="s">
        <v>9</v>
      </c>
      <c r="B588" s="15" t="s">
        <v>357</v>
      </c>
      <c r="C588" s="14">
        <f aca="true" t="shared" si="277" ref="C588:R588">SUM(C586:C587)</f>
        <v>0</v>
      </c>
      <c r="D588" s="14">
        <f t="shared" si="277"/>
        <v>0</v>
      </c>
      <c r="E588" s="14">
        <f t="shared" si="277"/>
        <v>0</v>
      </c>
      <c r="F588" s="14">
        <f t="shared" si="277"/>
        <v>0</v>
      </c>
      <c r="G588" s="14">
        <f t="shared" si="277"/>
        <v>0</v>
      </c>
      <c r="H588" s="14">
        <f t="shared" si="277"/>
        <v>0</v>
      </c>
      <c r="I588" s="14">
        <f t="shared" si="277"/>
        <v>0</v>
      </c>
      <c r="J588" s="14">
        <f t="shared" si="277"/>
        <v>0</v>
      </c>
      <c r="K588" s="14">
        <f t="shared" si="277"/>
        <v>0</v>
      </c>
      <c r="L588" s="14">
        <f t="shared" si="277"/>
        <v>0</v>
      </c>
      <c r="M588" s="14">
        <f t="shared" si="277"/>
        <v>0</v>
      </c>
      <c r="N588" s="14">
        <f t="shared" si="277"/>
        <v>0</v>
      </c>
      <c r="O588" s="14">
        <f t="shared" si="277"/>
        <v>0</v>
      </c>
      <c r="P588" s="14">
        <f t="shared" si="277"/>
        <v>0</v>
      </c>
      <c r="Q588" s="14">
        <f t="shared" si="277"/>
        <v>0</v>
      </c>
      <c r="R588" s="14">
        <f t="shared" si="277"/>
        <v>0</v>
      </c>
      <c r="S588" s="14">
        <f>SUM(S586:S587)</f>
        <v>0</v>
      </c>
      <c r="T588" s="14">
        <f>SUM(T586:T587)</f>
        <v>0</v>
      </c>
      <c r="U588" s="14">
        <f>SUM(U586:U587)</f>
        <v>0</v>
      </c>
      <c r="V588" s="14">
        <f>(SUM(V586:V587))</f>
        <v>0</v>
      </c>
      <c r="W588" s="14">
        <f>(SUM(W586:W587))</f>
        <v>23620</v>
      </c>
      <c r="X588" s="14">
        <f>(SUM(X586:X587))</f>
        <v>19725</v>
      </c>
      <c r="Y588" s="14">
        <f>(SUM(Y586:Y587))</f>
        <v>23401</v>
      </c>
      <c r="Z588" s="14"/>
      <c r="AA588" s="14"/>
      <c r="AB588" s="14"/>
      <c r="AC588" s="14"/>
      <c r="AD588" s="14"/>
    </row>
    <row r="589" spans="1:30" ht="15.75" outlineLevel="1">
      <c r="A589" s="14"/>
      <c r="B589" s="15" t="s">
        <v>357</v>
      </c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</row>
    <row r="590" spans="1:30" ht="15.75" outlineLevel="1">
      <c r="A590" s="15" t="s">
        <v>316</v>
      </c>
      <c r="B590" s="15" t="s">
        <v>357</v>
      </c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</row>
    <row r="591" spans="1:30" ht="15.75" outlineLevel="1">
      <c r="A591" s="35" t="s">
        <v>424</v>
      </c>
      <c r="B591" s="15" t="s">
        <v>357</v>
      </c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>
        <v>39300</v>
      </c>
      <c r="Y591" s="14"/>
      <c r="Z591" s="14"/>
      <c r="AA591" s="14"/>
      <c r="AB591" s="14"/>
      <c r="AC591" s="14"/>
      <c r="AD591" s="14"/>
    </row>
    <row r="592" spans="1:30" ht="15.75" outlineLevel="1">
      <c r="A592" s="35" t="s">
        <v>337</v>
      </c>
      <c r="B592" s="15" t="s">
        <v>357</v>
      </c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>
        <v>2157</v>
      </c>
      <c r="X592" s="14">
        <v>4554</v>
      </c>
      <c r="Y592" s="14">
        <v>2116</v>
      </c>
      <c r="Z592" s="14"/>
      <c r="AA592" s="14"/>
      <c r="AB592" s="14"/>
      <c r="AC592" s="14"/>
      <c r="AD592" s="14"/>
    </row>
    <row r="593" spans="1:30" ht="15.75" outlineLevel="1">
      <c r="A593" s="35" t="s">
        <v>433</v>
      </c>
      <c r="B593" s="15" t="s">
        <v>357</v>
      </c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>
        <v>482031</v>
      </c>
      <c r="X593" s="39">
        <v>448451</v>
      </c>
      <c r="Y593" s="39">
        <v>437698</v>
      </c>
      <c r="Z593" s="39"/>
      <c r="AA593" s="39"/>
      <c r="AB593" s="39"/>
      <c r="AC593" s="14"/>
      <c r="AD593" s="14"/>
    </row>
    <row r="594" spans="1:42" ht="15.75" outlineLevel="1">
      <c r="A594" s="35" t="s">
        <v>126</v>
      </c>
      <c r="B594" s="15" t="s">
        <v>357</v>
      </c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>
        <v>0</v>
      </c>
      <c r="AA594" s="14">
        <v>0</v>
      </c>
      <c r="AB594" s="14">
        <v>0</v>
      </c>
      <c r="AC594" s="14">
        <v>6700</v>
      </c>
      <c r="AD594" s="14">
        <v>0</v>
      </c>
      <c r="AE594" s="14">
        <v>0</v>
      </c>
      <c r="AF594" s="14"/>
      <c r="AG594" s="14"/>
      <c r="AH594" s="14">
        <v>0</v>
      </c>
      <c r="AI594" s="14">
        <v>6000</v>
      </c>
      <c r="AJ594" s="14"/>
      <c r="AK594" s="14"/>
      <c r="AL594" s="70"/>
      <c r="AM594" s="70">
        <v>0</v>
      </c>
      <c r="AN594" s="70">
        <v>6000</v>
      </c>
      <c r="AO594" s="70">
        <v>6000</v>
      </c>
      <c r="AP594" s="70">
        <v>0</v>
      </c>
    </row>
    <row r="595" spans="1:42" ht="15.75" outlineLevel="1">
      <c r="A595" s="35" t="s">
        <v>127</v>
      </c>
      <c r="B595" s="15" t="s">
        <v>357</v>
      </c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>
        <v>32053</v>
      </c>
      <c r="Z595" s="14">
        <v>6</v>
      </c>
      <c r="AA595" s="14">
        <v>0</v>
      </c>
      <c r="AB595" s="14">
        <v>0</v>
      </c>
      <c r="AC595" s="14">
        <v>0</v>
      </c>
      <c r="AD595" s="14">
        <v>0</v>
      </c>
      <c r="AE595" s="14"/>
      <c r="AF595" s="14"/>
      <c r="AG595" s="14"/>
      <c r="AH595" s="14"/>
      <c r="AI595" s="14"/>
      <c r="AJ595" s="14"/>
      <c r="AK595" s="14"/>
      <c r="AL595" s="70"/>
      <c r="AM595" s="70"/>
      <c r="AN595" s="70"/>
      <c r="AO595" s="70"/>
      <c r="AP595" s="70"/>
    </row>
    <row r="596" spans="1:42" ht="15.75" outlineLevel="1">
      <c r="A596" s="35" t="s">
        <v>439</v>
      </c>
      <c r="B596" s="15" t="s">
        <v>357</v>
      </c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>
        <v>54109</v>
      </c>
      <c r="AA596" s="14">
        <v>70758</v>
      </c>
      <c r="AB596" s="14">
        <v>252762</v>
      </c>
      <c r="AC596" s="14">
        <v>261912</v>
      </c>
      <c r="AD596" s="14">
        <v>238090</v>
      </c>
      <c r="AE596" s="14">
        <v>274510</v>
      </c>
      <c r="AF596" s="14">
        <v>252307</v>
      </c>
      <c r="AG596" s="39">
        <v>214692</v>
      </c>
      <c r="AH596" s="39">
        <v>133871</v>
      </c>
      <c r="AI596" s="39">
        <v>220514</v>
      </c>
      <c r="AJ596" s="39">
        <v>168198</v>
      </c>
      <c r="AK596" s="39">
        <v>98296</v>
      </c>
      <c r="AL596" s="105">
        <v>98296</v>
      </c>
      <c r="AM596" s="105">
        <v>185968</v>
      </c>
      <c r="AN596" s="105">
        <v>141041</v>
      </c>
      <c r="AO596" s="105">
        <v>141041</v>
      </c>
      <c r="AP596" s="105">
        <v>148347</v>
      </c>
    </row>
    <row r="597" spans="1:42" ht="15.75" outlineLevel="1">
      <c r="A597" s="35" t="s">
        <v>434</v>
      </c>
      <c r="B597" s="15" t="s">
        <v>357</v>
      </c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39"/>
      <c r="R597" s="39"/>
      <c r="S597" s="39"/>
      <c r="T597" s="39"/>
      <c r="U597" s="39"/>
      <c r="V597" s="16"/>
      <c r="W597" s="16"/>
      <c r="X597" s="16"/>
      <c r="Y597" s="16"/>
      <c r="Z597" s="16">
        <v>15819</v>
      </c>
      <c r="AA597" s="16">
        <v>30894</v>
      </c>
      <c r="AB597" s="16">
        <v>71828</v>
      </c>
      <c r="AC597" s="16">
        <v>74428</v>
      </c>
      <c r="AD597" s="16">
        <v>119145</v>
      </c>
      <c r="AE597" s="16">
        <v>78008</v>
      </c>
      <c r="AF597" s="16">
        <v>126293</v>
      </c>
      <c r="AG597" s="16">
        <v>63272</v>
      </c>
      <c r="AH597" s="16">
        <v>133871</v>
      </c>
      <c r="AI597" s="16">
        <v>72554</v>
      </c>
      <c r="AJ597" s="16">
        <v>56019</v>
      </c>
      <c r="AK597" s="16">
        <v>33185</v>
      </c>
      <c r="AL597" s="104">
        <v>33185</v>
      </c>
      <c r="AM597" s="104">
        <v>61937</v>
      </c>
      <c r="AN597" s="104">
        <v>46974</v>
      </c>
      <c r="AO597" s="104">
        <v>46974</v>
      </c>
      <c r="AP597" s="104">
        <v>49407</v>
      </c>
    </row>
    <row r="598" spans="1:42" ht="15.75" outlineLevel="1">
      <c r="A598" s="35" t="s">
        <v>251</v>
      </c>
      <c r="B598" s="15" t="s">
        <v>357</v>
      </c>
      <c r="C598" s="16"/>
      <c r="D598" s="16"/>
      <c r="E598" s="16"/>
      <c r="F598" s="16"/>
      <c r="G598" s="16"/>
      <c r="H598" s="16">
        <f aca="true" t="shared" si="278" ref="H598:P598">H592+H597</f>
        <v>0</v>
      </c>
      <c r="I598" s="16">
        <f t="shared" si="278"/>
        <v>0</v>
      </c>
      <c r="J598" s="16">
        <f t="shared" si="278"/>
        <v>0</v>
      </c>
      <c r="K598" s="16">
        <f t="shared" si="278"/>
        <v>0</v>
      </c>
      <c r="L598" s="16">
        <f t="shared" si="278"/>
        <v>0</v>
      </c>
      <c r="M598" s="16">
        <f t="shared" si="278"/>
        <v>0</v>
      </c>
      <c r="N598" s="16">
        <f t="shared" si="278"/>
        <v>0</v>
      </c>
      <c r="O598" s="16">
        <f t="shared" si="278"/>
        <v>0</v>
      </c>
      <c r="P598" s="16">
        <f t="shared" si="278"/>
        <v>0</v>
      </c>
      <c r="Q598" s="39"/>
      <c r="R598" s="39"/>
      <c r="S598" s="39"/>
      <c r="T598" s="39"/>
      <c r="U598" s="39"/>
      <c r="V598" s="16">
        <f>(V592+V597)</f>
        <v>0</v>
      </c>
      <c r="W598" s="16">
        <f aca="true" t="shared" si="279" ref="W598:AG598">SUM(W591:W597)</f>
        <v>484188</v>
      </c>
      <c r="X598" s="16">
        <f t="shared" si="279"/>
        <v>492305</v>
      </c>
      <c r="Y598" s="16">
        <f t="shared" si="279"/>
        <v>471867</v>
      </c>
      <c r="Z598" s="16">
        <f t="shared" si="279"/>
        <v>69934</v>
      </c>
      <c r="AA598" s="16">
        <f t="shared" si="279"/>
        <v>101652</v>
      </c>
      <c r="AB598" s="16">
        <f t="shared" si="279"/>
        <v>324590</v>
      </c>
      <c r="AC598" s="16">
        <f t="shared" si="279"/>
        <v>343040</v>
      </c>
      <c r="AD598" s="16">
        <f t="shared" si="279"/>
        <v>357235</v>
      </c>
      <c r="AE598" s="16">
        <f t="shared" si="279"/>
        <v>352518</v>
      </c>
      <c r="AF598" s="16">
        <f t="shared" si="279"/>
        <v>378600</v>
      </c>
      <c r="AG598" s="16">
        <f t="shared" si="279"/>
        <v>277964</v>
      </c>
      <c r="AH598" s="16">
        <f aca="true" t="shared" si="280" ref="AH598:AP598">SUM(AH591:AH597)</f>
        <v>267742</v>
      </c>
      <c r="AI598" s="16">
        <f t="shared" si="280"/>
        <v>299068</v>
      </c>
      <c r="AJ598" s="16">
        <f t="shared" si="280"/>
        <v>224217</v>
      </c>
      <c r="AK598" s="16">
        <f t="shared" si="280"/>
        <v>131481</v>
      </c>
      <c r="AL598" s="104">
        <f t="shared" si="280"/>
        <v>131481</v>
      </c>
      <c r="AM598" s="104">
        <f t="shared" si="280"/>
        <v>247905</v>
      </c>
      <c r="AN598" s="104">
        <f t="shared" si="280"/>
        <v>194015</v>
      </c>
      <c r="AO598" s="104">
        <f t="shared" si="280"/>
        <v>194015</v>
      </c>
      <c r="AP598" s="104">
        <f t="shared" si="280"/>
        <v>197754</v>
      </c>
    </row>
    <row r="599" spans="1:42" ht="15.75" outlineLevel="1">
      <c r="A599" s="35" t="s">
        <v>10</v>
      </c>
      <c r="B599" s="15" t="s">
        <v>357</v>
      </c>
      <c r="C599" s="43">
        <f aca="true" t="shared" si="281" ref="C599:P599">C588+C598</f>
        <v>0</v>
      </c>
      <c r="D599" s="43">
        <f t="shared" si="281"/>
        <v>0</v>
      </c>
      <c r="E599" s="43">
        <f t="shared" si="281"/>
        <v>0</v>
      </c>
      <c r="F599" s="43">
        <f t="shared" si="281"/>
        <v>0</v>
      </c>
      <c r="G599" s="43">
        <f t="shared" si="281"/>
        <v>0</v>
      </c>
      <c r="H599" s="16">
        <f t="shared" si="281"/>
        <v>0</v>
      </c>
      <c r="I599" s="16">
        <f t="shared" si="281"/>
        <v>0</v>
      </c>
      <c r="J599" s="16">
        <f t="shared" si="281"/>
        <v>0</v>
      </c>
      <c r="K599" s="16">
        <f t="shared" si="281"/>
        <v>0</v>
      </c>
      <c r="L599" s="16">
        <f t="shared" si="281"/>
        <v>0</v>
      </c>
      <c r="M599" s="16">
        <f t="shared" si="281"/>
        <v>0</v>
      </c>
      <c r="N599" s="16">
        <f t="shared" si="281"/>
        <v>0</v>
      </c>
      <c r="O599" s="16">
        <f t="shared" si="281"/>
        <v>0</v>
      </c>
      <c r="P599" s="16">
        <f t="shared" si="281"/>
        <v>0</v>
      </c>
      <c r="Q599" s="39"/>
      <c r="R599" s="39"/>
      <c r="S599" s="39"/>
      <c r="T599" s="39"/>
      <c r="U599" s="39"/>
      <c r="V599" s="16">
        <f aca="true" t="shared" si="282" ref="V599:AG599">(V588+V598)</f>
        <v>0</v>
      </c>
      <c r="W599" s="16">
        <f t="shared" si="282"/>
        <v>507808</v>
      </c>
      <c r="X599" s="16">
        <f t="shared" si="282"/>
        <v>512030</v>
      </c>
      <c r="Y599" s="16">
        <f t="shared" si="282"/>
        <v>495268</v>
      </c>
      <c r="Z599" s="16">
        <f t="shared" si="282"/>
        <v>69934</v>
      </c>
      <c r="AA599" s="16">
        <f t="shared" si="282"/>
        <v>101652</v>
      </c>
      <c r="AB599" s="16">
        <f t="shared" si="282"/>
        <v>324590</v>
      </c>
      <c r="AC599" s="16">
        <f t="shared" si="282"/>
        <v>343040</v>
      </c>
      <c r="AD599" s="16">
        <f t="shared" si="282"/>
        <v>357235</v>
      </c>
      <c r="AE599" s="16">
        <f t="shared" si="282"/>
        <v>352518</v>
      </c>
      <c r="AF599" s="16">
        <f t="shared" si="282"/>
        <v>378600</v>
      </c>
      <c r="AG599" s="16">
        <f t="shared" si="282"/>
        <v>277964</v>
      </c>
      <c r="AH599" s="16">
        <f aca="true" t="shared" si="283" ref="AH599:AP599">(AH588+AH598)</f>
        <v>267742</v>
      </c>
      <c r="AI599" s="16">
        <f t="shared" si="283"/>
        <v>299068</v>
      </c>
      <c r="AJ599" s="16">
        <f t="shared" si="283"/>
        <v>224217</v>
      </c>
      <c r="AK599" s="16">
        <f t="shared" si="283"/>
        <v>131481</v>
      </c>
      <c r="AL599" s="104">
        <f t="shared" si="283"/>
        <v>131481</v>
      </c>
      <c r="AM599" s="104">
        <f t="shared" si="283"/>
        <v>247905</v>
      </c>
      <c r="AN599" s="104">
        <f t="shared" si="283"/>
        <v>194015</v>
      </c>
      <c r="AO599" s="104">
        <f t="shared" si="283"/>
        <v>194015</v>
      </c>
      <c r="AP599" s="104">
        <f t="shared" si="283"/>
        <v>197754</v>
      </c>
    </row>
    <row r="600" spans="1:30" ht="15.75" outlineLevel="1">
      <c r="A600" s="14"/>
      <c r="B600" s="15" t="s">
        <v>357</v>
      </c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</row>
    <row r="601" spans="1:42" ht="15.75" outlineLevel="1">
      <c r="A601" s="15" t="s">
        <v>184</v>
      </c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36">
        <f>V582</f>
        <v>16315</v>
      </c>
      <c r="W601" s="36">
        <f aca="true" t="shared" si="284" ref="W601:AP601">W582+W599</f>
        <v>541928</v>
      </c>
      <c r="X601" s="36">
        <f t="shared" si="284"/>
        <v>550587</v>
      </c>
      <c r="Y601" s="36">
        <f t="shared" si="284"/>
        <v>552247</v>
      </c>
      <c r="Z601" s="36">
        <f t="shared" si="284"/>
        <v>162624</v>
      </c>
      <c r="AA601" s="36">
        <f t="shared" si="284"/>
        <v>220617</v>
      </c>
      <c r="AB601" s="36">
        <f t="shared" si="284"/>
        <v>434741</v>
      </c>
      <c r="AC601" s="36">
        <f t="shared" si="284"/>
        <v>502047</v>
      </c>
      <c r="AD601" s="36">
        <f t="shared" si="284"/>
        <v>505522</v>
      </c>
      <c r="AE601" s="36">
        <f t="shared" si="284"/>
        <v>627159</v>
      </c>
      <c r="AF601" s="36">
        <f t="shared" si="284"/>
        <v>587613.43</v>
      </c>
      <c r="AG601" s="36">
        <f t="shared" si="284"/>
        <v>486977.43000000005</v>
      </c>
      <c r="AH601" s="36">
        <f t="shared" si="284"/>
        <v>585408</v>
      </c>
      <c r="AI601" s="36">
        <f t="shared" si="284"/>
        <v>527122</v>
      </c>
      <c r="AJ601" s="36">
        <f t="shared" si="284"/>
        <v>452271</v>
      </c>
      <c r="AK601" s="36">
        <f t="shared" si="284"/>
        <v>357261</v>
      </c>
      <c r="AL601" s="110">
        <f t="shared" si="284"/>
        <v>357261</v>
      </c>
      <c r="AM601" s="110">
        <f t="shared" si="284"/>
        <v>492390</v>
      </c>
      <c r="AN601" s="110">
        <f t="shared" si="284"/>
        <v>374798</v>
      </c>
      <c r="AO601" s="110">
        <f>AO582+AO599</f>
        <v>417272</v>
      </c>
      <c r="AP601" s="110">
        <f t="shared" si="284"/>
        <v>393912</v>
      </c>
    </row>
    <row r="602" spans="1:30" ht="15.75" outlineLevel="1">
      <c r="A602" s="56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C602" s="14"/>
      <c r="AD602" s="14"/>
    </row>
    <row r="603" spans="1:30" ht="15.75" outlineLevel="1">
      <c r="A603" s="34" t="s">
        <v>185</v>
      </c>
      <c r="B603" s="15" t="s">
        <v>357</v>
      </c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C603" s="14"/>
      <c r="AD603" s="14"/>
    </row>
    <row r="604" spans="1:30" ht="15.75" outlineLevel="1">
      <c r="A604" s="14"/>
      <c r="B604" s="15" t="s">
        <v>357</v>
      </c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C604" s="14"/>
      <c r="AD604" s="14"/>
    </row>
    <row r="605" spans="1:30" ht="15.75" outlineLevel="1">
      <c r="A605" s="10" t="s">
        <v>101</v>
      </c>
      <c r="B605" s="15" t="s">
        <v>357</v>
      </c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C605" s="14"/>
      <c r="AD605" s="14"/>
    </row>
    <row r="606" spans="1:30" ht="15.75" outlineLevel="1">
      <c r="A606" s="14"/>
      <c r="B606" s="15" t="s">
        <v>357</v>
      </c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C606" s="14"/>
      <c r="AD606" s="14"/>
    </row>
    <row r="607" spans="1:30" ht="15.75" outlineLevel="1">
      <c r="A607" s="15" t="s">
        <v>102</v>
      </c>
      <c r="B607" s="15" t="s">
        <v>357</v>
      </c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C607" s="14"/>
      <c r="AD607" s="14"/>
    </row>
    <row r="608" spans="25:30" ht="15.75">
      <c r="Y608" s="14"/>
      <c r="Z608" s="14"/>
      <c r="AA608" s="14"/>
      <c r="AB608" s="14"/>
      <c r="AC608" s="14"/>
      <c r="AD608" s="14"/>
    </row>
    <row r="609" spans="1:42" ht="15.75" outlineLevel="1">
      <c r="A609" s="35" t="s">
        <v>411</v>
      </c>
      <c r="B609" s="15" t="s">
        <v>357</v>
      </c>
      <c r="C609" s="14">
        <f aca="true" t="shared" si="285" ref="C609:O609">C616</f>
        <v>0</v>
      </c>
      <c r="D609" s="14">
        <f t="shared" si="285"/>
        <v>0</v>
      </c>
      <c r="E609" s="14">
        <f t="shared" si="285"/>
        <v>0</v>
      </c>
      <c r="F609" s="14">
        <f t="shared" si="285"/>
        <v>0</v>
      </c>
      <c r="G609" s="14">
        <f t="shared" si="285"/>
        <v>0</v>
      </c>
      <c r="H609" s="16">
        <f t="shared" si="285"/>
        <v>0</v>
      </c>
      <c r="I609" s="16">
        <f t="shared" si="285"/>
        <v>0</v>
      </c>
      <c r="J609" s="16">
        <f t="shared" si="285"/>
        <v>0</v>
      </c>
      <c r="K609" s="16">
        <f t="shared" si="285"/>
        <v>0</v>
      </c>
      <c r="L609" s="16">
        <f t="shared" si="285"/>
        <v>0</v>
      </c>
      <c r="M609" s="16">
        <f t="shared" si="285"/>
        <v>0</v>
      </c>
      <c r="N609" s="16">
        <f t="shared" si="285"/>
        <v>0</v>
      </c>
      <c r="O609" s="16">
        <f t="shared" si="285"/>
        <v>0</v>
      </c>
      <c r="P609" s="16">
        <v>750</v>
      </c>
      <c r="Q609" s="16">
        <v>1247</v>
      </c>
      <c r="R609" s="16">
        <v>2190</v>
      </c>
      <c r="S609" s="16">
        <v>2040</v>
      </c>
      <c r="T609" s="16">
        <v>1000</v>
      </c>
      <c r="U609" s="16">
        <v>998</v>
      </c>
      <c r="V609" s="16">
        <v>999</v>
      </c>
      <c r="W609" s="16">
        <v>1000</v>
      </c>
      <c r="X609" s="16">
        <v>1000</v>
      </c>
      <c r="Y609" s="16"/>
      <c r="Z609" s="16"/>
      <c r="AA609" s="16"/>
      <c r="AB609" s="16"/>
      <c r="AC609" s="16">
        <v>2000</v>
      </c>
      <c r="AD609" s="16">
        <v>0</v>
      </c>
      <c r="AE609" s="16">
        <v>0</v>
      </c>
      <c r="AF609" s="16">
        <v>0</v>
      </c>
      <c r="AG609" s="16">
        <v>0</v>
      </c>
      <c r="AH609" s="16">
        <v>0</v>
      </c>
      <c r="AI609" s="16">
        <v>0</v>
      </c>
      <c r="AJ609" s="16">
        <v>0</v>
      </c>
      <c r="AK609" s="16">
        <v>0</v>
      </c>
      <c r="AL609" s="104">
        <v>0</v>
      </c>
      <c r="AM609" s="104">
        <v>0</v>
      </c>
      <c r="AN609" s="104">
        <v>0</v>
      </c>
      <c r="AO609" s="104">
        <v>0</v>
      </c>
      <c r="AP609" s="104">
        <v>0</v>
      </c>
    </row>
    <row r="610" spans="1:42" ht="15.75" outlineLevel="1">
      <c r="A610" s="35" t="s">
        <v>412</v>
      </c>
      <c r="B610" s="15" t="s">
        <v>357</v>
      </c>
      <c r="C610" s="43">
        <f aca="true" t="shared" si="286" ref="C610:U610">C609</f>
        <v>0</v>
      </c>
      <c r="D610" s="43">
        <f t="shared" si="286"/>
        <v>0</v>
      </c>
      <c r="E610" s="43">
        <f t="shared" si="286"/>
        <v>0</v>
      </c>
      <c r="F610" s="43">
        <f t="shared" si="286"/>
        <v>0</v>
      </c>
      <c r="G610" s="43">
        <f t="shared" si="286"/>
        <v>0</v>
      </c>
      <c r="H610" s="16">
        <f t="shared" si="286"/>
        <v>0</v>
      </c>
      <c r="I610" s="16">
        <f t="shared" si="286"/>
        <v>0</v>
      </c>
      <c r="J610" s="16">
        <f t="shared" si="286"/>
        <v>0</v>
      </c>
      <c r="K610" s="16">
        <f t="shared" si="286"/>
        <v>0</v>
      </c>
      <c r="L610" s="16">
        <f t="shared" si="286"/>
        <v>0</v>
      </c>
      <c r="M610" s="16">
        <f t="shared" si="286"/>
        <v>0</v>
      </c>
      <c r="N610" s="16">
        <f t="shared" si="286"/>
        <v>0</v>
      </c>
      <c r="O610" s="16">
        <f t="shared" si="286"/>
        <v>0</v>
      </c>
      <c r="P610" s="16">
        <f t="shared" si="286"/>
        <v>750</v>
      </c>
      <c r="Q610" s="16">
        <f t="shared" si="286"/>
        <v>1247</v>
      </c>
      <c r="R610" s="16">
        <f t="shared" si="286"/>
        <v>2190</v>
      </c>
      <c r="S610" s="16">
        <f t="shared" si="286"/>
        <v>2040</v>
      </c>
      <c r="T610" s="16">
        <f t="shared" si="286"/>
        <v>1000</v>
      </c>
      <c r="U610" s="16">
        <f t="shared" si="286"/>
        <v>998</v>
      </c>
      <c r="V610" s="16">
        <f aca="true" t="shared" si="287" ref="V610:AG610">(V609)</f>
        <v>999</v>
      </c>
      <c r="W610" s="16">
        <f t="shared" si="287"/>
        <v>1000</v>
      </c>
      <c r="X610" s="16">
        <f t="shared" si="287"/>
        <v>1000</v>
      </c>
      <c r="Y610" s="16">
        <f t="shared" si="287"/>
        <v>0</v>
      </c>
      <c r="Z610" s="16">
        <f t="shared" si="287"/>
        <v>0</v>
      </c>
      <c r="AA610" s="16">
        <f t="shared" si="287"/>
        <v>0</v>
      </c>
      <c r="AB610" s="16">
        <f t="shared" si="287"/>
        <v>0</v>
      </c>
      <c r="AC610" s="16">
        <f t="shared" si="287"/>
        <v>2000</v>
      </c>
      <c r="AD610" s="16">
        <f t="shared" si="287"/>
        <v>0</v>
      </c>
      <c r="AE610" s="16">
        <f t="shared" si="287"/>
        <v>0</v>
      </c>
      <c r="AF610" s="16">
        <f t="shared" si="287"/>
        <v>0</v>
      </c>
      <c r="AG610" s="16">
        <f t="shared" si="287"/>
        <v>0</v>
      </c>
      <c r="AH610" s="16">
        <f aca="true" t="shared" si="288" ref="AH610:AP610">(AH609)</f>
        <v>0</v>
      </c>
      <c r="AI610" s="16">
        <f t="shared" si="288"/>
        <v>0</v>
      </c>
      <c r="AJ610" s="16">
        <f t="shared" si="288"/>
        <v>0</v>
      </c>
      <c r="AK610" s="16">
        <v>0</v>
      </c>
      <c r="AL610" s="104">
        <f t="shared" si="288"/>
        <v>0</v>
      </c>
      <c r="AM610" s="104">
        <f t="shared" si="288"/>
        <v>0</v>
      </c>
      <c r="AN610" s="104">
        <f t="shared" si="288"/>
        <v>0</v>
      </c>
      <c r="AO610" s="104">
        <f t="shared" si="288"/>
        <v>0</v>
      </c>
      <c r="AP610" s="104">
        <f t="shared" si="288"/>
        <v>0</v>
      </c>
    </row>
    <row r="611" spans="1:30" ht="15.75" outlineLevel="1">
      <c r="A611" s="35"/>
      <c r="B611" s="15"/>
      <c r="C611" s="14"/>
      <c r="D611" s="14"/>
      <c r="E611" s="14"/>
      <c r="F611" s="14"/>
      <c r="G611" s="14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</row>
    <row r="612" spans="1:30" ht="15.75" outlineLevel="1">
      <c r="A612" s="10" t="s">
        <v>402</v>
      </c>
      <c r="B612" s="15" t="s">
        <v>357</v>
      </c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</row>
    <row r="613" spans="1:30" ht="15.75" outlineLevel="1">
      <c r="A613" s="14"/>
      <c r="B613" s="15" t="s">
        <v>357</v>
      </c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</row>
    <row r="614" spans="1:30" ht="15.75" outlineLevel="1">
      <c r="A614" s="15" t="s">
        <v>394</v>
      </c>
      <c r="B614" s="15" t="s">
        <v>357</v>
      </c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4"/>
      <c r="Y614" s="14"/>
      <c r="Z614" s="14"/>
      <c r="AA614" s="14"/>
      <c r="AB614" s="14"/>
      <c r="AC614" s="14"/>
      <c r="AD614" s="14"/>
    </row>
    <row r="615" spans="1:30" ht="15.75" outlineLevel="1">
      <c r="A615" s="35" t="s">
        <v>403</v>
      </c>
      <c r="B615" s="15" t="s">
        <v>357</v>
      </c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6"/>
      <c r="Y615" s="16"/>
      <c r="Z615" s="16"/>
      <c r="AA615" s="16"/>
      <c r="AB615" s="16"/>
      <c r="AC615" s="16"/>
      <c r="AD615" s="16"/>
    </row>
    <row r="616" spans="1:42" ht="15.75" outlineLevel="1">
      <c r="A616" s="35" t="s">
        <v>225</v>
      </c>
      <c r="B616" s="15" t="s">
        <v>357</v>
      </c>
      <c r="C616" s="16">
        <v>0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0</v>
      </c>
      <c r="V616" s="16">
        <v>0</v>
      </c>
      <c r="W616" s="43">
        <v>0</v>
      </c>
      <c r="X616" s="16">
        <v>0</v>
      </c>
      <c r="Y616" s="16">
        <v>5257</v>
      </c>
      <c r="Z616" s="16">
        <v>8614</v>
      </c>
      <c r="AA616" s="16">
        <v>7800</v>
      </c>
      <c r="AB616" s="16">
        <v>7092</v>
      </c>
      <c r="AC616" s="16">
        <v>7900</v>
      </c>
      <c r="AD616" s="16">
        <v>7891</v>
      </c>
      <c r="AE616" s="43">
        <v>8400</v>
      </c>
      <c r="AF616" s="43">
        <v>11000</v>
      </c>
      <c r="AG616" s="43">
        <v>7891</v>
      </c>
      <c r="AH616" s="43">
        <v>12000</v>
      </c>
      <c r="AI616" s="43">
        <v>11000</v>
      </c>
      <c r="AJ616" s="43">
        <v>10391</v>
      </c>
      <c r="AK616" s="43">
        <v>10456</v>
      </c>
      <c r="AL616" s="106">
        <v>10456</v>
      </c>
      <c r="AM616" s="106">
        <v>12700</v>
      </c>
      <c r="AN616" s="106">
        <v>16000</v>
      </c>
      <c r="AO616" s="106">
        <v>16000</v>
      </c>
      <c r="AP616" s="106">
        <v>17600</v>
      </c>
    </row>
    <row r="617" spans="1:42" ht="15.75" outlineLevel="1">
      <c r="A617" s="35" t="s">
        <v>9</v>
      </c>
      <c r="B617" s="15" t="s">
        <v>357</v>
      </c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6">
        <f aca="true" t="shared" si="289" ref="P617:X617">(P616)</f>
        <v>0</v>
      </c>
      <c r="Q617" s="16">
        <f t="shared" si="289"/>
        <v>0</v>
      </c>
      <c r="R617" s="16">
        <f t="shared" si="289"/>
        <v>0</v>
      </c>
      <c r="S617" s="16">
        <f t="shared" si="289"/>
        <v>0</v>
      </c>
      <c r="T617" s="16">
        <f t="shared" si="289"/>
        <v>0</v>
      </c>
      <c r="U617" s="16">
        <f t="shared" si="289"/>
        <v>0</v>
      </c>
      <c r="V617" s="16">
        <f t="shared" si="289"/>
        <v>0</v>
      </c>
      <c r="W617" s="16">
        <f t="shared" si="289"/>
        <v>0</v>
      </c>
      <c r="X617" s="16">
        <f t="shared" si="289"/>
        <v>0</v>
      </c>
      <c r="Y617" s="16">
        <f aca="true" t="shared" si="290" ref="Y617:AG618">(Y616)</f>
        <v>5257</v>
      </c>
      <c r="Z617" s="16">
        <f t="shared" si="290"/>
        <v>8614</v>
      </c>
      <c r="AA617" s="16">
        <f t="shared" si="290"/>
        <v>7800</v>
      </c>
      <c r="AB617" s="16">
        <f t="shared" si="290"/>
        <v>7092</v>
      </c>
      <c r="AC617" s="16">
        <f t="shared" si="290"/>
        <v>7900</v>
      </c>
      <c r="AD617" s="16">
        <f t="shared" si="290"/>
        <v>7891</v>
      </c>
      <c r="AE617" s="16">
        <f t="shared" si="290"/>
        <v>8400</v>
      </c>
      <c r="AF617" s="16">
        <f t="shared" si="290"/>
        <v>11000</v>
      </c>
      <c r="AG617" s="16">
        <f t="shared" si="290"/>
        <v>7891</v>
      </c>
      <c r="AH617" s="16">
        <f aca="true" t="shared" si="291" ref="AH617:AP618">(AH616)</f>
        <v>12000</v>
      </c>
      <c r="AI617" s="16">
        <f t="shared" si="291"/>
        <v>11000</v>
      </c>
      <c r="AJ617" s="16">
        <f t="shared" si="291"/>
        <v>10391</v>
      </c>
      <c r="AK617" s="16">
        <f t="shared" si="291"/>
        <v>10456</v>
      </c>
      <c r="AL617" s="104">
        <f t="shared" si="291"/>
        <v>10456</v>
      </c>
      <c r="AM617" s="104">
        <f t="shared" si="291"/>
        <v>12700</v>
      </c>
      <c r="AN617" s="104">
        <f t="shared" si="291"/>
        <v>16000</v>
      </c>
      <c r="AO617" s="104">
        <f t="shared" si="291"/>
        <v>16000</v>
      </c>
      <c r="AP617" s="104">
        <f t="shared" si="291"/>
        <v>17600</v>
      </c>
    </row>
    <row r="618" spans="1:42" ht="15.75" outlineLevel="1">
      <c r="A618" s="35" t="s">
        <v>10</v>
      </c>
      <c r="B618" s="15" t="s">
        <v>357</v>
      </c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6">
        <f aca="true" t="shared" si="292" ref="P618:W618">(P617)</f>
        <v>0</v>
      </c>
      <c r="Q618" s="16">
        <f t="shared" si="292"/>
        <v>0</v>
      </c>
      <c r="R618" s="16">
        <f t="shared" si="292"/>
        <v>0</v>
      </c>
      <c r="S618" s="16">
        <f t="shared" si="292"/>
        <v>0</v>
      </c>
      <c r="T618" s="16">
        <f t="shared" si="292"/>
        <v>0</v>
      </c>
      <c r="U618" s="16">
        <f t="shared" si="292"/>
        <v>0</v>
      </c>
      <c r="V618" s="16">
        <f t="shared" si="292"/>
        <v>0</v>
      </c>
      <c r="W618" s="16">
        <f t="shared" si="292"/>
        <v>0</v>
      </c>
      <c r="X618" s="16">
        <f>(X617)</f>
        <v>0</v>
      </c>
      <c r="Y618" s="16">
        <f t="shared" si="290"/>
        <v>5257</v>
      </c>
      <c r="Z618" s="16">
        <f t="shared" si="290"/>
        <v>8614</v>
      </c>
      <c r="AA618" s="16">
        <f t="shared" si="290"/>
        <v>7800</v>
      </c>
      <c r="AB618" s="16">
        <f t="shared" si="290"/>
        <v>7092</v>
      </c>
      <c r="AC618" s="16">
        <f t="shared" si="290"/>
        <v>7900</v>
      </c>
      <c r="AD618" s="16">
        <f t="shared" si="290"/>
        <v>7891</v>
      </c>
      <c r="AE618" s="16">
        <f t="shared" si="290"/>
        <v>8400</v>
      </c>
      <c r="AF618" s="16">
        <f t="shared" si="290"/>
        <v>11000</v>
      </c>
      <c r="AG618" s="16">
        <f t="shared" si="290"/>
        <v>7891</v>
      </c>
      <c r="AH618" s="16">
        <f t="shared" si="291"/>
        <v>12000</v>
      </c>
      <c r="AI618" s="16">
        <f t="shared" si="291"/>
        <v>11000</v>
      </c>
      <c r="AJ618" s="16">
        <f t="shared" si="291"/>
        <v>10391</v>
      </c>
      <c r="AK618" s="16">
        <f t="shared" si="291"/>
        <v>10456</v>
      </c>
      <c r="AL618" s="104">
        <f t="shared" si="291"/>
        <v>10456</v>
      </c>
      <c r="AM618" s="104">
        <f t="shared" si="291"/>
        <v>12700</v>
      </c>
      <c r="AN618" s="104">
        <f t="shared" si="291"/>
        <v>16000</v>
      </c>
      <c r="AO618" s="104">
        <f t="shared" si="291"/>
        <v>16000</v>
      </c>
      <c r="AP618" s="104">
        <f t="shared" si="291"/>
        <v>17600</v>
      </c>
    </row>
    <row r="619" spans="1:30" ht="15.75" outlineLevel="1">
      <c r="A619" s="35"/>
      <c r="B619" s="15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39"/>
      <c r="Y619" s="39"/>
      <c r="Z619" s="39"/>
      <c r="AA619" s="39"/>
      <c r="AB619" s="39"/>
      <c r="AC619" s="39"/>
      <c r="AD619" s="39"/>
    </row>
    <row r="620" spans="1:42" ht="15.75" outlineLevel="1">
      <c r="A620" s="15" t="s">
        <v>226</v>
      </c>
      <c r="B620" s="15" t="s">
        <v>357</v>
      </c>
      <c r="C620" s="14">
        <f aca="true" t="shared" si="293" ref="C620:U620">C610</f>
        <v>0</v>
      </c>
      <c r="D620" s="14">
        <f t="shared" si="293"/>
        <v>0</v>
      </c>
      <c r="E620" s="14">
        <f t="shared" si="293"/>
        <v>0</v>
      </c>
      <c r="F620" s="14">
        <f t="shared" si="293"/>
        <v>0</v>
      </c>
      <c r="G620" s="14">
        <f t="shared" si="293"/>
        <v>0</v>
      </c>
      <c r="H620" s="14">
        <f t="shared" si="293"/>
        <v>0</v>
      </c>
      <c r="I620" s="14">
        <f t="shared" si="293"/>
        <v>0</v>
      </c>
      <c r="J620" s="14">
        <f t="shared" si="293"/>
        <v>0</v>
      </c>
      <c r="K620" s="14">
        <f t="shared" si="293"/>
        <v>0</v>
      </c>
      <c r="L620" s="14">
        <f t="shared" si="293"/>
        <v>0</v>
      </c>
      <c r="M620" s="14">
        <f t="shared" si="293"/>
        <v>0</v>
      </c>
      <c r="N620" s="14">
        <f t="shared" si="293"/>
        <v>0</v>
      </c>
      <c r="O620" s="14">
        <f t="shared" si="293"/>
        <v>0</v>
      </c>
      <c r="P620" s="14">
        <f t="shared" si="293"/>
        <v>750</v>
      </c>
      <c r="Q620" s="14">
        <f t="shared" si="293"/>
        <v>1247</v>
      </c>
      <c r="R620" s="14">
        <f t="shared" si="293"/>
        <v>2190</v>
      </c>
      <c r="S620" s="14">
        <f t="shared" si="293"/>
        <v>2040</v>
      </c>
      <c r="T620" s="14">
        <f t="shared" si="293"/>
        <v>1000</v>
      </c>
      <c r="U620" s="14">
        <f t="shared" si="293"/>
        <v>998</v>
      </c>
      <c r="V620" s="14">
        <f>(V610)</f>
        <v>999</v>
      </c>
      <c r="W620" s="14">
        <f>(W610)</f>
        <v>1000</v>
      </c>
      <c r="X620" s="14">
        <f aca="true" t="shared" si="294" ref="X620:AC620">X618+X610</f>
        <v>1000</v>
      </c>
      <c r="Y620" s="14">
        <f t="shared" si="294"/>
        <v>5257</v>
      </c>
      <c r="Z620" s="14">
        <f t="shared" si="294"/>
        <v>8614</v>
      </c>
      <c r="AA620" s="14">
        <f t="shared" si="294"/>
        <v>7800</v>
      </c>
      <c r="AB620" s="14">
        <f t="shared" si="294"/>
        <v>7092</v>
      </c>
      <c r="AC620" s="14">
        <f t="shared" si="294"/>
        <v>9900</v>
      </c>
      <c r="AD620" s="14">
        <f aca="true" t="shared" si="295" ref="AD620:AL620">AD618+AD610</f>
        <v>7891</v>
      </c>
      <c r="AE620" s="14">
        <f t="shared" si="295"/>
        <v>8400</v>
      </c>
      <c r="AF620" s="14">
        <f t="shared" si="295"/>
        <v>11000</v>
      </c>
      <c r="AG620" s="14">
        <f t="shared" si="295"/>
        <v>7891</v>
      </c>
      <c r="AH620" s="14">
        <f t="shared" si="295"/>
        <v>12000</v>
      </c>
      <c r="AI620" s="14">
        <f t="shared" si="295"/>
        <v>11000</v>
      </c>
      <c r="AJ620" s="14">
        <f>AJ618+AJ610</f>
        <v>10391</v>
      </c>
      <c r="AK620" s="14">
        <f>AK618+AK610</f>
        <v>10456</v>
      </c>
      <c r="AL620" s="70">
        <f t="shared" si="295"/>
        <v>10456</v>
      </c>
      <c r="AM620" s="70">
        <f>AM618+AM610</f>
        <v>12700</v>
      </c>
      <c r="AN620" s="70">
        <f>AN618+AN610</f>
        <v>16000</v>
      </c>
      <c r="AO620" s="70">
        <f>AO618+AO610</f>
        <v>16000</v>
      </c>
      <c r="AP620" s="70">
        <f>AP618+AP610</f>
        <v>17600</v>
      </c>
    </row>
    <row r="621" spans="1:30" ht="15.75" hidden="1" outlineLevel="1">
      <c r="A621" s="10" t="s">
        <v>78</v>
      </c>
      <c r="B621" s="15" t="s">
        <v>357</v>
      </c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C621" s="14"/>
      <c r="AD621" s="14"/>
    </row>
    <row r="622" spans="1:30" ht="15.75" hidden="1" outlineLevel="1">
      <c r="A622" s="14"/>
      <c r="B622" s="15" t="s">
        <v>357</v>
      </c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C622" s="14"/>
      <c r="AD622" s="14"/>
    </row>
    <row r="623" spans="1:30" ht="15.75" hidden="1" outlineLevel="1">
      <c r="A623" s="10" t="s">
        <v>101</v>
      </c>
      <c r="B623" s="15" t="s">
        <v>357</v>
      </c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C623" s="14"/>
      <c r="AD623" s="14"/>
    </row>
    <row r="624" spans="1:30" ht="15.75" hidden="1" outlineLevel="1">
      <c r="A624" s="14"/>
      <c r="B624" s="15" t="s">
        <v>357</v>
      </c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C624" s="14"/>
      <c r="AD624" s="14"/>
    </row>
    <row r="625" spans="1:30" ht="15.75" hidden="1" outlineLevel="1">
      <c r="A625" s="15" t="s">
        <v>102</v>
      </c>
      <c r="B625" s="15" t="s">
        <v>357</v>
      </c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C625" s="14"/>
      <c r="AD625" s="14"/>
    </row>
    <row r="626" spans="1:30" ht="15.75" hidden="1" outlineLevel="1">
      <c r="A626" s="35" t="s">
        <v>388</v>
      </c>
      <c r="B626" s="15" t="s">
        <v>357</v>
      </c>
      <c r="C626" s="14">
        <v>19024</v>
      </c>
      <c r="D626" s="14">
        <v>25307</v>
      </c>
      <c r="E626" s="14">
        <v>28351</v>
      </c>
      <c r="F626" s="14">
        <v>32740</v>
      </c>
      <c r="G626" s="14">
        <v>27330</v>
      </c>
      <c r="H626" s="14"/>
      <c r="I626" s="15" t="s">
        <v>79</v>
      </c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C626" s="14"/>
      <c r="AD626" s="14"/>
    </row>
    <row r="627" spans="1:30" ht="15.75" hidden="1" outlineLevel="1">
      <c r="A627" s="14"/>
      <c r="B627" s="15" t="s">
        <v>357</v>
      </c>
      <c r="C627" s="36" t="s">
        <v>80</v>
      </c>
      <c r="D627" s="36" t="s">
        <v>80</v>
      </c>
      <c r="E627" s="36" t="s">
        <v>80</v>
      </c>
      <c r="F627" s="36" t="s">
        <v>80</v>
      </c>
      <c r="G627" s="36" t="s">
        <v>80</v>
      </c>
      <c r="H627" s="14"/>
      <c r="I627" s="15" t="s">
        <v>81</v>
      </c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C627" s="14"/>
      <c r="AD627" s="14"/>
    </row>
    <row r="628" spans="1:30" ht="15.75" hidden="1" outlineLevel="1">
      <c r="A628" s="35" t="s">
        <v>411</v>
      </c>
      <c r="B628" s="15" t="s">
        <v>357</v>
      </c>
      <c r="C628" s="14">
        <f>C626</f>
        <v>19024</v>
      </c>
      <c r="D628" s="14">
        <f>D626</f>
        <v>25307</v>
      </c>
      <c r="E628" s="14">
        <f>E626</f>
        <v>28351</v>
      </c>
      <c r="F628" s="14">
        <f>F626</f>
        <v>32740</v>
      </c>
      <c r="G628" s="14">
        <f>G626</f>
        <v>27330</v>
      </c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C628" s="14"/>
      <c r="AD628" s="14"/>
    </row>
    <row r="629" spans="1:30" ht="15.75" hidden="1" outlineLevel="1">
      <c r="A629" s="14"/>
      <c r="B629" s="15" t="s">
        <v>357</v>
      </c>
      <c r="C629" s="36" t="s">
        <v>400</v>
      </c>
      <c r="D629" s="36" t="s">
        <v>400</v>
      </c>
      <c r="E629" s="36" t="s">
        <v>400</v>
      </c>
      <c r="F629" s="36" t="s">
        <v>400</v>
      </c>
      <c r="G629" s="36" t="s">
        <v>400</v>
      </c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C629" s="14"/>
      <c r="AD629" s="14"/>
    </row>
    <row r="630" spans="1:30" ht="15.75" hidden="1" outlineLevel="1">
      <c r="A630" s="35" t="s">
        <v>412</v>
      </c>
      <c r="B630" s="15" t="s">
        <v>357</v>
      </c>
      <c r="C630" s="14">
        <f>C628</f>
        <v>19024</v>
      </c>
      <c r="D630" s="14">
        <f>D628</f>
        <v>25307</v>
      </c>
      <c r="E630" s="14">
        <f>E628</f>
        <v>28351</v>
      </c>
      <c r="F630" s="14">
        <f>F628</f>
        <v>32740</v>
      </c>
      <c r="G630" s="14">
        <f>G628</f>
        <v>27330</v>
      </c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C630" s="14"/>
      <c r="AD630" s="14"/>
    </row>
    <row r="631" spans="1:30" ht="15.75" hidden="1" outlineLevel="1">
      <c r="A631" s="14"/>
      <c r="B631" s="15" t="s">
        <v>357</v>
      </c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C631" s="14"/>
      <c r="AD631" s="14"/>
    </row>
    <row r="632" spans="1:30" ht="15.75" hidden="1" outlineLevel="1">
      <c r="A632" s="14"/>
      <c r="B632" s="15" t="s">
        <v>357</v>
      </c>
      <c r="C632" s="36" t="s">
        <v>400</v>
      </c>
      <c r="D632" s="36" t="s">
        <v>400</v>
      </c>
      <c r="E632" s="36" t="s">
        <v>400</v>
      </c>
      <c r="F632" s="36" t="s">
        <v>400</v>
      </c>
      <c r="G632" s="36" t="s">
        <v>400</v>
      </c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C632" s="14"/>
      <c r="AD632" s="14"/>
    </row>
    <row r="633" spans="1:30" ht="15.75" hidden="1" outlineLevel="1">
      <c r="A633" s="15" t="s">
        <v>274</v>
      </c>
      <c r="B633" s="15" t="s">
        <v>357</v>
      </c>
      <c r="C633" s="14">
        <f>C630</f>
        <v>19024</v>
      </c>
      <c r="D633" s="14">
        <f>D630</f>
        <v>25307</v>
      </c>
      <c r="E633" s="14">
        <f>E630</f>
        <v>28351</v>
      </c>
      <c r="F633" s="14">
        <f>F630</f>
        <v>32740</v>
      </c>
      <c r="G633" s="14">
        <f>G630</f>
        <v>27330</v>
      </c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C633" s="14"/>
      <c r="AD633" s="14"/>
    </row>
    <row r="634" spans="1:30" ht="15.75" hidden="1" outlineLevel="1">
      <c r="A634" s="14"/>
      <c r="B634" s="15" t="s">
        <v>357</v>
      </c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C634" s="14"/>
      <c r="AD634" s="14"/>
    </row>
    <row r="635" spans="1:30" ht="15.75" hidden="1" outlineLevel="1">
      <c r="A635" s="14"/>
      <c r="B635" s="15" t="s">
        <v>357</v>
      </c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C635" s="14"/>
      <c r="AD635" s="14"/>
    </row>
    <row r="636" spans="1:30" ht="15.75" hidden="1" outlineLevel="1">
      <c r="A636" s="14"/>
      <c r="B636" s="15" t="s">
        <v>357</v>
      </c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C636" s="14"/>
      <c r="AD636" s="14"/>
    </row>
    <row r="637" spans="1:30" ht="15.75" hidden="1" outlineLevel="1">
      <c r="A637" s="14"/>
      <c r="B637" s="15" t="s">
        <v>357</v>
      </c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C637" s="14"/>
      <c r="AD637" s="14"/>
    </row>
    <row r="638" spans="1:30" ht="15.75" hidden="1" outlineLevel="1">
      <c r="A638" s="14"/>
      <c r="B638" s="15" t="s">
        <v>357</v>
      </c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C638" s="14"/>
      <c r="AD638" s="14"/>
    </row>
    <row r="639" spans="1:30" ht="15.75" hidden="1" outlineLevel="1">
      <c r="A639" s="10" t="s">
        <v>282</v>
      </c>
      <c r="B639" s="15" t="s">
        <v>357</v>
      </c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C639" s="14"/>
      <c r="AD639" s="14"/>
    </row>
    <row r="640" spans="1:30" ht="15.75" hidden="1" outlineLevel="1">
      <c r="A640" s="14"/>
      <c r="B640" s="15" t="s">
        <v>357</v>
      </c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C640" s="14"/>
      <c r="AD640" s="14"/>
    </row>
    <row r="641" spans="1:30" ht="15.75" hidden="1" outlineLevel="1">
      <c r="A641" s="10" t="s">
        <v>101</v>
      </c>
      <c r="B641" s="15" t="s">
        <v>357</v>
      </c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C641" s="14"/>
      <c r="AD641" s="14"/>
    </row>
    <row r="642" spans="1:30" ht="15.75" hidden="1" outlineLevel="1">
      <c r="A642" s="14"/>
      <c r="B642" s="15" t="s">
        <v>357</v>
      </c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C642" s="14"/>
      <c r="AD642" s="14"/>
    </row>
    <row r="643" spans="1:30" ht="15.75" hidden="1" outlineLevel="1">
      <c r="A643" s="15" t="s">
        <v>102</v>
      </c>
      <c r="B643" s="15" t="s">
        <v>357</v>
      </c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C643" s="14"/>
      <c r="AD643" s="14"/>
    </row>
    <row r="644" spans="1:30" ht="15.75" hidden="1" outlineLevel="1">
      <c r="A644" s="35" t="s">
        <v>388</v>
      </c>
      <c r="B644" s="15" t="s">
        <v>357</v>
      </c>
      <c r="C644" s="14">
        <v>99301</v>
      </c>
      <c r="D644" s="14">
        <v>48825</v>
      </c>
      <c r="E644" s="14"/>
      <c r="F644" s="15" t="s">
        <v>160</v>
      </c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C644" s="14"/>
      <c r="AD644" s="14"/>
    </row>
    <row r="645" spans="1:30" ht="15.75" hidden="1" outlineLevel="1">
      <c r="A645" s="14"/>
      <c r="B645" s="15" t="s">
        <v>357</v>
      </c>
      <c r="C645" s="36" t="s">
        <v>80</v>
      </c>
      <c r="D645" s="36" t="s">
        <v>80</v>
      </c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C645" s="14"/>
      <c r="AD645" s="14"/>
    </row>
    <row r="646" spans="1:30" ht="15.75" hidden="1" outlineLevel="1">
      <c r="A646" s="35" t="s">
        <v>411</v>
      </c>
      <c r="B646" s="15" t="s">
        <v>357</v>
      </c>
      <c r="C646" s="14">
        <f>C644</f>
        <v>99301</v>
      </c>
      <c r="D646" s="14">
        <f>D644</f>
        <v>48825</v>
      </c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C646" s="14"/>
      <c r="AD646" s="14"/>
    </row>
    <row r="647" spans="1:30" ht="15.75" hidden="1" outlineLevel="1">
      <c r="A647" s="14"/>
      <c r="B647" s="15" t="s">
        <v>357</v>
      </c>
      <c r="C647" s="36" t="s">
        <v>400</v>
      </c>
      <c r="D647" s="36" t="s">
        <v>400</v>
      </c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C647" s="14"/>
      <c r="AD647" s="14"/>
    </row>
    <row r="648" spans="1:30" ht="15.75" hidden="1" outlineLevel="1">
      <c r="A648" s="35" t="s">
        <v>412</v>
      </c>
      <c r="B648" s="15" t="s">
        <v>357</v>
      </c>
      <c r="C648" s="14">
        <f>C646</f>
        <v>99301</v>
      </c>
      <c r="D648" s="14">
        <f>D646</f>
        <v>48825</v>
      </c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C648" s="14"/>
      <c r="AD648" s="14"/>
    </row>
    <row r="649" spans="1:30" ht="15.75" hidden="1" outlineLevel="1">
      <c r="A649" s="14"/>
      <c r="B649" s="15" t="s">
        <v>357</v>
      </c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C649" s="14"/>
      <c r="AD649" s="14"/>
    </row>
    <row r="650" spans="1:30" ht="15.75" hidden="1" outlineLevel="1">
      <c r="A650" s="14"/>
      <c r="B650" s="15" t="s">
        <v>357</v>
      </c>
      <c r="C650" s="36" t="s">
        <v>400</v>
      </c>
      <c r="D650" s="36" t="s">
        <v>400</v>
      </c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C650" s="14"/>
      <c r="AD650" s="14"/>
    </row>
    <row r="651" spans="1:30" ht="15.75" hidden="1" outlineLevel="1">
      <c r="A651" s="15" t="s">
        <v>161</v>
      </c>
      <c r="B651" s="15" t="s">
        <v>357</v>
      </c>
      <c r="C651" s="14">
        <f>C648</f>
        <v>99301</v>
      </c>
      <c r="D651" s="14">
        <f>D648</f>
        <v>48825</v>
      </c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C651" s="14"/>
      <c r="AD651" s="14"/>
    </row>
    <row r="652" spans="1:30" ht="15.75" hidden="1" outlineLevel="1">
      <c r="A652" s="14"/>
      <c r="B652" s="15" t="s">
        <v>357</v>
      </c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C652" s="14"/>
      <c r="AD652" s="14"/>
    </row>
    <row r="653" spans="1:30" ht="15.75" hidden="1" outlineLevel="1">
      <c r="A653" s="14"/>
      <c r="B653" s="15" t="s">
        <v>357</v>
      </c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C653" s="14"/>
      <c r="AD653" s="14"/>
    </row>
    <row r="654" spans="1:30" ht="15.75" hidden="1" outlineLevel="1">
      <c r="A654" s="10" t="s">
        <v>415</v>
      </c>
      <c r="B654" s="15" t="s">
        <v>357</v>
      </c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C654" s="14"/>
      <c r="AD654" s="14"/>
    </row>
    <row r="655" spans="1:30" ht="15.75" outlineLevel="1">
      <c r="A655" s="14"/>
      <c r="B655" s="15" t="s">
        <v>357</v>
      </c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C655" s="14"/>
      <c r="AD655" s="14"/>
    </row>
    <row r="656" spans="1:30" ht="15.75" hidden="1" outlineLevel="1">
      <c r="A656" s="10" t="s">
        <v>101</v>
      </c>
      <c r="B656" s="15" t="s">
        <v>357</v>
      </c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C656" s="14"/>
      <c r="AD656" s="14"/>
    </row>
    <row r="657" spans="1:30" ht="15.75" hidden="1" outlineLevel="1">
      <c r="A657" s="14"/>
      <c r="B657" s="15" t="s">
        <v>357</v>
      </c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C657" s="14"/>
      <c r="AD657" s="14"/>
    </row>
    <row r="658" spans="1:30" ht="15.75" hidden="1" outlineLevel="1">
      <c r="A658" s="15" t="s">
        <v>102</v>
      </c>
      <c r="B658" s="15" t="s">
        <v>357</v>
      </c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C658" s="14"/>
      <c r="AD658" s="14"/>
    </row>
    <row r="659" spans="1:30" ht="15.75" hidden="1" outlineLevel="1">
      <c r="A659" s="35" t="s">
        <v>388</v>
      </c>
      <c r="B659" s="15" t="s">
        <v>357</v>
      </c>
      <c r="C659" s="14">
        <v>6977</v>
      </c>
      <c r="D659" s="14">
        <v>18154</v>
      </c>
      <c r="E659" s="14">
        <v>15171</v>
      </c>
      <c r="F659" s="14">
        <v>15640</v>
      </c>
      <c r="G659" s="14"/>
      <c r="H659" s="15" t="s">
        <v>416</v>
      </c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C659" s="14"/>
      <c r="AD659" s="14"/>
    </row>
    <row r="660" spans="1:30" ht="15.75" hidden="1" outlineLevel="1">
      <c r="A660" s="35" t="s">
        <v>417</v>
      </c>
      <c r="B660" s="15" t="s">
        <v>357</v>
      </c>
      <c r="C660" s="14">
        <v>0</v>
      </c>
      <c r="D660" s="14">
        <v>0</v>
      </c>
      <c r="E660" s="14">
        <v>20000</v>
      </c>
      <c r="F660" s="14">
        <v>110000</v>
      </c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C660" s="14"/>
      <c r="AD660" s="14"/>
    </row>
    <row r="661" spans="1:30" ht="15.75" hidden="1" outlineLevel="1">
      <c r="A661" s="35" t="s">
        <v>103</v>
      </c>
      <c r="B661" s="15" t="s">
        <v>357</v>
      </c>
      <c r="C661" s="14">
        <v>530799</v>
      </c>
      <c r="D661" s="14">
        <v>0</v>
      </c>
      <c r="E661" s="14">
        <v>737025</v>
      </c>
      <c r="F661" s="14">
        <v>508794</v>
      </c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C661" s="14"/>
      <c r="AD661" s="14"/>
    </row>
    <row r="662" spans="1:30" ht="15.75" hidden="1" outlineLevel="1">
      <c r="A662" s="35" t="s">
        <v>104</v>
      </c>
      <c r="B662" s="15" t="s">
        <v>357</v>
      </c>
      <c r="C662" s="14">
        <v>0</v>
      </c>
      <c r="D662" s="14">
        <v>45000</v>
      </c>
      <c r="E662" s="14">
        <v>60000</v>
      </c>
      <c r="F662" s="14">
        <v>54792</v>
      </c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C662" s="14"/>
      <c r="AD662" s="14"/>
    </row>
    <row r="663" spans="1:30" ht="15.75" hidden="1" outlineLevel="1">
      <c r="A663" s="14"/>
      <c r="B663" s="15" t="s">
        <v>357</v>
      </c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C663" s="14"/>
      <c r="AD663" s="14"/>
    </row>
    <row r="664" spans="1:30" ht="15.75" hidden="1" outlineLevel="1">
      <c r="A664" s="15" t="s">
        <v>394</v>
      </c>
      <c r="B664" s="15" t="s">
        <v>357</v>
      </c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C664" s="14"/>
      <c r="AD664" s="14"/>
    </row>
    <row r="665" spans="1:30" ht="15.75" hidden="1" outlineLevel="1">
      <c r="A665" s="35" t="s">
        <v>103</v>
      </c>
      <c r="B665" s="15" t="s">
        <v>357</v>
      </c>
      <c r="C665" s="14">
        <v>0</v>
      </c>
      <c r="D665" s="14">
        <v>831000</v>
      </c>
      <c r="E665" s="14">
        <v>0</v>
      </c>
      <c r="F665" s="14">
        <v>0</v>
      </c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C665" s="14"/>
      <c r="AD665" s="14"/>
    </row>
    <row r="666" spans="1:30" ht="15.75" hidden="1" collapsed="1">
      <c r="A666" s="14"/>
      <c r="B666" s="15" t="s">
        <v>357</v>
      </c>
      <c r="C666" s="36" t="s">
        <v>80</v>
      </c>
      <c r="D666" s="36" t="s">
        <v>80</v>
      </c>
      <c r="E666" s="36" t="s">
        <v>80</v>
      </c>
      <c r="F666" s="36" t="s">
        <v>80</v>
      </c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C666" s="14"/>
      <c r="AD666" s="14"/>
    </row>
    <row r="667" spans="1:30" ht="15.75" hidden="1">
      <c r="A667" s="35" t="s">
        <v>344</v>
      </c>
      <c r="B667" s="15" t="s">
        <v>357</v>
      </c>
      <c r="C667" s="14">
        <f>SUM(C659:C666)</f>
        <v>537776</v>
      </c>
      <c r="D667" s="14">
        <f>SUM(D659:D666)</f>
        <v>894154</v>
      </c>
      <c r="E667" s="14">
        <f>SUM(E659:E666)</f>
        <v>832196</v>
      </c>
      <c r="F667" s="14">
        <f>SUM(F659:F666)</f>
        <v>689226</v>
      </c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C667" s="14"/>
      <c r="AD667" s="14"/>
    </row>
    <row r="668" spans="1:30" ht="15.75" hidden="1">
      <c r="A668" s="14"/>
      <c r="B668" s="15" t="s">
        <v>357</v>
      </c>
      <c r="C668" s="36" t="s">
        <v>400</v>
      </c>
      <c r="D668" s="36" t="s">
        <v>400</v>
      </c>
      <c r="E668" s="36" t="s">
        <v>400</v>
      </c>
      <c r="F668" s="36" t="s">
        <v>400</v>
      </c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C668" s="14"/>
      <c r="AD668" s="14"/>
    </row>
    <row r="669" spans="1:30" ht="15.75" hidden="1">
      <c r="A669" s="35" t="s">
        <v>412</v>
      </c>
      <c r="B669" s="15" t="s">
        <v>357</v>
      </c>
      <c r="C669" s="14">
        <f>C667</f>
        <v>537776</v>
      </c>
      <c r="D669" s="14">
        <f>D667</f>
        <v>894154</v>
      </c>
      <c r="E669" s="14">
        <f>E667</f>
        <v>832196</v>
      </c>
      <c r="F669" s="14">
        <f>F667</f>
        <v>689226</v>
      </c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C669" s="14"/>
      <c r="AD669" s="14"/>
    </row>
    <row r="670" spans="1:30" ht="15.75" hidden="1">
      <c r="A670" s="14"/>
      <c r="B670" s="15" t="s">
        <v>357</v>
      </c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C670" s="14"/>
      <c r="AD670" s="14"/>
    </row>
    <row r="671" spans="1:30" ht="15.75" hidden="1">
      <c r="A671" s="14"/>
      <c r="B671" s="15" t="s">
        <v>357</v>
      </c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C671" s="14"/>
      <c r="AD671" s="14"/>
    </row>
    <row r="672" spans="1:30" ht="15.75" hidden="1">
      <c r="A672" s="10" t="s">
        <v>402</v>
      </c>
      <c r="B672" s="15" t="s">
        <v>357</v>
      </c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C672" s="14"/>
      <c r="AD672" s="14"/>
    </row>
    <row r="673" spans="1:30" ht="15.75" hidden="1">
      <c r="A673" s="14"/>
      <c r="B673" s="15" t="s">
        <v>357</v>
      </c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C673" s="14"/>
      <c r="AD673" s="14"/>
    </row>
    <row r="674" spans="1:30" ht="15.75" hidden="1">
      <c r="A674" s="15" t="s">
        <v>316</v>
      </c>
      <c r="B674" s="15" t="s">
        <v>357</v>
      </c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C674" s="14"/>
      <c r="AD674" s="14"/>
    </row>
    <row r="675" spans="1:30" ht="15.75" hidden="1">
      <c r="A675" s="35" t="s">
        <v>418</v>
      </c>
      <c r="B675" s="15" t="s">
        <v>357</v>
      </c>
      <c r="C675" s="14">
        <v>0</v>
      </c>
      <c r="D675" s="14">
        <v>5</v>
      </c>
      <c r="E675" s="14">
        <v>0</v>
      </c>
      <c r="F675" s="14">
        <v>0</v>
      </c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C675" s="14"/>
      <c r="AD675" s="14"/>
    </row>
    <row r="676" spans="1:30" ht="15.75" hidden="1">
      <c r="A676" s="14"/>
      <c r="B676" s="15" t="s">
        <v>357</v>
      </c>
      <c r="C676" s="36" t="s">
        <v>80</v>
      </c>
      <c r="D676" s="36" t="s">
        <v>80</v>
      </c>
      <c r="E676" s="36" t="s">
        <v>80</v>
      </c>
      <c r="F676" s="36" t="s">
        <v>80</v>
      </c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C676" s="14"/>
      <c r="AD676" s="14"/>
    </row>
    <row r="677" spans="1:30" ht="15.75" hidden="1">
      <c r="A677" s="35" t="s">
        <v>221</v>
      </c>
      <c r="B677" s="15" t="s">
        <v>357</v>
      </c>
      <c r="C677" s="14">
        <f>C675</f>
        <v>0</v>
      </c>
      <c r="D677" s="14">
        <f>D675</f>
        <v>5</v>
      </c>
      <c r="E677" s="14">
        <f>E675</f>
        <v>0</v>
      </c>
      <c r="F677" s="14">
        <f>F675</f>
        <v>0</v>
      </c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C677" s="14"/>
      <c r="AD677" s="14"/>
    </row>
    <row r="678" spans="1:30" ht="15.75" hidden="1">
      <c r="A678" s="14"/>
      <c r="B678" s="15" t="s">
        <v>357</v>
      </c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C678" s="14"/>
      <c r="AD678" s="14"/>
    </row>
    <row r="679" spans="1:30" ht="15.75" hidden="1">
      <c r="A679" s="15" t="s">
        <v>398</v>
      </c>
      <c r="B679" s="15" t="s">
        <v>357</v>
      </c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C679" s="14"/>
      <c r="AD679" s="14"/>
    </row>
    <row r="680" spans="1:30" ht="15.75" hidden="1">
      <c r="A680" s="35" t="s">
        <v>103</v>
      </c>
      <c r="B680" s="15" t="s">
        <v>357</v>
      </c>
      <c r="C680" s="14">
        <v>30000</v>
      </c>
      <c r="D680" s="14">
        <v>30000</v>
      </c>
      <c r="E680" s="14">
        <v>30000</v>
      </c>
      <c r="F680" s="14">
        <v>30000</v>
      </c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C680" s="14"/>
      <c r="AD680" s="14"/>
    </row>
    <row r="681" spans="1:30" ht="15.75">
      <c r="A681" s="14"/>
      <c r="B681" s="15" t="s">
        <v>357</v>
      </c>
      <c r="C681" s="36" t="s">
        <v>80</v>
      </c>
      <c r="D681" s="36" t="s">
        <v>80</v>
      </c>
      <c r="E681" s="36" t="s">
        <v>80</v>
      </c>
      <c r="F681" s="36" t="s">
        <v>80</v>
      </c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C681" s="14"/>
      <c r="AD681" s="14"/>
    </row>
    <row r="682" spans="1:30" ht="15.75" hidden="1">
      <c r="A682" s="35" t="s">
        <v>314</v>
      </c>
      <c r="B682" s="15" t="s">
        <v>357</v>
      </c>
      <c r="C682" s="14">
        <f>C680</f>
        <v>30000</v>
      </c>
      <c r="D682" s="14">
        <f>D680</f>
        <v>30000</v>
      </c>
      <c r="E682" s="14">
        <f>E680</f>
        <v>30000</v>
      </c>
      <c r="F682" s="14">
        <f>F680</f>
        <v>30000</v>
      </c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C682" s="14"/>
      <c r="AD682" s="14"/>
    </row>
    <row r="683" spans="1:30" ht="15.75" hidden="1">
      <c r="A683" s="14"/>
      <c r="B683" s="15" t="s">
        <v>357</v>
      </c>
      <c r="C683" s="36" t="s">
        <v>400</v>
      </c>
      <c r="D683" s="36" t="s">
        <v>400</v>
      </c>
      <c r="E683" s="36" t="s">
        <v>400</v>
      </c>
      <c r="F683" s="36" t="s">
        <v>400</v>
      </c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C683" s="14"/>
      <c r="AD683" s="14"/>
    </row>
    <row r="684" spans="1:30" ht="15.75" hidden="1">
      <c r="A684" s="35" t="s">
        <v>10</v>
      </c>
      <c r="B684" s="15" t="s">
        <v>357</v>
      </c>
      <c r="C684" s="14">
        <f>C677+C682</f>
        <v>30000</v>
      </c>
      <c r="D684" s="14">
        <f>D677+D682</f>
        <v>30005</v>
      </c>
      <c r="E684" s="14">
        <f>E677+E682</f>
        <v>30000</v>
      </c>
      <c r="F684" s="14">
        <f>F677+F682</f>
        <v>30000</v>
      </c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C684" s="14"/>
      <c r="AD684" s="14"/>
    </row>
    <row r="685" spans="1:30" ht="15.75" hidden="1">
      <c r="A685" s="14"/>
      <c r="B685" s="15" t="s">
        <v>357</v>
      </c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C685" s="14"/>
      <c r="AD685" s="14"/>
    </row>
    <row r="686" spans="1:30" ht="15.75" hidden="1">
      <c r="A686" s="14"/>
      <c r="B686" s="15" t="s">
        <v>357</v>
      </c>
      <c r="C686" s="36" t="s">
        <v>400</v>
      </c>
      <c r="D686" s="36" t="s">
        <v>400</v>
      </c>
      <c r="E686" s="36" t="s">
        <v>400</v>
      </c>
      <c r="F686" s="36" t="s">
        <v>400</v>
      </c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C686" s="14"/>
      <c r="AD686" s="14"/>
    </row>
    <row r="687" spans="1:30" ht="15.75" hidden="1">
      <c r="A687" s="15" t="s">
        <v>111</v>
      </c>
      <c r="B687" s="15" t="s">
        <v>357</v>
      </c>
      <c r="C687" s="14">
        <f>C669+C684</f>
        <v>567776</v>
      </c>
      <c r="D687" s="14">
        <f>D669+D684</f>
        <v>924159</v>
      </c>
      <c r="E687" s="14">
        <f>E669+E684</f>
        <v>862196</v>
      </c>
      <c r="F687" s="14">
        <f>F669+F684</f>
        <v>719226</v>
      </c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C687" s="14"/>
      <c r="AD687" s="14"/>
    </row>
    <row r="688" spans="1:30" ht="15.75" hidden="1">
      <c r="A688" s="14"/>
      <c r="B688" s="15" t="s">
        <v>357</v>
      </c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C688" s="14"/>
      <c r="AD688" s="14"/>
    </row>
    <row r="689" spans="1:30" ht="15.75" outlineLevel="1">
      <c r="A689" s="10" t="s">
        <v>382</v>
      </c>
      <c r="B689" s="15" t="s">
        <v>357</v>
      </c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C689" s="14"/>
      <c r="AD689" s="14"/>
    </row>
    <row r="690" spans="1:27" ht="15.75" outlineLevel="1">
      <c r="A690" s="10" t="s">
        <v>383</v>
      </c>
      <c r="B690" s="15" t="s">
        <v>357</v>
      </c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42" ht="15.75" outlineLevel="1">
      <c r="A691" s="35" t="s">
        <v>384</v>
      </c>
      <c r="B691" s="15" t="s">
        <v>357</v>
      </c>
      <c r="C691" s="14">
        <f aca="true" t="shared" si="296" ref="C691:U691">C723+C754</f>
        <v>577647</v>
      </c>
      <c r="D691" s="14">
        <f t="shared" si="296"/>
        <v>780582</v>
      </c>
      <c r="E691" s="14">
        <f t="shared" si="296"/>
        <v>833312</v>
      </c>
      <c r="F691" s="14">
        <f t="shared" si="296"/>
        <v>918470</v>
      </c>
      <c r="G691" s="14">
        <f t="shared" si="296"/>
        <v>1035414</v>
      </c>
      <c r="H691" s="14">
        <f t="shared" si="296"/>
        <v>1240698</v>
      </c>
      <c r="I691" s="14">
        <f t="shared" si="296"/>
        <v>1141919</v>
      </c>
      <c r="J691" s="14">
        <f t="shared" si="296"/>
        <v>668598</v>
      </c>
      <c r="K691" s="14">
        <f t="shared" si="296"/>
        <v>799605</v>
      </c>
      <c r="L691" s="14">
        <f t="shared" si="296"/>
        <v>653546</v>
      </c>
      <c r="M691" s="14">
        <f t="shared" si="296"/>
        <v>670176</v>
      </c>
      <c r="N691" s="14">
        <f t="shared" si="296"/>
        <v>842566</v>
      </c>
      <c r="O691" s="14">
        <f t="shared" si="296"/>
        <v>859404</v>
      </c>
      <c r="P691" s="14">
        <f t="shared" si="296"/>
        <v>1226340</v>
      </c>
      <c r="Q691" s="14">
        <f t="shared" si="296"/>
        <v>1037643</v>
      </c>
      <c r="R691" s="14">
        <f t="shared" si="296"/>
        <v>1110250</v>
      </c>
      <c r="S691" s="14">
        <f t="shared" si="296"/>
        <v>1108765</v>
      </c>
      <c r="T691" s="14">
        <f t="shared" si="296"/>
        <v>1166262</v>
      </c>
      <c r="U691" s="14">
        <f t="shared" si="296"/>
        <v>1180552</v>
      </c>
      <c r="V691" s="14">
        <f aca="true" t="shared" si="297" ref="V691:Z693">(V723+V754)</f>
        <v>1247784</v>
      </c>
      <c r="W691" s="14">
        <f t="shared" si="297"/>
        <v>1282884</v>
      </c>
      <c r="X691" s="14">
        <f t="shared" si="297"/>
        <v>1566819</v>
      </c>
      <c r="Y691" s="14">
        <f t="shared" si="297"/>
        <v>1374472</v>
      </c>
      <c r="Z691" s="14">
        <f t="shared" si="297"/>
        <v>1647414</v>
      </c>
      <c r="AA691" s="14">
        <f aca="true" t="shared" si="298" ref="AA691:AB693">(AA723+AA754)</f>
        <v>2266286</v>
      </c>
      <c r="AB691" s="14">
        <f t="shared" si="298"/>
        <v>2117146</v>
      </c>
      <c r="AC691" s="14">
        <f aca="true" t="shared" si="299" ref="AC691:AD693">(AC723+AC754)</f>
        <v>2245758</v>
      </c>
      <c r="AD691" s="14">
        <f t="shared" si="299"/>
        <v>2567964</v>
      </c>
      <c r="AE691" s="14">
        <f aca="true" t="shared" si="300" ref="AE691:AH693">(AE723+AE754)</f>
        <v>1937395</v>
      </c>
      <c r="AF691" s="14">
        <f t="shared" si="300"/>
        <v>2395218.5962214926</v>
      </c>
      <c r="AG691" s="14">
        <f>(AG723+AG754)</f>
        <v>2614954</v>
      </c>
      <c r="AH691" s="14">
        <f t="shared" si="300"/>
        <v>1006401</v>
      </c>
      <c r="AI691" s="14">
        <f aca="true" t="shared" si="301" ref="AI691:AL693">(AI723+AI754)</f>
        <v>3249915</v>
      </c>
      <c r="AJ691" s="14">
        <f aca="true" t="shared" si="302" ref="AJ691:AK693">(AJ723+AJ754)</f>
        <v>3257185</v>
      </c>
      <c r="AK691" s="14">
        <f t="shared" si="302"/>
        <v>3067918</v>
      </c>
      <c r="AL691" s="70">
        <f t="shared" si="301"/>
        <v>2976918</v>
      </c>
      <c r="AM691" s="70">
        <f aca="true" t="shared" si="303" ref="AM691:AP693">(AM723+AM754)</f>
        <v>2823695</v>
      </c>
      <c r="AN691" s="70">
        <f t="shared" si="303"/>
        <v>2098106</v>
      </c>
      <c r="AO691" s="70">
        <f>(AO723+AO754)</f>
        <v>2215930</v>
      </c>
      <c r="AP691" s="70">
        <f t="shared" si="303"/>
        <v>2011672</v>
      </c>
    </row>
    <row r="692" spans="1:42" ht="15.75" outlineLevel="1">
      <c r="A692" s="35" t="s">
        <v>385</v>
      </c>
      <c r="B692" s="15" t="s">
        <v>357</v>
      </c>
      <c r="C692" s="14">
        <f aca="true" t="shared" si="304" ref="C692:U692">C724+C755</f>
        <v>0</v>
      </c>
      <c r="D692" s="14">
        <f t="shared" si="304"/>
        <v>0</v>
      </c>
      <c r="E692" s="14">
        <f t="shared" si="304"/>
        <v>0</v>
      </c>
      <c r="F692" s="14">
        <f t="shared" si="304"/>
        <v>0</v>
      </c>
      <c r="G692" s="14">
        <f t="shared" si="304"/>
        <v>0</v>
      </c>
      <c r="H692" s="14">
        <f t="shared" si="304"/>
        <v>0</v>
      </c>
      <c r="I692" s="14">
        <f t="shared" si="304"/>
        <v>182127</v>
      </c>
      <c r="J692" s="14">
        <f t="shared" si="304"/>
        <v>900516</v>
      </c>
      <c r="K692" s="14">
        <f t="shared" si="304"/>
        <v>699370</v>
      </c>
      <c r="L692" s="14">
        <f t="shared" si="304"/>
        <v>582588</v>
      </c>
      <c r="M692" s="14">
        <f t="shared" si="304"/>
        <v>536936</v>
      </c>
      <c r="N692" s="14">
        <f t="shared" si="304"/>
        <v>565085</v>
      </c>
      <c r="O692" s="14">
        <f t="shared" si="304"/>
        <v>603108</v>
      </c>
      <c r="P692" s="14">
        <f t="shared" si="304"/>
        <v>627211</v>
      </c>
      <c r="Q692" s="14">
        <f t="shared" si="304"/>
        <v>676064</v>
      </c>
      <c r="R692" s="14">
        <f t="shared" si="304"/>
        <v>636625</v>
      </c>
      <c r="S692" s="14">
        <f t="shared" si="304"/>
        <v>666790</v>
      </c>
      <c r="T692" s="14">
        <f t="shared" si="304"/>
        <v>722121</v>
      </c>
      <c r="U692" s="14">
        <f t="shared" si="304"/>
        <v>671182</v>
      </c>
      <c r="V692" s="14">
        <f t="shared" si="297"/>
        <v>662759</v>
      </c>
      <c r="W692" s="14">
        <f t="shared" si="297"/>
        <v>731978</v>
      </c>
      <c r="X692" s="14">
        <f t="shared" si="297"/>
        <v>698993</v>
      </c>
      <c r="Y692" s="14">
        <f t="shared" si="297"/>
        <v>605864</v>
      </c>
      <c r="Z692" s="14">
        <f t="shared" si="297"/>
        <v>810581</v>
      </c>
      <c r="AA692" s="14">
        <f t="shared" si="298"/>
        <v>1189934</v>
      </c>
      <c r="AB692" s="14">
        <f t="shared" si="298"/>
        <v>845018</v>
      </c>
      <c r="AC692" s="14">
        <f t="shared" si="299"/>
        <v>1061309</v>
      </c>
      <c r="AD692" s="14">
        <f t="shared" si="299"/>
        <v>1124653.4</v>
      </c>
      <c r="AE692" s="14">
        <f t="shared" si="300"/>
        <v>1060092</v>
      </c>
      <c r="AF692" s="14">
        <f t="shared" si="300"/>
        <v>1274114.448</v>
      </c>
      <c r="AG692" s="14">
        <f>(AG724+AG755)</f>
        <v>1339685</v>
      </c>
      <c r="AH692" s="14">
        <f t="shared" si="300"/>
        <v>0</v>
      </c>
      <c r="AI692" s="14">
        <f t="shared" si="301"/>
        <v>2001192</v>
      </c>
      <c r="AJ692" s="14">
        <f t="shared" si="302"/>
        <v>1811180</v>
      </c>
      <c r="AK692" s="14">
        <f t="shared" si="302"/>
        <v>2315976</v>
      </c>
      <c r="AL692" s="70">
        <f t="shared" si="301"/>
        <v>2284976</v>
      </c>
      <c r="AM692" s="70">
        <f t="shared" si="303"/>
        <v>2644606</v>
      </c>
      <c r="AN692" s="70">
        <f t="shared" si="303"/>
        <v>2295985</v>
      </c>
      <c r="AO692" s="70">
        <f>(AO724+AO755)</f>
        <v>2297206</v>
      </c>
      <c r="AP692" s="70">
        <f t="shared" si="303"/>
        <v>2415591</v>
      </c>
    </row>
    <row r="693" spans="1:42" ht="15.75" collapsed="1">
      <c r="A693" s="35" t="s">
        <v>55</v>
      </c>
      <c r="B693" s="15" t="s">
        <v>357</v>
      </c>
      <c r="C693" s="14">
        <f aca="true" t="shared" si="305" ref="C693:U693">C725+C756</f>
        <v>1000</v>
      </c>
      <c r="D693" s="14">
        <f t="shared" si="305"/>
        <v>67527</v>
      </c>
      <c r="E693" s="14">
        <f t="shared" si="305"/>
        <v>115390</v>
      </c>
      <c r="F693" s="14">
        <f t="shared" si="305"/>
        <v>179530</v>
      </c>
      <c r="G693" s="14">
        <f t="shared" si="305"/>
        <v>177964</v>
      </c>
      <c r="H693" s="14">
        <f t="shared" si="305"/>
        <v>173848</v>
      </c>
      <c r="I693" s="14">
        <f t="shared" si="305"/>
        <v>274062</v>
      </c>
      <c r="J693" s="14">
        <f t="shared" si="305"/>
        <v>341923</v>
      </c>
      <c r="K693" s="14">
        <f t="shared" si="305"/>
        <v>377288</v>
      </c>
      <c r="L693" s="14">
        <f t="shared" si="305"/>
        <v>278069</v>
      </c>
      <c r="M693" s="14">
        <f t="shared" si="305"/>
        <v>319098</v>
      </c>
      <c r="N693" s="14">
        <f t="shared" si="305"/>
        <v>309495</v>
      </c>
      <c r="O693" s="14">
        <f t="shared" si="305"/>
        <v>295332</v>
      </c>
      <c r="P693" s="14">
        <f t="shared" si="305"/>
        <v>294832</v>
      </c>
      <c r="Q693" s="14">
        <f t="shared" si="305"/>
        <v>309208</v>
      </c>
      <c r="R693" s="14">
        <f t="shared" si="305"/>
        <v>297978</v>
      </c>
      <c r="S693" s="14">
        <f t="shared" si="305"/>
        <v>299941</v>
      </c>
      <c r="T693" s="14">
        <f t="shared" si="305"/>
        <v>308378</v>
      </c>
      <c r="U693" s="14">
        <f t="shared" si="305"/>
        <v>292412</v>
      </c>
      <c r="V693" s="14">
        <f t="shared" si="297"/>
        <v>316765</v>
      </c>
      <c r="W693" s="14">
        <f t="shared" si="297"/>
        <v>302523</v>
      </c>
      <c r="X693" s="14">
        <f t="shared" si="297"/>
        <v>305704</v>
      </c>
      <c r="Y693" s="14">
        <f t="shared" si="297"/>
        <v>360289</v>
      </c>
      <c r="Z693" s="14">
        <f t="shared" si="297"/>
        <v>410313</v>
      </c>
      <c r="AA693" s="14">
        <f t="shared" si="298"/>
        <v>497002</v>
      </c>
      <c r="AB693" s="14">
        <f t="shared" si="298"/>
        <v>419911</v>
      </c>
      <c r="AC693" s="14">
        <f t="shared" si="299"/>
        <v>335481</v>
      </c>
      <c r="AD693" s="14">
        <f t="shared" si="299"/>
        <v>384860</v>
      </c>
      <c r="AE693" s="14">
        <f t="shared" si="300"/>
        <v>336168</v>
      </c>
      <c r="AF693" s="14">
        <f t="shared" si="300"/>
        <v>310942.525</v>
      </c>
      <c r="AG693" s="14">
        <f>(AG725+AG756)</f>
        <v>310745</v>
      </c>
      <c r="AH693" s="14">
        <f t="shared" si="300"/>
        <v>34000</v>
      </c>
      <c r="AI693" s="14">
        <f t="shared" si="301"/>
        <v>363573</v>
      </c>
      <c r="AJ693" s="14">
        <f t="shared" si="302"/>
        <v>363095</v>
      </c>
      <c r="AK693" s="14">
        <f t="shared" si="302"/>
        <v>353232</v>
      </c>
      <c r="AL693" s="70">
        <f t="shared" si="301"/>
        <v>353232</v>
      </c>
      <c r="AM693" s="70">
        <f t="shared" si="303"/>
        <v>349145</v>
      </c>
      <c r="AN693" s="70">
        <f t="shared" si="303"/>
        <v>388747</v>
      </c>
      <c r="AO693" s="70">
        <f>(AO725+AO756)</f>
        <v>391591</v>
      </c>
      <c r="AP693" s="70">
        <f t="shared" si="303"/>
        <v>569695</v>
      </c>
    </row>
    <row r="694" spans="1:42" ht="15.75">
      <c r="A694" s="14"/>
      <c r="B694" s="15" t="s">
        <v>357</v>
      </c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70"/>
      <c r="AM694" s="70"/>
      <c r="AN694" s="70"/>
      <c r="AO694" s="70"/>
      <c r="AP694" s="70"/>
    </row>
    <row r="695" spans="1:42" ht="15.75">
      <c r="A695" s="35" t="s">
        <v>56</v>
      </c>
      <c r="B695" s="15" t="s">
        <v>357</v>
      </c>
      <c r="C695" s="14">
        <f aca="true" t="shared" si="306" ref="C695:U695">C727+C758</f>
        <v>993378</v>
      </c>
      <c r="D695" s="14">
        <f t="shared" si="306"/>
        <v>693524</v>
      </c>
      <c r="E695" s="14">
        <f t="shared" si="306"/>
        <v>596418</v>
      </c>
      <c r="F695" s="14">
        <f t="shared" si="306"/>
        <v>625230</v>
      </c>
      <c r="G695" s="14">
        <f t="shared" si="306"/>
        <v>795149</v>
      </c>
      <c r="H695" s="14">
        <f t="shared" si="306"/>
        <v>778607</v>
      </c>
      <c r="I695" s="14">
        <f t="shared" si="306"/>
        <v>922505</v>
      </c>
      <c r="J695" s="14">
        <f t="shared" si="306"/>
        <v>971323</v>
      </c>
      <c r="K695" s="14">
        <f t="shared" si="306"/>
        <v>1098564</v>
      </c>
      <c r="L695" s="14">
        <f t="shared" si="306"/>
        <v>768178</v>
      </c>
      <c r="M695" s="14">
        <f t="shared" si="306"/>
        <v>950866</v>
      </c>
      <c r="N695" s="14">
        <f t="shared" si="306"/>
        <v>1034358</v>
      </c>
      <c r="O695" s="14">
        <f t="shared" si="306"/>
        <v>1106097</v>
      </c>
      <c r="P695" s="14">
        <f t="shared" si="306"/>
        <v>1066094</v>
      </c>
      <c r="Q695" s="14">
        <f t="shared" si="306"/>
        <v>1097252</v>
      </c>
      <c r="R695" s="14">
        <f t="shared" si="306"/>
        <v>1028889</v>
      </c>
      <c r="S695" s="14">
        <f t="shared" si="306"/>
        <v>911259</v>
      </c>
      <c r="T695" s="14">
        <f t="shared" si="306"/>
        <v>873915</v>
      </c>
      <c r="U695" s="14">
        <f t="shared" si="306"/>
        <v>887806</v>
      </c>
      <c r="V695" s="14">
        <f aca="true" t="shared" si="307" ref="V695:Z698">(V727+V758)</f>
        <v>878025</v>
      </c>
      <c r="W695" s="14">
        <f t="shared" si="307"/>
        <v>836729</v>
      </c>
      <c r="X695" s="14">
        <f t="shared" si="307"/>
        <v>924122</v>
      </c>
      <c r="Y695" s="14">
        <f t="shared" si="307"/>
        <v>872964</v>
      </c>
      <c r="Z695" s="14">
        <f t="shared" si="307"/>
        <v>848187</v>
      </c>
      <c r="AA695" s="14">
        <f aca="true" t="shared" si="308" ref="AA695:AB698">(AA727+AA758)</f>
        <v>896954</v>
      </c>
      <c r="AB695" s="14">
        <f t="shared" si="308"/>
        <v>1203888</v>
      </c>
      <c r="AC695" s="14">
        <f aca="true" t="shared" si="309" ref="AC695:AD698">(AC727+AC758)</f>
        <v>937796</v>
      </c>
      <c r="AD695" s="14">
        <f t="shared" si="309"/>
        <v>1009186.634</v>
      </c>
      <c r="AE695" s="14">
        <f aca="true" t="shared" si="310" ref="AE695:AH698">(AE727+AE758)</f>
        <v>965552</v>
      </c>
      <c r="AF695" s="14">
        <f t="shared" si="310"/>
        <v>1026572.912</v>
      </c>
      <c r="AG695" s="14">
        <f>(AG727+AG758)</f>
        <v>1016547</v>
      </c>
      <c r="AH695" s="14">
        <f t="shared" si="310"/>
        <v>0</v>
      </c>
      <c r="AI695" s="14">
        <f aca="true" t="shared" si="311" ref="AI695:AL698">(AI727+AI758)</f>
        <v>1067482</v>
      </c>
      <c r="AJ695" s="14">
        <f aca="true" t="shared" si="312" ref="AJ695:AK698">(AJ727+AJ758)</f>
        <v>1075347</v>
      </c>
      <c r="AK695" s="14">
        <f t="shared" si="312"/>
        <v>1138448</v>
      </c>
      <c r="AL695" s="70">
        <f t="shared" si="311"/>
        <v>1129448</v>
      </c>
      <c r="AM695" s="70">
        <f aca="true" t="shared" si="313" ref="AM695:AP698">(AM727+AM758)</f>
        <v>970748</v>
      </c>
      <c r="AN695" s="70">
        <f t="shared" si="313"/>
        <v>983039</v>
      </c>
      <c r="AO695" s="70">
        <f>(AO727+AO758)</f>
        <v>1137254</v>
      </c>
      <c r="AP695" s="70">
        <f t="shared" si="313"/>
        <v>1072735</v>
      </c>
    </row>
    <row r="696" spans="1:42" ht="15.75">
      <c r="A696" s="35" t="s">
        <v>195</v>
      </c>
      <c r="B696" s="15" t="s">
        <v>357</v>
      </c>
      <c r="C696" s="14"/>
      <c r="D696" s="14"/>
      <c r="E696" s="14"/>
      <c r="F696" s="14"/>
      <c r="G696" s="14"/>
      <c r="H696" s="14"/>
      <c r="I696" s="14"/>
      <c r="J696" s="14"/>
      <c r="K696" s="48">
        <v>0</v>
      </c>
      <c r="L696" s="14"/>
      <c r="M696" s="14"/>
      <c r="N696" s="14"/>
      <c r="O696" s="14"/>
      <c r="P696" s="14"/>
      <c r="Q696" s="14"/>
      <c r="R696" s="14"/>
      <c r="S696" s="14"/>
      <c r="T696" s="14">
        <f aca="true" t="shared" si="314" ref="T696:U698">T728+T759</f>
        <v>30870</v>
      </c>
      <c r="U696" s="14">
        <f t="shared" si="314"/>
        <v>41192</v>
      </c>
      <c r="V696" s="14">
        <f t="shared" si="307"/>
        <v>44139</v>
      </c>
      <c r="W696" s="14">
        <f t="shared" si="307"/>
        <v>43627</v>
      </c>
      <c r="X696" s="14">
        <f t="shared" si="307"/>
        <v>41153</v>
      </c>
      <c r="Y696" s="14">
        <f t="shared" si="307"/>
        <v>46841</v>
      </c>
      <c r="Z696" s="14">
        <f t="shared" si="307"/>
        <v>45140</v>
      </c>
      <c r="AA696" s="14">
        <f t="shared" si="308"/>
        <v>46702</v>
      </c>
      <c r="AB696" s="14">
        <f t="shared" si="308"/>
        <v>39728</v>
      </c>
      <c r="AC696" s="14">
        <f t="shared" si="309"/>
        <v>36228</v>
      </c>
      <c r="AD696" s="14">
        <f t="shared" si="309"/>
        <v>40854</v>
      </c>
      <c r="AE696" s="14">
        <f t="shared" si="310"/>
        <v>44191</v>
      </c>
      <c r="AF696" s="14">
        <f t="shared" si="310"/>
        <v>37965.673</v>
      </c>
      <c r="AG696" s="14">
        <f>(AG728+AG759)</f>
        <v>41448.404</v>
      </c>
      <c r="AH696" s="14">
        <f t="shared" si="310"/>
        <v>0</v>
      </c>
      <c r="AI696" s="14">
        <f t="shared" si="311"/>
        <v>47625</v>
      </c>
      <c r="AJ696" s="14">
        <f t="shared" si="312"/>
        <v>45679</v>
      </c>
      <c r="AK696" s="14">
        <f t="shared" si="312"/>
        <v>40640</v>
      </c>
      <c r="AL696" s="70">
        <f t="shared" si="311"/>
        <v>40640</v>
      </c>
      <c r="AM696" s="70">
        <f t="shared" si="313"/>
        <v>40155</v>
      </c>
      <c r="AN696" s="70">
        <f t="shared" si="313"/>
        <v>34138</v>
      </c>
      <c r="AO696" s="70">
        <f>(AO728+AO759)</f>
        <v>34020</v>
      </c>
      <c r="AP696" s="70">
        <f t="shared" si="313"/>
        <v>43000</v>
      </c>
    </row>
    <row r="697" spans="1:42" ht="15.75">
      <c r="A697" s="35" t="s">
        <v>317</v>
      </c>
      <c r="B697" s="15" t="s">
        <v>357</v>
      </c>
      <c r="C697" s="14">
        <f aca="true" t="shared" si="315" ref="C697:S697">C729+C760</f>
        <v>320435</v>
      </c>
      <c r="D697" s="14">
        <f t="shared" si="315"/>
        <v>585443</v>
      </c>
      <c r="E697" s="14">
        <f t="shared" si="315"/>
        <v>649570</v>
      </c>
      <c r="F697" s="14">
        <f t="shared" si="315"/>
        <v>645492</v>
      </c>
      <c r="G697" s="14">
        <f t="shared" si="315"/>
        <v>623059</v>
      </c>
      <c r="H697" s="14">
        <f t="shared" si="315"/>
        <v>510042</v>
      </c>
      <c r="I697" s="14">
        <f t="shared" si="315"/>
        <v>378184</v>
      </c>
      <c r="J697" s="14">
        <f t="shared" si="315"/>
        <v>390672</v>
      </c>
      <c r="K697" s="14">
        <f t="shared" si="315"/>
        <v>416418</v>
      </c>
      <c r="L697" s="14">
        <f t="shared" si="315"/>
        <v>412306</v>
      </c>
      <c r="M697" s="14">
        <f t="shared" si="315"/>
        <v>431454</v>
      </c>
      <c r="N697" s="14">
        <f t="shared" si="315"/>
        <v>447862</v>
      </c>
      <c r="O697" s="14">
        <f t="shared" si="315"/>
        <v>451954</v>
      </c>
      <c r="P697" s="14">
        <f t="shared" si="315"/>
        <v>501879</v>
      </c>
      <c r="Q697" s="14">
        <f t="shared" si="315"/>
        <v>570943</v>
      </c>
      <c r="R697" s="14">
        <f t="shared" si="315"/>
        <v>584423</v>
      </c>
      <c r="S697" s="14">
        <f t="shared" si="315"/>
        <v>582949</v>
      </c>
      <c r="T697" s="14">
        <f t="shared" si="314"/>
        <v>597175</v>
      </c>
      <c r="U697" s="14">
        <f t="shared" si="314"/>
        <v>570835</v>
      </c>
      <c r="V697" s="14">
        <f t="shared" si="307"/>
        <v>731995</v>
      </c>
      <c r="W697" s="14">
        <f t="shared" si="307"/>
        <v>746764</v>
      </c>
      <c r="X697" s="14">
        <f t="shared" si="307"/>
        <v>761467</v>
      </c>
      <c r="Y697" s="14">
        <f t="shared" si="307"/>
        <v>797654</v>
      </c>
      <c r="Z697" s="14">
        <f t="shared" si="307"/>
        <v>815504</v>
      </c>
      <c r="AA697" s="14">
        <f t="shared" si="308"/>
        <v>884955</v>
      </c>
      <c r="AB697" s="14">
        <f t="shared" si="308"/>
        <v>914660</v>
      </c>
      <c r="AC697" s="14">
        <f t="shared" si="309"/>
        <v>868126</v>
      </c>
      <c r="AD697" s="14">
        <f t="shared" si="309"/>
        <v>920061</v>
      </c>
      <c r="AE697" s="14">
        <f t="shared" si="310"/>
        <v>896290</v>
      </c>
      <c r="AF697" s="14">
        <f t="shared" si="310"/>
        <v>938769.077</v>
      </c>
      <c r="AG697" s="14">
        <f>(AG729+AG760)</f>
        <v>939679</v>
      </c>
      <c r="AH697" s="14">
        <f t="shared" si="310"/>
        <v>0</v>
      </c>
      <c r="AI697" s="14">
        <f t="shared" si="311"/>
        <v>936269</v>
      </c>
      <c r="AJ697" s="14">
        <f t="shared" si="312"/>
        <v>950917</v>
      </c>
      <c r="AK697" s="14">
        <f t="shared" si="312"/>
        <v>979332</v>
      </c>
      <c r="AL697" s="70">
        <f t="shared" si="311"/>
        <v>963832</v>
      </c>
      <c r="AM697" s="70">
        <f t="shared" si="313"/>
        <v>952363</v>
      </c>
      <c r="AN697" s="70">
        <f t="shared" si="313"/>
        <v>970304</v>
      </c>
      <c r="AO697" s="70">
        <f>(AO729+AO760)</f>
        <v>995678</v>
      </c>
      <c r="AP697" s="70">
        <f t="shared" si="313"/>
        <v>976048</v>
      </c>
    </row>
    <row r="698" spans="1:42" ht="15.75">
      <c r="A698" s="35" t="s">
        <v>318</v>
      </c>
      <c r="B698" s="15" t="s">
        <v>357</v>
      </c>
      <c r="C698" s="14">
        <f aca="true" t="shared" si="316" ref="C698:S698">C730+C761</f>
        <v>134063</v>
      </c>
      <c r="D698" s="14">
        <f t="shared" si="316"/>
        <v>138931</v>
      </c>
      <c r="E698" s="14">
        <f t="shared" si="316"/>
        <v>149101</v>
      </c>
      <c r="F698" s="14">
        <f t="shared" si="316"/>
        <v>134539</v>
      </c>
      <c r="G698" s="14">
        <f t="shared" si="316"/>
        <v>143011</v>
      </c>
      <c r="H698" s="14">
        <f t="shared" si="316"/>
        <v>150845</v>
      </c>
      <c r="I698" s="14">
        <f t="shared" si="316"/>
        <v>145207</v>
      </c>
      <c r="J698" s="14">
        <f t="shared" si="316"/>
        <v>137288</v>
      </c>
      <c r="K698" s="14">
        <f t="shared" si="316"/>
        <v>136454</v>
      </c>
      <c r="L698" s="14">
        <f t="shared" si="316"/>
        <v>128380</v>
      </c>
      <c r="M698" s="14">
        <f t="shared" si="316"/>
        <v>141125</v>
      </c>
      <c r="N698" s="14">
        <f t="shared" si="316"/>
        <v>146838</v>
      </c>
      <c r="O698" s="14">
        <f t="shared" si="316"/>
        <v>159944</v>
      </c>
      <c r="P698" s="14">
        <f t="shared" si="316"/>
        <v>178951</v>
      </c>
      <c r="Q698" s="14">
        <f t="shared" si="316"/>
        <v>176127</v>
      </c>
      <c r="R698" s="14">
        <f t="shared" si="316"/>
        <v>174364</v>
      </c>
      <c r="S698" s="14">
        <f t="shared" si="316"/>
        <v>175819</v>
      </c>
      <c r="T698" s="14">
        <f t="shared" si="314"/>
        <v>170805</v>
      </c>
      <c r="U698" s="14">
        <f t="shared" si="314"/>
        <v>154659</v>
      </c>
      <c r="V698" s="14">
        <f t="shared" si="307"/>
        <v>65397</v>
      </c>
      <c r="W698" s="14">
        <f t="shared" si="307"/>
        <v>0</v>
      </c>
      <c r="X698" s="14">
        <f t="shared" si="307"/>
        <v>-1605</v>
      </c>
      <c r="Y698" s="14">
        <f t="shared" si="307"/>
        <v>0</v>
      </c>
      <c r="Z698" s="14">
        <f t="shared" si="307"/>
        <v>0</v>
      </c>
      <c r="AA698" s="14">
        <f t="shared" si="308"/>
        <v>0</v>
      </c>
      <c r="AB698" s="14">
        <f t="shared" si="308"/>
        <v>0</v>
      </c>
      <c r="AC698" s="14">
        <f t="shared" si="309"/>
        <v>0</v>
      </c>
      <c r="AD698" s="14">
        <f t="shared" si="309"/>
        <v>0</v>
      </c>
      <c r="AE698" s="14">
        <f t="shared" si="310"/>
        <v>0</v>
      </c>
      <c r="AF698" s="14">
        <f t="shared" si="310"/>
        <v>0</v>
      </c>
      <c r="AG698" s="14">
        <f>(AG730+AG761)</f>
        <v>0</v>
      </c>
      <c r="AH698" s="14">
        <f t="shared" si="310"/>
        <v>0</v>
      </c>
      <c r="AI698" s="14">
        <f t="shared" si="311"/>
        <v>0</v>
      </c>
      <c r="AJ698" s="14">
        <f t="shared" si="312"/>
        <v>0</v>
      </c>
      <c r="AK698" s="14">
        <f t="shared" si="312"/>
        <v>0</v>
      </c>
      <c r="AL698" s="70">
        <f t="shared" si="311"/>
        <v>0</v>
      </c>
      <c r="AM698" s="70">
        <f t="shared" si="313"/>
        <v>0</v>
      </c>
      <c r="AN698" s="70">
        <f t="shared" si="313"/>
        <v>0</v>
      </c>
      <c r="AO698" s="70">
        <f>(AO730+AO761)</f>
        <v>0</v>
      </c>
      <c r="AP698" s="70">
        <f t="shared" si="313"/>
        <v>0</v>
      </c>
    </row>
    <row r="699" spans="1:42" ht="15.75">
      <c r="A699" s="14"/>
      <c r="B699" s="15" t="s">
        <v>357</v>
      </c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70"/>
      <c r="AM699" s="70"/>
      <c r="AN699" s="70"/>
      <c r="AO699" s="70"/>
      <c r="AP699" s="70"/>
    </row>
    <row r="700" spans="1:42" ht="15.75">
      <c r="A700" s="35" t="s">
        <v>219</v>
      </c>
      <c r="B700" s="15" t="s">
        <v>357</v>
      </c>
      <c r="C700" s="14">
        <f aca="true" t="shared" si="317" ref="C700:U700">C732+C763</f>
        <v>321135</v>
      </c>
      <c r="D700" s="14">
        <f t="shared" si="317"/>
        <v>367832</v>
      </c>
      <c r="E700" s="14">
        <f t="shared" si="317"/>
        <v>441439</v>
      </c>
      <c r="F700" s="14">
        <f t="shared" si="317"/>
        <v>435346</v>
      </c>
      <c r="G700" s="14">
        <f t="shared" si="317"/>
        <v>427552</v>
      </c>
      <c r="H700" s="14">
        <f t="shared" si="317"/>
        <v>441463</v>
      </c>
      <c r="I700" s="14">
        <f t="shared" si="317"/>
        <v>496411</v>
      </c>
      <c r="J700" s="14">
        <f t="shared" si="317"/>
        <v>526655</v>
      </c>
      <c r="K700" s="14">
        <f t="shared" si="317"/>
        <v>585491</v>
      </c>
      <c r="L700" s="14">
        <f t="shared" si="317"/>
        <v>637597</v>
      </c>
      <c r="M700" s="14">
        <f t="shared" si="317"/>
        <v>722495</v>
      </c>
      <c r="N700" s="14">
        <f t="shared" si="317"/>
        <v>745841</v>
      </c>
      <c r="O700" s="14">
        <f t="shared" si="317"/>
        <v>833952</v>
      </c>
      <c r="P700" s="14">
        <f t="shared" si="317"/>
        <v>954919</v>
      </c>
      <c r="Q700" s="14">
        <f t="shared" si="317"/>
        <v>1100806</v>
      </c>
      <c r="R700" s="14">
        <f t="shared" si="317"/>
        <v>1225516</v>
      </c>
      <c r="S700" s="14">
        <f t="shared" si="317"/>
        <v>1307431</v>
      </c>
      <c r="T700" s="14">
        <f t="shared" si="317"/>
        <v>1205999</v>
      </c>
      <c r="U700" s="14">
        <f t="shared" si="317"/>
        <v>1271208</v>
      </c>
      <c r="V700" s="14">
        <f aca="true" t="shared" si="318" ref="V700:Z702">(V732+V763)</f>
        <v>1239382</v>
      </c>
      <c r="W700" s="14">
        <f t="shared" si="318"/>
        <v>1428803</v>
      </c>
      <c r="X700" s="14">
        <f t="shared" si="318"/>
        <v>1460778</v>
      </c>
      <c r="Y700" s="14">
        <f t="shared" si="318"/>
        <v>1413156</v>
      </c>
      <c r="Z700" s="14">
        <f t="shared" si="318"/>
        <v>1506933</v>
      </c>
      <c r="AA700" s="14">
        <f aca="true" t="shared" si="319" ref="AA700:AB702">(AA732+AA763)</f>
        <v>1910601</v>
      </c>
      <c r="AB700" s="14">
        <f t="shared" si="319"/>
        <v>1922565</v>
      </c>
      <c r="AC700" s="14">
        <f aca="true" t="shared" si="320" ref="AC700:AD702">(AC732+AC763)</f>
        <v>1942783</v>
      </c>
      <c r="AD700" s="14">
        <f t="shared" si="320"/>
        <v>1924205.312</v>
      </c>
      <c r="AE700" s="14">
        <f aca="true" t="shared" si="321" ref="AE700:AH702">(AE732+AE763)</f>
        <v>1956299</v>
      </c>
      <c r="AF700" s="14">
        <f t="shared" si="321"/>
        <v>1971536.3650000002</v>
      </c>
      <c r="AG700" s="14">
        <f>(AG732+AG763)</f>
        <v>1984538</v>
      </c>
      <c r="AH700" s="14">
        <f t="shared" si="321"/>
        <v>0</v>
      </c>
      <c r="AI700" s="14">
        <f aca="true" t="shared" si="322" ref="AI700:AL702">(AI732+AI763)</f>
        <v>1985715</v>
      </c>
      <c r="AJ700" s="14">
        <f aca="true" t="shared" si="323" ref="AJ700:AK702">(AJ732+AJ763)</f>
        <v>2027754</v>
      </c>
      <c r="AK700" s="14">
        <f t="shared" si="323"/>
        <v>2201726</v>
      </c>
      <c r="AL700" s="70">
        <f t="shared" si="322"/>
        <v>2049326</v>
      </c>
      <c r="AM700" s="70">
        <f aca="true" t="shared" si="324" ref="AM700:AP702">(AM732+AM763)</f>
        <v>2099682</v>
      </c>
      <c r="AN700" s="70">
        <f t="shared" si="324"/>
        <v>2100706</v>
      </c>
      <c r="AO700" s="70">
        <f>(AO732+AO763)</f>
        <v>2168322</v>
      </c>
      <c r="AP700" s="70">
        <f t="shared" si="324"/>
        <v>2146180</v>
      </c>
    </row>
    <row r="701" spans="1:42" ht="15.75">
      <c r="A701" s="35" t="s">
        <v>228</v>
      </c>
      <c r="B701" s="15" t="s">
        <v>357</v>
      </c>
      <c r="C701" s="14"/>
      <c r="D701" s="14"/>
      <c r="E701" s="14"/>
      <c r="F701" s="14"/>
      <c r="G701" s="14"/>
      <c r="H701" s="14"/>
      <c r="I701" s="14"/>
      <c r="J701" s="14"/>
      <c r="K701" s="48">
        <v>0</v>
      </c>
      <c r="L701" s="14"/>
      <c r="M701" s="14"/>
      <c r="N701" s="14"/>
      <c r="O701" s="14"/>
      <c r="P701" s="14"/>
      <c r="Q701" s="14"/>
      <c r="R701" s="14"/>
      <c r="S701" s="14"/>
      <c r="T701" s="14">
        <f>T733+T764</f>
        <v>164324</v>
      </c>
      <c r="U701" s="14">
        <f>U733+U764</f>
        <v>152241</v>
      </c>
      <c r="V701" s="14">
        <f t="shared" si="318"/>
        <v>0</v>
      </c>
      <c r="W701" s="14">
        <f t="shared" si="318"/>
        <v>0</v>
      </c>
      <c r="X701" s="14">
        <f t="shared" si="318"/>
        <v>0</v>
      </c>
      <c r="Y701" s="14">
        <f t="shared" si="318"/>
        <v>0</v>
      </c>
      <c r="Z701" s="14">
        <f t="shared" si="318"/>
        <v>0</v>
      </c>
      <c r="AA701" s="14">
        <f t="shared" si="319"/>
        <v>0</v>
      </c>
      <c r="AB701" s="14">
        <f t="shared" si="319"/>
        <v>0</v>
      </c>
      <c r="AC701" s="14">
        <f t="shared" si="320"/>
        <v>0</v>
      </c>
      <c r="AD701" s="14">
        <f t="shared" si="320"/>
        <v>0</v>
      </c>
      <c r="AE701" s="14">
        <f t="shared" si="321"/>
        <v>0</v>
      </c>
      <c r="AF701" s="14">
        <f t="shared" si="321"/>
        <v>0</v>
      </c>
      <c r="AG701" s="14">
        <f>(AG733+AG764)</f>
        <v>0</v>
      </c>
      <c r="AH701" s="14">
        <f t="shared" si="321"/>
        <v>0</v>
      </c>
      <c r="AI701" s="14">
        <f t="shared" si="322"/>
        <v>0</v>
      </c>
      <c r="AJ701" s="14">
        <f t="shared" si="323"/>
        <v>0</v>
      </c>
      <c r="AK701" s="14">
        <f t="shared" si="323"/>
        <v>0</v>
      </c>
      <c r="AL701" s="70">
        <f t="shared" si="322"/>
        <v>0</v>
      </c>
      <c r="AM701" s="70">
        <f t="shared" si="324"/>
        <v>0</v>
      </c>
      <c r="AN701" s="70">
        <f t="shared" si="324"/>
        <v>0</v>
      </c>
      <c r="AO701" s="70">
        <f>(AO733+AO764)</f>
        <v>0</v>
      </c>
      <c r="AP701" s="70">
        <f t="shared" si="324"/>
        <v>0</v>
      </c>
    </row>
    <row r="702" spans="1:42" ht="15.75">
      <c r="A702" s="35" t="s">
        <v>229</v>
      </c>
      <c r="B702" s="15" t="s">
        <v>357</v>
      </c>
      <c r="C702" s="14">
        <f aca="true" t="shared" si="325" ref="C702:S702">C734+C765</f>
        <v>344003</v>
      </c>
      <c r="D702" s="14">
        <f t="shared" si="325"/>
        <v>522241</v>
      </c>
      <c r="E702" s="14">
        <f t="shared" si="325"/>
        <v>527384</v>
      </c>
      <c r="F702" s="14">
        <f t="shared" si="325"/>
        <v>531253</v>
      </c>
      <c r="G702" s="14">
        <f t="shared" si="325"/>
        <v>857780</v>
      </c>
      <c r="H702" s="14">
        <f t="shared" si="325"/>
        <v>802355</v>
      </c>
      <c r="I702" s="14">
        <f t="shared" si="325"/>
        <v>1080146</v>
      </c>
      <c r="J702" s="14">
        <f t="shared" si="325"/>
        <v>950390</v>
      </c>
      <c r="K702" s="14">
        <f t="shared" si="325"/>
        <v>1005327</v>
      </c>
      <c r="L702" s="14">
        <f t="shared" si="325"/>
        <v>857671</v>
      </c>
      <c r="M702" s="14">
        <f t="shared" si="325"/>
        <v>963814</v>
      </c>
      <c r="N702" s="14">
        <f t="shared" si="325"/>
        <v>956516</v>
      </c>
      <c r="O702" s="14">
        <f t="shared" si="325"/>
        <v>1101227</v>
      </c>
      <c r="P702" s="14">
        <f t="shared" si="325"/>
        <v>1274456</v>
      </c>
      <c r="Q702" s="14">
        <f t="shared" si="325"/>
        <v>1393244</v>
      </c>
      <c r="R702" s="14">
        <f t="shared" si="325"/>
        <v>1491891</v>
      </c>
      <c r="S702" s="14">
        <f t="shared" si="325"/>
        <v>1434674</v>
      </c>
      <c r="T702" s="14">
        <f>T734+T765</f>
        <v>1552414</v>
      </c>
      <c r="U702" s="14">
        <f>U734+U765</f>
        <v>1453750</v>
      </c>
      <c r="V702" s="14">
        <f t="shared" si="318"/>
        <v>1457116</v>
      </c>
      <c r="W702" s="14">
        <f t="shared" si="318"/>
        <v>1738499</v>
      </c>
      <c r="X702" s="14">
        <f t="shared" si="318"/>
        <v>2019379</v>
      </c>
      <c r="Y702" s="14">
        <f t="shared" si="318"/>
        <v>2000335</v>
      </c>
      <c r="Z702" s="14">
        <f t="shared" si="318"/>
        <v>2147073</v>
      </c>
      <c r="AA702" s="14">
        <f t="shared" si="319"/>
        <v>2469750</v>
      </c>
      <c r="AB702" s="14">
        <f t="shared" si="319"/>
        <v>2653930</v>
      </c>
      <c r="AC702" s="14">
        <f t="shared" si="320"/>
        <v>2629731</v>
      </c>
      <c r="AD702" s="14">
        <f t="shared" si="320"/>
        <v>2545556.284</v>
      </c>
      <c r="AE702" s="14">
        <f t="shared" si="321"/>
        <v>2647121</v>
      </c>
      <c r="AF702" s="14">
        <f t="shared" si="321"/>
        <v>2555382.1900000004</v>
      </c>
      <c r="AG702" s="14">
        <f>(AG734+AG765)</f>
        <v>2560315</v>
      </c>
      <c r="AH702" s="14">
        <f t="shared" si="321"/>
        <v>311751</v>
      </c>
      <c r="AI702" s="14">
        <f t="shared" si="322"/>
        <v>2613934</v>
      </c>
      <c r="AJ702" s="14">
        <f t="shared" si="323"/>
        <v>2677935</v>
      </c>
      <c r="AK702" s="14">
        <f t="shared" si="323"/>
        <v>2653959</v>
      </c>
      <c r="AL702" s="70">
        <f t="shared" si="322"/>
        <v>2595559</v>
      </c>
      <c r="AM702" s="70">
        <f t="shared" si="324"/>
        <v>2505977</v>
      </c>
      <c r="AN702" s="70">
        <f t="shared" si="324"/>
        <v>2465232</v>
      </c>
      <c r="AO702" s="70">
        <f>(AO734+AO765)</f>
        <v>2662581</v>
      </c>
      <c r="AP702" s="70">
        <f t="shared" si="324"/>
        <v>2919791</v>
      </c>
    </row>
    <row r="703" spans="1:42" ht="15.75">
      <c r="A703" s="14"/>
      <c r="B703" s="15" t="s">
        <v>357</v>
      </c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70"/>
      <c r="AM703" s="70"/>
      <c r="AN703" s="70"/>
      <c r="AO703" s="70"/>
      <c r="AP703" s="70"/>
    </row>
    <row r="704" spans="1:42" ht="15.75">
      <c r="A704" s="35" t="s">
        <v>230</v>
      </c>
      <c r="B704" s="15" t="s">
        <v>357</v>
      </c>
      <c r="C704" s="14">
        <f aca="true" t="shared" si="326" ref="C704:U704">C735+C767</f>
        <v>1077954</v>
      </c>
      <c r="D704" s="14">
        <f t="shared" si="326"/>
        <v>1230685</v>
      </c>
      <c r="E704" s="14">
        <f t="shared" si="326"/>
        <v>1473703</v>
      </c>
      <c r="F704" s="14">
        <f t="shared" si="326"/>
        <v>1991759</v>
      </c>
      <c r="G704" s="14">
        <f t="shared" si="326"/>
        <v>1776501</v>
      </c>
      <c r="H704" s="14">
        <f t="shared" si="326"/>
        <v>1515939</v>
      </c>
      <c r="I704" s="14">
        <f t="shared" si="326"/>
        <v>1626527</v>
      </c>
      <c r="J704" s="14">
        <f t="shared" si="326"/>
        <v>1399608</v>
      </c>
      <c r="K704" s="14">
        <f t="shared" si="326"/>
        <v>1516980</v>
      </c>
      <c r="L704" s="14">
        <f t="shared" si="326"/>
        <v>1369253</v>
      </c>
      <c r="M704" s="14">
        <f t="shared" si="326"/>
        <v>1388404</v>
      </c>
      <c r="N704" s="14">
        <f t="shared" si="326"/>
        <v>1522413</v>
      </c>
      <c r="O704" s="14">
        <f t="shared" si="326"/>
        <v>1615464</v>
      </c>
      <c r="P704" s="14">
        <f t="shared" si="326"/>
        <v>1941490</v>
      </c>
      <c r="Q704" s="14">
        <f t="shared" si="326"/>
        <v>2023164</v>
      </c>
      <c r="R704" s="14">
        <f t="shared" si="326"/>
        <v>2083740</v>
      </c>
      <c r="S704" s="14">
        <f t="shared" si="326"/>
        <v>2047477</v>
      </c>
      <c r="T704" s="14">
        <f t="shared" si="326"/>
        <v>2415388</v>
      </c>
      <c r="U704" s="14">
        <f t="shared" si="326"/>
        <v>2331661.734</v>
      </c>
      <c r="V704" s="14">
        <f aca="true" t="shared" si="327" ref="V704:Z706">(V735+V767)</f>
        <v>2051910</v>
      </c>
      <c r="W704" s="14">
        <f t="shared" si="327"/>
        <v>1795694</v>
      </c>
      <c r="X704" s="14">
        <f t="shared" si="327"/>
        <v>1798065</v>
      </c>
      <c r="Y704" s="14">
        <f t="shared" si="327"/>
        <v>1829467</v>
      </c>
      <c r="Z704" s="14">
        <f t="shared" si="327"/>
        <v>1961363</v>
      </c>
      <c r="AA704" s="14">
        <f aca="true" t="shared" si="328" ref="AA704:AB709">(AA735+AA767)</f>
        <v>2276325</v>
      </c>
      <c r="AB704" s="14">
        <f t="shared" si="328"/>
        <v>2305553</v>
      </c>
      <c r="AC704" s="14">
        <f aca="true" t="shared" si="329" ref="AC704:AD709">(AC735+AC767)</f>
        <v>2332533</v>
      </c>
      <c r="AD704" s="14">
        <f t="shared" si="329"/>
        <v>2354279</v>
      </c>
      <c r="AE704" s="14">
        <f aca="true" t="shared" si="330" ref="AE704:AF709">(AE735+AE767)</f>
        <v>2403142</v>
      </c>
      <c r="AF704" s="14">
        <f t="shared" si="330"/>
        <v>2396364.6029999997</v>
      </c>
      <c r="AG704" s="14">
        <f aca="true" t="shared" si="331" ref="AG704:AG709">(AG735+AG767)</f>
        <v>2395651</v>
      </c>
      <c r="AH704" s="14">
        <f aca="true" t="shared" si="332" ref="AH704:AH709">(AH735+AH767)</f>
        <v>2344730</v>
      </c>
      <c r="AI704" s="14">
        <f aca="true" t="shared" si="333" ref="AI704:AL709">(AI735+AI767)</f>
        <v>2386747</v>
      </c>
      <c r="AJ704" s="14">
        <f aca="true" t="shared" si="334" ref="AJ704:AJ709">(AJ735+AJ767)</f>
        <v>2387915</v>
      </c>
      <c r="AK704" s="14">
        <f aca="true" t="shared" si="335" ref="AK704:AK709">(AK735+AK767)</f>
        <v>2379861</v>
      </c>
      <c r="AL704" s="70">
        <f t="shared" si="333"/>
        <v>2402087</v>
      </c>
      <c r="AM704" s="70">
        <f aca="true" t="shared" si="336" ref="AM704:AN709">(AM735+AM767)</f>
        <v>2329444</v>
      </c>
      <c r="AN704" s="70">
        <f t="shared" si="336"/>
        <v>2339787</v>
      </c>
      <c r="AO704" s="70">
        <f aca="true" t="shared" si="337" ref="AO704:AO709">(AO735+AO767)</f>
        <v>2418195</v>
      </c>
      <c r="AP704" s="70">
        <f aca="true" t="shared" si="338" ref="AP704:AP709">(AP735+AP767)</f>
        <v>2324666</v>
      </c>
    </row>
    <row r="705" spans="1:42" ht="15.75">
      <c r="A705" s="35" t="s">
        <v>6</v>
      </c>
      <c r="B705" s="15" t="s">
        <v>357</v>
      </c>
      <c r="C705" s="14">
        <f aca="true" t="shared" si="339" ref="C705:U705">C736+C768</f>
        <v>35007</v>
      </c>
      <c r="D705" s="14">
        <f t="shared" si="339"/>
        <v>40015</v>
      </c>
      <c r="E705" s="14">
        <f t="shared" si="339"/>
        <v>41222</v>
      </c>
      <c r="F705" s="14">
        <f t="shared" si="339"/>
        <v>54540</v>
      </c>
      <c r="G705" s="14">
        <f t="shared" si="339"/>
        <v>75897</v>
      </c>
      <c r="H705" s="14">
        <f t="shared" si="339"/>
        <v>45113</v>
      </c>
      <c r="I705" s="14">
        <f t="shared" si="339"/>
        <v>51601</v>
      </c>
      <c r="J705" s="14">
        <f t="shared" si="339"/>
        <v>45288</v>
      </c>
      <c r="K705" s="14">
        <f t="shared" si="339"/>
        <v>47342</v>
      </c>
      <c r="L705" s="14">
        <f t="shared" si="339"/>
        <v>42989</v>
      </c>
      <c r="M705" s="14">
        <f t="shared" si="339"/>
        <v>43567</v>
      </c>
      <c r="N705" s="14">
        <f t="shared" si="339"/>
        <v>49319</v>
      </c>
      <c r="O705" s="14">
        <f t="shared" si="339"/>
        <v>51890</v>
      </c>
      <c r="P705" s="14">
        <f t="shared" si="339"/>
        <v>53788</v>
      </c>
      <c r="Q705" s="14">
        <f t="shared" si="339"/>
        <v>61968</v>
      </c>
      <c r="R705" s="14">
        <f t="shared" si="339"/>
        <v>67907</v>
      </c>
      <c r="S705" s="14">
        <f t="shared" si="339"/>
        <v>65270</v>
      </c>
      <c r="T705" s="14">
        <f t="shared" si="339"/>
        <v>66189</v>
      </c>
      <c r="U705" s="14">
        <f t="shared" si="339"/>
        <v>64517</v>
      </c>
      <c r="V705" s="14">
        <f t="shared" si="327"/>
        <v>257338</v>
      </c>
      <c r="W705" s="14">
        <f t="shared" si="327"/>
        <v>59475</v>
      </c>
      <c r="X705" s="14">
        <f t="shared" si="327"/>
        <v>58286</v>
      </c>
      <c r="Y705" s="14">
        <f t="shared" si="327"/>
        <v>263983</v>
      </c>
      <c r="Z705" s="14">
        <f t="shared" si="327"/>
        <v>67277</v>
      </c>
      <c r="AA705" s="14">
        <f t="shared" si="328"/>
        <v>66356</v>
      </c>
      <c r="AB705" s="14">
        <f t="shared" si="328"/>
        <v>69850</v>
      </c>
      <c r="AC705" s="14">
        <f t="shared" si="329"/>
        <v>82164</v>
      </c>
      <c r="AD705" s="14">
        <f t="shared" si="329"/>
        <v>72520.134</v>
      </c>
      <c r="AE705" s="14">
        <f t="shared" si="330"/>
        <v>297140</v>
      </c>
      <c r="AF705" s="14">
        <f t="shared" si="330"/>
        <v>309105.96900000004</v>
      </c>
      <c r="AG705" s="14">
        <f t="shared" si="331"/>
        <v>307452</v>
      </c>
      <c r="AH705" s="14">
        <f t="shared" si="332"/>
        <v>325103</v>
      </c>
      <c r="AI705" s="14">
        <f t="shared" si="333"/>
        <v>319032</v>
      </c>
      <c r="AJ705" s="14">
        <f t="shared" si="334"/>
        <v>322028</v>
      </c>
      <c r="AK705" s="14">
        <f t="shared" si="335"/>
        <v>372476</v>
      </c>
      <c r="AL705" s="70">
        <f t="shared" si="333"/>
        <v>372476</v>
      </c>
      <c r="AM705" s="70">
        <f t="shared" si="336"/>
        <v>326828</v>
      </c>
      <c r="AN705" s="70">
        <f t="shared" si="336"/>
        <v>334433</v>
      </c>
      <c r="AO705" s="70">
        <f t="shared" si="337"/>
        <v>358933</v>
      </c>
      <c r="AP705" s="70">
        <f t="shared" si="338"/>
        <v>323754</v>
      </c>
    </row>
    <row r="706" spans="1:42" ht="15.75">
      <c r="A706" s="35" t="s">
        <v>7</v>
      </c>
      <c r="B706" s="15" t="s">
        <v>357</v>
      </c>
      <c r="C706" s="14">
        <f aca="true" t="shared" si="340" ref="C706:U706">C737+C769</f>
        <v>180087</v>
      </c>
      <c r="D706" s="14">
        <f t="shared" si="340"/>
        <v>214296</v>
      </c>
      <c r="E706" s="14">
        <f t="shared" si="340"/>
        <v>209847</v>
      </c>
      <c r="F706" s="14">
        <f t="shared" si="340"/>
        <v>301810</v>
      </c>
      <c r="G706" s="14">
        <f t="shared" si="340"/>
        <v>238803</v>
      </c>
      <c r="H706" s="14">
        <f t="shared" si="340"/>
        <v>257600</v>
      </c>
      <c r="I706" s="14">
        <f t="shared" si="340"/>
        <v>237392</v>
      </c>
      <c r="J706" s="14">
        <f t="shared" si="340"/>
        <v>261123</v>
      </c>
      <c r="K706" s="14">
        <f t="shared" si="340"/>
        <v>229590</v>
      </c>
      <c r="L706" s="14">
        <f t="shared" si="340"/>
        <v>453701</v>
      </c>
      <c r="M706" s="14">
        <f t="shared" si="340"/>
        <v>609667</v>
      </c>
      <c r="N706" s="14">
        <f t="shared" si="340"/>
        <v>352076</v>
      </c>
      <c r="O706" s="14">
        <f t="shared" si="340"/>
        <v>314171</v>
      </c>
      <c r="P706" s="14">
        <f t="shared" si="340"/>
        <v>319468</v>
      </c>
      <c r="Q706" s="14">
        <f t="shared" si="340"/>
        <v>405825</v>
      </c>
      <c r="R706" s="14">
        <f t="shared" si="340"/>
        <v>370381</v>
      </c>
      <c r="S706" s="14">
        <f t="shared" si="340"/>
        <v>370867</v>
      </c>
      <c r="T706" s="14">
        <f t="shared" si="340"/>
        <v>350481</v>
      </c>
      <c r="U706" s="14">
        <f t="shared" si="340"/>
        <v>537273</v>
      </c>
      <c r="V706" s="14">
        <f t="shared" si="327"/>
        <v>427943</v>
      </c>
      <c r="W706" s="14">
        <f t="shared" si="327"/>
        <v>394400</v>
      </c>
      <c r="X706" s="14">
        <f t="shared" si="327"/>
        <v>295714</v>
      </c>
      <c r="Y706" s="14">
        <f t="shared" si="327"/>
        <v>316195</v>
      </c>
      <c r="Z706" s="14">
        <f t="shared" si="327"/>
        <v>359149</v>
      </c>
      <c r="AA706" s="14">
        <f t="shared" si="328"/>
        <v>327289</v>
      </c>
      <c r="AB706" s="14">
        <f t="shared" si="328"/>
        <v>379702</v>
      </c>
      <c r="AC706" s="14">
        <f t="shared" si="329"/>
        <v>359317</v>
      </c>
      <c r="AD706" s="14">
        <f t="shared" si="329"/>
        <v>337136</v>
      </c>
      <c r="AE706" s="14">
        <f t="shared" si="330"/>
        <v>377011</v>
      </c>
      <c r="AF706" s="14">
        <f t="shared" si="330"/>
        <v>383565.988</v>
      </c>
      <c r="AG706" s="14">
        <f t="shared" si="331"/>
        <v>391120.988</v>
      </c>
      <c r="AH706" s="14">
        <f t="shared" si="332"/>
        <v>381844</v>
      </c>
      <c r="AI706" s="14">
        <f t="shared" si="333"/>
        <v>392052</v>
      </c>
      <c r="AJ706" s="14">
        <f t="shared" si="334"/>
        <v>421803</v>
      </c>
      <c r="AK706" s="14">
        <f t="shared" si="335"/>
        <v>412398</v>
      </c>
      <c r="AL706" s="70">
        <f t="shared" si="333"/>
        <v>412398</v>
      </c>
      <c r="AM706" s="70">
        <f t="shared" si="336"/>
        <v>426326</v>
      </c>
      <c r="AN706" s="70">
        <f t="shared" si="336"/>
        <v>401857</v>
      </c>
      <c r="AO706" s="70">
        <f t="shared" si="337"/>
        <v>403159</v>
      </c>
      <c r="AP706" s="70">
        <f t="shared" si="338"/>
        <v>403843</v>
      </c>
    </row>
    <row r="707" spans="1:42" ht="15.75">
      <c r="A707" s="35" t="s">
        <v>422</v>
      </c>
      <c r="B707" s="15" t="s">
        <v>357</v>
      </c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>
        <f aca="true" t="shared" si="341" ref="X707:Z709">(X738+X770)</f>
        <v>29890</v>
      </c>
      <c r="Y707" s="14">
        <f t="shared" si="341"/>
        <v>38247</v>
      </c>
      <c r="Z707" s="14">
        <f t="shared" si="341"/>
        <v>27366</v>
      </c>
      <c r="AA707" s="14">
        <f t="shared" si="328"/>
        <v>98581</v>
      </c>
      <c r="AB707" s="14">
        <f t="shared" si="328"/>
        <v>20836</v>
      </c>
      <c r="AC707" s="14">
        <f t="shared" si="329"/>
        <v>49664</v>
      </c>
      <c r="AD707" s="14">
        <f t="shared" si="329"/>
        <v>31242</v>
      </c>
      <c r="AE707" s="14">
        <f t="shared" si="330"/>
        <v>54633</v>
      </c>
      <c r="AF707" s="14">
        <f t="shared" si="330"/>
        <v>43963.591</v>
      </c>
      <c r="AG707" s="14">
        <f t="shared" si="331"/>
        <v>41089.591</v>
      </c>
      <c r="AH707" s="14">
        <f t="shared" si="332"/>
        <v>41518</v>
      </c>
      <c r="AI707" s="14">
        <f t="shared" si="333"/>
        <v>36387</v>
      </c>
      <c r="AJ707" s="14">
        <f t="shared" si="334"/>
        <v>43418</v>
      </c>
      <c r="AK707" s="14">
        <f t="shared" si="335"/>
        <v>79787</v>
      </c>
      <c r="AL707" s="70">
        <f t="shared" si="333"/>
        <v>79787</v>
      </c>
      <c r="AM707" s="70">
        <f t="shared" si="336"/>
        <v>35109</v>
      </c>
      <c r="AN707" s="70">
        <f t="shared" si="336"/>
        <v>69464</v>
      </c>
      <c r="AO707" s="70">
        <f t="shared" si="337"/>
        <v>70043</v>
      </c>
      <c r="AP707" s="70">
        <f t="shared" si="338"/>
        <v>45224</v>
      </c>
    </row>
    <row r="708" spans="1:42" ht="15.75">
      <c r="A708" s="35" t="s">
        <v>186</v>
      </c>
      <c r="B708" s="15" t="s">
        <v>357</v>
      </c>
      <c r="C708" s="14">
        <f aca="true" t="shared" si="342" ref="C708:U708">C739+C771</f>
        <v>12381</v>
      </c>
      <c r="D708" s="14">
        <f t="shared" si="342"/>
        <v>14407</v>
      </c>
      <c r="E708" s="14">
        <f t="shared" si="342"/>
        <v>15082</v>
      </c>
      <c r="F708" s="14">
        <f t="shared" si="342"/>
        <v>16466</v>
      </c>
      <c r="G708" s="14">
        <f t="shared" si="342"/>
        <v>17908</v>
      </c>
      <c r="H708" s="14">
        <f t="shared" si="342"/>
        <v>17750</v>
      </c>
      <c r="I708" s="14">
        <f t="shared" si="342"/>
        <v>19551</v>
      </c>
      <c r="J708" s="14">
        <f t="shared" si="342"/>
        <v>19542</v>
      </c>
      <c r="K708" s="14">
        <f t="shared" si="342"/>
        <v>20562</v>
      </c>
      <c r="L708" s="14">
        <f t="shared" si="342"/>
        <v>19385</v>
      </c>
      <c r="M708" s="14">
        <f t="shared" si="342"/>
        <v>21280</v>
      </c>
      <c r="N708" s="14">
        <f t="shared" si="342"/>
        <v>23053</v>
      </c>
      <c r="O708" s="14">
        <f t="shared" si="342"/>
        <v>24686</v>
      </c>
      <c r="P708" s="14">
        <f t="shared" si="342"/>
        <v>25305</v>
      </c>
      <c r="Q708" s="14">
        <f t="shared" si="342"/>
        <v>26742</v>
      </c>
      <c r="R708" s="14">
        <f t="shared" si="342"/>
        <v>31128</v>
      </c>
      <c r="S708" s="14">
        <f t="shared" si="342"/>
        <v>31457</v>
      </c>
      <c r="T708" s="14">
        <f t="shared" si="342"/>
        <v>33359</v>
      </c>
      <c r="U708" s="14">
        <f t="shared" si="342"/>
        <v>34586</v>
      </c>
      <c r="V708" s="14">
        <f>(V739+V771)</f>
        <v>34381</v>
      </c>
      <c r="W708" s="14">
        <f>(W739+W771)</f>
        <v>35443</v>
      </c>
      <c r="X708" s="14">
        <f t="shared" si="341"/>
        <v>35443</v>
      </c>
      <c r="Y708" s="14">
        <f t="shared" si="341"/>
        <v>37452</v>
      </c>
      <c r="Z708" s="14">
        <f t="shared" si="341"/>
        <v>40196</v>
      </c>
      <c r="AA708" s="14">
        <f t="shared" si="328"/>
        <v>40108</v>
      </c>
      <c r="AB708" s="14">
        <f t="shared" si="328"/>
        <v>44973</v>
      </c>
      <c r="AC708" s="14">
        <f t="shared" si="329"/>
        <v>47773</v>
      </c>
      <c r="AD708" s="14">
        <f t="shared" si="329"/>
        <v>47462</v>
      </c>
      <c r="AE708" s="14">
        <f t="shared" si="330"/>
        <v>50374</v>
      </c>
      <c r="AF708" s="14">
        <f t="shared" si="330"/>
        <v>49753.297</v>
      </c>
      <c r="AG708" s="14">
        <f t="shared" si="331"/>
        <v>49753.297</v>
      </c>
      <c r="AH708" s="14">
        <f t="shared" si="332"/>
        <v>53453</v>
      </c>
      <c r="AI708" s="14">
        <f t="shared" si="333"/>
        <v>51656</v>
      </c>
      <c r="AJ708" s="14">
        <f t="shared" si="334"/>
        <v>51662</v>
      </c>
      <c r="AK708" s="14">
        <f t="shared" si="335"/>
        <v>54624</v>
      </c>
      <c r="AL708" s="70">
        <f t="shared" si="333"/>
        <v>54624</v>
      </c>
      <c r="AM708" s="70">
        <f t="shared" si="336"/>
        <v>56755</v>
      </c>
      <c r="AN708" s="70">
        <f t="shared" si="336"/>
        <v>54624</v>
      </c>
      <c r="AO708" s="70">
        <f t="shared" si="337"/>
        <v>55018</v>
      </c>
      <c r="AP708" s="70">
        <f t="shared" si="338"/>
        <v>58949</v>
      </c>
    </row>
    <row r="709" spans="1:42" ht="15.75">
      <c r="A709" s="35" t="s">
        <v>187</v>
      </c>
      <c r="B709" s="15" t="s">
        <v>357</v>
      </c>
      <c r="C709" s="14">
        <f aca="true" t="shared" si="343" ref="C709:U709">C740+C772</f>
        <v>0</v>
      </c>
      <c r="D709" s="14">
        <f t="shared" si="343"/>
        <v>0</v>
      </c>
      <c r="E709" s="14">
        <f t="shared" si="343"/>
        <v>0</v>
      </c>
      <c r="F709" s="14">
        <f t="shared" si="343"/>
        <v>0</v>
      </c>
      <c r="G709" s="14">
        <f t="shared" si="343"/>
        <v>9119</v>
      </c>
      <c r="H709" s="14">
        <f t="shared" si="343"/>
        <v>13369</v>
      </c>
      <c r="I709" s="14">
        <f t="shared" si="343"/>
        <v>21900</v>
      </c>
      <c r="J709" s="14">
        <f t="shared" si="343"/>
        <v>16814</v>
      </c>
      <c r="K709" s="14">
        <f t="shared" si="343"/>
        <v>16908</v>
      </c>
      <c r="L709" s="14">
        <f t="shared" si="343"/>
        <v>15455</v>
      </c>
      <c r="M709" s="14">
        <f t="shared" si="343"/>
        <v>16761</v>
      </c>
      <c r="N709" s="14">
        <f t="shared" si="343"/>
        <v>17773</v>
      </c>
      <c r="O709" s="14">
        <f t="shared" si="343"/>
        <v>18761</v>
      </c>
      <c r="P709" s="14">
        <f t="shared" si="343"/>
        <v>20422</v>
      </c>
      <c r="Q709" s="14">
        <f t="shared" si="343"/>
        <v>22040</v>
      </c>
      <c r="R709" s="14">
        <f t="shared" si="343"/>
        <v>23741</v>
      </c>
      <c r="S709" s="14">
        <f t="shared" si="343"/>
        <v>23539</v>
      </c>
      <c r="T709" s="14">
        <f t="shared" si="343"/>
        <v>24283</v>
      </c>
      <c r="U709" s="14">
        <f t="shared" si="343"/>
        <v>23898</v>
      </c>
      <c r="V709" s="14">
        <f>(V740+V772)</f>
        <v>23906</v>
      </c>
      <c r="W709" s="14">
        <f>(W740+W772)</f>
        <v>24439</v>
      </c>
      <c r="X709" s="14">
        <f t="shared" si="341"/>
        <v>24500</v>
      </c>
      <c r="Y709" s="14">
        <f t="shared" si="341"/>
        <v>25436</v>
      </c>
      <c r="Z709" s="14">
        <f t="shared" si="341"/>
        <v>26086</v>
      </c>
      <c r="AA709" s="14">
        <f t="shared" si="328"/>
        <v>27785</v>
      </c>
      <c r="AB709" s="14">
        <f t="shared" si="328"/>
        <v>34283</v>
      </c>
      <c r="AC709" s="14">
        <f t="shared" si="329"/>
        <v>36091</v>
      </c>
      <c r="AD709" s="14">
        <f t="shared" si="329"/>
        <v>35438.866</v>
      </c>
      <c r="AE709" s="14">
        <f t="shared" si="330"/>
        <v>39049</v>
      </c>
      <c r="AF709" s="14">
        <f t="shared" si="330"/>
        <v>38271.539</v>
      </c>
      <c r="AG709" s="14">
        <f t="shared" si="331"/>
        <v>38271.539</v>
      </c>
      <c r="AH709" s="14">
        <f t="shared" si="332"/>
        <v>39400</v>
      </c>
      <c r="AI709" s="14">
        <f t="shared" si="333"/>
        <v>37275</v>
      </c>
      <c r="AJ709" s="14">
        <f t="shared" si="334"/>
        <v>37275</v>
      </c>
      <c r="AK709" s="14">
        <f t="shared" si="335"/>
        <v>38541</v>
      </c>
      <c r="AL709" s="70">
        <f t="shared" si="333"/>
        <v>38541</v>
      </c>
      <c r="AM709" s="70">
        <f t="shared" si="336"/>
        <v>40699</v>
      </c>
      <c r="AN709" s="70">
        <f t="shared" si="336"/>
        <v>38541</v>
      </c>
      <c r="AO709" s="70">
        <f t="shared" si="337"/>
        <v>38823</v>
      </c>
      <c r="AP709" s="70">
        <f t="shared" si="338"/>
        <v>42322</v>
      </c>
    </row>
    <row r="710" spans="1:42" ht="15.75">
      <c r="A710" s="35" t="s">
        <v>188</v>
      </c>
      <c r="B710" s="15" t="s">
        <v>357</v>
      </c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>
        <f aca="true" t="shared" si="344" ref="V710:AA710">V601</f>
        <v>16315</v>
      </c>
      <c r="W710" s="14">
        <f t="shared" si="344"/>
        <v>541928</v>
      </c>
      <c r="X710" s="14">
        <f t="shared" si="344"/>
        <v>550587</v>
      </c>
      <c r="Y710" s="14">
        <f t="shared" si="344"/>
        <v>552247</v>
      </c>
      <c r="Z710" s="14">
        <f t="shared" si="344"/>
        <v>162624</v>
      </c>
      <c r="AA710" s="14">
        <f t="shared" si="344"/>
        <v>220617</v>
      </c>
      <c r="AB710" s="14">
        <f aca="true" t="shared" si="345" ref="AB710:AH710">AB601</f>
        <v>434741</v>
      </c>
      <c r="AC710" s="14">
        <f t="shared" si="345"/>
        <v>502047</v>
      </c>
      <c r="AD710" s="14">
        <f t="shared" si="345"/>
        <v>505522</v>
      </c>
      <c r="AE710" s="14">
        <f t="shared" si="345"/>
        <v>627159</v>
      </c>
      <c r="AF710" s="14">
        <f t="shared" si="345"/>
        <v>587613.43</v>
      </c>
      <c r="AG710" s="14">
        <f>AG601</f>
        <v>486977.43000000005</v>
      </c>
      <c r="AH710" s="14">
        <f t="shared" si="345"/>
        <v>585408</v>
      </c>
      <c r="AI710" s="14">
        <f aca="true" t="shared" si="346" ref="AI710:AP710">AI601</f>
        <v>527122</v>
      </c>
      <c r="AJ710" s="14">
        <f t="shared" si="346"/>
        <v>452271</v>
      </c>
      <c r="AK710" s="14">
        <f>AK601</f>
        <v>357261</v>
      </c>
      <c r="AL710" s="70">
        <f t="shared" si="346"/>
        <v>357261</v>
      </c>
      <c r="AM710" s="70">
        <f t="shared" si="346"/>
        <v>492390</v>
      </c>
      <c r="AN710" s="70">
        <f t="shared" si="346"/>
        <v>374798</v>
      </c>
      <c r="AO710" s="70">
        <f>AO601</f>
        <v>417272</v>
      </c>
      <c r="AP710" s="70">
        <f t="shared" si="346"/>
        <v>393912</v>
      </c>
    </row>
    <row r="711" spans="1:42" ht="15.75">
      <c r="A711" s="35" t="s">
        <v>189</v>
      </c>
      <c r="B711" s="15" t="s">
        <v>357</v>
      </c>
      <c r="C711" s="16">
        <f aca="true" t="shared" si="347" ref="C711:L711">C742+C774</f>
        <v>0</v>
      </c>
      <c r="D711" s="16">
        <f t="shared" si="347"/>
        <v>0</v>
      </c>
      <c r="E711" s="16">
        <f t="shared" si="347"/>
        <v>0</v>
      </c>
      <c r="F711" s="16">
        <f t="shared" si="347"/>
        <v>0</v>
      </c>
      <c r="G711" s="16">
        <f t="shared" si="347"/>
        <v>0</v>
      </c>
      <c r="H711" s="16">
        <f t="shared" si="347"/>
        <v>0</v>
      </c>
      <c r="I711" s="16">
        <f t="shared" si="347"/>
        <v>0</v>
      </c>
      <c r="J711" s="16">
        <f t="shared" si="347"/>
        <v>0</v>
      </c>
      <c r="K711" s="16">
        <f t="shared" si="347"/>
        <v>0</v>
      </c>
      <c r="L711" s="16">
        <f t="shared" si="347"/>
        <v>0</v>
      </c>
      <c r="M711" s="16">
        <f aca="true" t="shared" si="348" ref="M711:U711">M742+M774</f>
        <v>0</v>
      </c>
      <c r="N711" s="16">
        <f t="shared" si="348"/>
        <v>0</v>
      </c>
      <c r="O711" s="16">
        <f t="shared" si="348"/>
        <v>0</v>
      </c>
      <c r="P711" s="16">
        <f t="shared" si="348"/>
        <v>750</v>
      </c>
      <c r="Q711" s="16">
        <f t="shared" si="348"/>
        <v>1247</v>
      </c>
      <c r="R711" s="16">
        <f t="shared" si="348"/>
        <v>2190</v>
      </c>
      <c r="S711" s="16">
        <f t="shared" si="348"/>
        <v>2040</v>
      </c>
      <c r="T711" s="16">
        <f t="shared" si="348"/>
        <v>1000</v>
      </c>
      <c r="U711" s="16">
        <f t="shared" si="348"/>
        <v>998</v>
      </c>
      <c r="V711" s="16">
        <f aca="true" t="shared" si="349" ref="V711:AA711">(V742+V774)</f>
        <v>999</v>
      </c>
      <c r="W711" s="16">
        <f t="shared" si="349"/>
        <v>1000</v>
      </c>
      <c r="X711" s="16">
        <f t="shared" si="349"/>
        <v>1000</v>
      </c>
      <c r="Y711" s="16">
        <f t="shared" si="349"/>
        <v>5257</v>
      </c>
      <c r="Z711" s="16">
        <f t="shared" si="349"/>
        <v>8614</v>
      </c>
      <c r="AA711" s="16">
        <f t="shared" si="349"/>
        <v>7800</v>
      </c>
      <c r="AB711" s="16">
        <f aca="true" t="shared" si="350" ref="AB711:AH711">(AB742+AB774)</f>
        <v>7092</v>
      </c>
      <c r="AC711" s="16">
        <f t="shared" si="350"/>
        <v>9900</v>
      </c>
      <c r="AD711" s="16">
        <f t="shared" si="350"/>
        <v>7891</v>
      </c>
      <c r="AE711" s="16">
        <f t="shared" si="350"/>
        <v>8400</v>
      </c>
      <c r="AF711" s="16">
        <f t="shared" si="350"/>
        <v>11000</v>
      </c>
      <c r="AG711" s="16">
        <f>(AG742+AG774)</f>
        <v>7891</v>
      </c>
      <c r="AH711" s="16">
        <f t="shared" si="350"/>
        <v>12000</v>
      </c>
      <c r="AI711" s="16">
        <f aca="true" t="shared" si="351" ref="AI711:AP711">(AI742+AI774)</f>
        <v>11000</v>
      </c>
      <c r="AJ711" s="16">
        <f t="shared" si="351"/>
        <v>10391</v>
      </c>
      <c r="AK711" s="16">
        <f>(AK742+AK774)</f>
        <v>10456</v>
      </c>
      <c r="AL711" s="104">
        <f t="shared" si="351"/>
        <v>10456</v>
      </c>
      <c r="AM711" s="104">
        <f t="shared" si="351"/>
        <v>12700</v>
      </c>
      <c r="AN711" s="104">
        <f t="shared" si="351"/>
        <v>16000</v>
      </c>
      <c r="AO711" s="104">
        <f>(AO742+AO774)</f>
        <v>16000</v>
      </c>
      <c r="AP711" s="104">
        <f t="shared" si="351"/>
        <v>17600</v>
      </c>
    </row>
    <row r="712" spans="1:42" ht="15.75" hidden="1">
      <c r="A712" s="14"/>
      <c r="B712" s="15" t="s">
        <v>357</v>
      </c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70"/>
      <c r="AM712" s="70"/>
      <c r="AN712" s="70"/>
      <c r="AO712" s="70"/>
      <c r="AP712" s="70"/>
    </row>
    <row r="713" spans="1:42" ht="15.75" hidden="1">
      <c r="A713" s="35" t="s">
        <v>108</v>
      </c>
      <c r="B713" s="15" t="s">
        <v>357</v>
      </c>
      <c r="C713" s="14">
        <f aca="true" t="shared" si="352" ref="C713:U713">C744+C776</f>
        <v>19024</v>
      </c>
      <c r="D713" s="14">
        <f t="shared" si="352"/>
        <v>25307</v>
      </c>
      <c r="E713" s="14">
        <f t="shared" si="352"/>
        <v>28351</v>
      </c>
      <c r="F713" s="14">
        <f t="shared" si="352"/>
        <v>32740</v>
      </c>
      <c r="G713" s="14">
        <f t="shared" si="352"/>
        <v>27330</v>
      </c>
      <c r="H713" s="14">
        <f t="shared" si="352"/>
        <v>0</v>
      </c>
      <c r="I713" s="14">
        <f t="shared" si="352"/>
        <v>0</v>
      </c>
      <c r="J713" s="14">
        <f t="shared" si="352"/>
        <v>0</v>
      </c>
      <c r="K713" s="14">
        <f t="shared" si="352"/>
        <v>0</v>
      </c>
      <c r="L713" s="14">
        <f t="shared" si="352"/>
        <v>0</v>
      </c>
      <c r="M713" s="14">
        <f t="shared" si="352"/>
        <v>0</v>
      </c>
      <c r="N713" s="14">
        <f t="shared" si="352"/>
        <v>0</v>
      </c>
      <c r="O713" s="14">
        <f t="shared" si="352"/>
        <v>0</v>
      </c>
      <c r="P713" s="14">
        <f t="shared" si="352"/>
        <v>0</v>
      </c>
      <c r="Q713" s="14">
        <f t="shared" si="352"/>
        <v>0</v>
      </c>
      <c r="R713" s="14">
        <f t="shared" si="352"/>
        <v>0</v>
      </c>
      <c r="S713" s="14">
        <f t="shared" si="352"/>
        <v>0</v>
      </c>
      <c r="T713" s="14">
        <f t="shared" si="352"/>
        <v>0</v>
      </c>
      <c r="U713" s="14">
        <f t="shared" si="352"/>
        <v>0</v>
      </c>
      <c r="V713" s="14">
        <f aca="true" t="shared" si="353" ref="V713:Z715">(V744+V776)</f>
        <v>0</v>
      </c>
      <c r="W713" s="14">
        <f t="shared" si="353"/>
        <v>0</v>
      </c>
      <c r="X713" s="14">
        <f t="shared" si="353"/>
        <v>0</v>
      </c>
      <c r="Y713" s="14">
        <f t="shared" si="353"/>
        <v>0</v>
      </c>
      <c r="Z713" s="14">
        <f t="shared" si="353"/>
        <v>0</v>
      </c>
      <c r="AA713" s="14">
        <f aca="true" t="shared" si="354" ref="AA713:AB715">(AA744+AA776)</f>
        <v>0</v>
      </c>
      <c r="AB713" s="14">
        <f t="shared" si="354"/>
        <v>0</v>
      </c>
      <c r="AC713" s="14">
        <f aca="true" t="shared" si="355" ref="AC713:AD715">(AC744+AC776)</f>
        <v>0</v>
      </c>
      <c r="AD713" s="14">
        <f t="shared" si="355"/>
        <v>0</v>
      </c>
      <c r="AE713" s="14">
        <f aca="true" t="shared" si="356" ref="AE713:AH715">(AE744+AE776)</f>
        <v>0</v>
      </c>
      <c r="AF713" s="14">
        <f t="shared" si="356"/>
        <v>0</v>
      </c>
      <c r="AG713" s="14">
        <f>(AG744+AG776)</f>
        <v>0</v>
      </c>
      <c r="AH713" s="14">
        <f t="shared" si="356"/>
        <v>0</v>
      </c>
      <c r="AI713" s="14">
        <f aca="true" t="shared" si="357" ref="AI713:AL715">(AI744+AI776)</f>
        <v>0</v>
      </c>
      <c r="AJ713" s="14">
        <f aca="true" t="shared" si="358" ref="AJ713:AK715">(AJ744+AJ776)</f>
        <v>0</v>
      </c>
      <c r="AK713" s="14">
        <f t="shared" si="358"/>
        <v>0</v>
      </c>
      <c r="AL713" s="70">
        <f t="shared" si="357"/>
        <v>0</v>
      </c>
      <c r="AM713" s="70">
        <f aca="true" t="shared" si="359" ref="AM713:AP715">(AM744+AM776)</f>
        <v>0</v>
      </c>
      <c r="AN713" s="70">
        <f t="shared" si="359"/>
        <v>0</v>
      </c>
      <c r="AO713" s="70">
        <f>(AO744+AO776)</f>
        <v>0</v>
      </c>
      <c r="AP713" s="70">
        <f t="shared" si="359"/>
        <v>0</v>
      </c>
    </row>
    <row r="714" spans="1:42" ht="15.75" hidden="1">
      <c r="A714" s="35" t="s">
        <v>190</v>
      </c>
      <c r="B714" s="15" t="s">
        <v>357</v>
      </c>
      <c r="C714" s="14">
        <f aca="true" t="shared" si="360" ref="C714:U714">C745+C777</f>
        <v>99301</v>
      </c>
      <c r="D714" s="14">
        <f t="shared" si="360"/>
        <v>48825</v>
      </c>
      <c r="E714" s="14">
        <f t="shared" si="360"/>
        <v>0</v>
      </c>
      <c r="F714" s="14">
        <f t="shared" si="360"/>
        <v>0</v>
      </c>
      <c r="G714" s="14">
        <f t="shared" si="360"/>
        <v>0</v>
      </c>
      <c r="H714" s="14">
        <f t="shared" si="360"/>
        <v>0</v>
      </c>
      <c r="I714" s="14">
        <f t="shared" si="360"/>
        <v>0</v>
      </c>
      <c r="J714" s="14">
        <f t="shared" si="360"/>
        <v>0</v>
      </c>
      <c r="K714" s="14">
        <f t="shared" si="360"/>
        <v>0</v>
      </c>
      <c r="L714" s="14">
        <f t="shared" si="360"/>
        <v>0</v>
      </c>
      <c r="M714" s="14">
        <f t="shared" si="360"/>
        <v>0</v>
      </c>
      <c r="N714" s="14">
        <f t="shared" si="360"/>
        <v>0</v>
      </c>
      <c r="O714" s="14">
        <f t="shared" si="360"/>
        <v>0</v>
      </c>
      <c r="P714" s="14">
        <f t="shared" si="360"/>
        <v>0</v>
      </c>
      <c r="Q714" s="14">
        <f t="shared" si="360"/>
        <v>0</v>
      </c>
      <c r="R714" s="14">
        <f t="shared" si="360"/>
        <v>0</v>
      </c>
      <c r="S714" s="14">
        <f t="shared" si="360"/>
        <v>0</v>
      </c>
      <c r="T714" s="14">
        <f t="shared" si="360"/>
        <v>0</v>
      </c>
      <c r="U714" s="14">
        <f t="shared" si="360"/>
        <v>0</v>
      </c>
      <c r="V714" s="14">
        <f t="shared" si="353"/>
        <v>0</v>
      </c>
      <c r="W714" s="14">
        <f t="shared" si="353"/>
        <v>0</v>
      </c>
      <c r="X714" s="14">
        <f t="shared" si="353"/>
        <v>0</v>
      </c>
      <c r="Y714" s="14">
        <f t="shared" si="353"/>
        <v>0</v>
      </c>
      <c r="Z714" s="14">
        <f t="shared" si="353"/>
        <v>0</v>
      </c>
      <c r="AA714" s="14">
        <f t="shared" si="354"/>
        <v>0</v>
      </c>
      <c r="AB714" s="14">
        <f t="shared" si="354"/>
        <v>0</v>
      </c>
      <c r="AC714" s="14">
        <f t="shared" si="355"/>
        <v>0</v>
      </c>
      <c r="AD714" s="14">
        <f t="shared" si="355"/>
        <v>0</v>
      </c>
      <c r="AE714" s="14">
        <f t="shared" si="356"/>
        <v>0</v>
      </c>
      <c r="AF714" s="14">
        <f t="shared" si="356"/>
        <v>0</v>
      </c>
      <c r="AG714" s="14">
        <f>(AG745+AG777)</f>
        <v>0</v>
      </c>
      <c r="AH714" s="14">
        <f t="shared" si="356"/>
        <v>0</v>
      </c>
      <c r="AI714" s="14">
        <f t="shared" si="357"/>
        <v>0</v>
      </c>
      <c r="AJ714" s="14">
        <f t="shared" si="358"/>
        <v>0</v>
      </c>
      <c r="AK714" s="14">
        <f t="shared" si="358"/>
        <v>0</v>
      </c>
      <c r="AL714" s="70">
        <f t="shared" si="357"/>
        <v>0</v>
      </c>
      <c r="AM714" s="70">
        <f t="shared" si="359"/>
        <v>0</v>
      </c>
      <c r="AN714" s="70">
        <f t="shared" si="359"/>
        <v>0</v>
      </c>
      <c r="AO714" s="70">
        <f>(AO745+AO777)</f>
        <v>0</v>
      </c>
      <c r="AP714" s="70">
        <f t="shared" si="359"/>
        <v>0</v>
      </c>
    </row>
    <row r="715" spans="1:42" ht="15.75" hidden="1">
      <c r="A715" s="35" t="s">
        <v>191</v>
      </c>
      <c r="B715" s="15" t="s">
        <v>357</v>
      </c>
      <c r="C715" s="16">
        <f aca="true" t="shared" si="361" ref="C715:U715">C746+C778</f>
        <v>567776</v>
      </c>
      <c r="D715" s="16">
        <f t="shared" si="361"/>
        <v>924159</v>
      </c>
      <c r="E715" s="16">
        <f t="shared" si="361"/>
        <v>862196</v>
      </c>
      <c r="F715" s="16">
        <f t="shared" si="361"/>
        <v>719226</v>
      </c>
      <c r="G715" s="16">
        <f t="shared" si="361"/>
        <v>0</v>
      </c>
      <c r="H715" s="16">
        <f t="shared" si="361"/>
        <v>0</v>
      </c>
      <c r="I715" s="16">
        <f t="shared" si="361"/>
        <v>0</v>
      </c>
      <c r="J715" s="16">
        <f t="shared" si="361"/>
        <v>0</v>
      </c>
      <c r="K715" s="16">
        <f t="shared" si="361"/>
        <v>0</v>
      </c>
      <c r="L715" s="16">
        <f t="shared" si="361"/>
        <v>0</v>
      </c>
      <c r="M715" s="16">
        <f t="shared" si="361"/>
        <v>0</v>
      </c>
      <c r="N715" s="16">
        <f t="shared" si="361"/>
        <v>0</v>
      </c>
      <c r="O715" s="16">
        <f t="shared" si="361"/>
        <v>0</v>
      </c>
      <c r="P715" s="16">
        <f t="shared" si="361"/>
        <v>0</v>
      </c>
      <c r="Q715" s="16">
        <f t="shared" si="361"/>
        <v>0</v>
      </c>
      <c r="R715" s="16">
        <f t="shared" si="361"/>
        <v>0</v>
      </c>
      <c r="S715" s="16">
        <f t="shared" si="361"/>
        <v>0</v>
      </c>
      <c r="T715" s="16">
        <f t="shared" si="361"/>
        <v>0</v>
      </c>
      <c r="U715" s="16">
        <f t="shared" si="361"/>
        <v>0</v>
      </c>
      <c r="V715" s="16">
        <f t="shared" si="353"/>
        <v>0</v>
      </c>
      <c r="W715" s="16">
        <f t="shared" si="353"/>
        <v>0</v>
      </c>
      <c r="X715" s="16">
        <f t="shared" si="353"/>
        <v>0</v>
      </c>
      <c r="Y715" s="16">
        <f t="shared" si="353"/>
        <v>0</v>
      </c>
      <c r="Z715" s="16">
        <f t="shared" si="353"/>
        <v>0</v>
      </c>
      <c r="AA715" s="16">
        <f t="shared" si="354"/>
        <v>0</v>
      </c>
      <c r="AB715" s="16">
        <f t="shared" si="354"/>
        <v>0</v>
      </c>
      <c r="AC715" s="16">
        <f t="shared" si="355"/>
        <v>0</v>
      </c>
      <c r="AD715" s="16">
        <f t="shared" si="355"/>
        <v>0</v>
      </c>
      <c r="AE715" s="16">
        <f t="shared" si="356"/>
        <v>0</v>
      </c>
      <c r="AF715" s="16">
        <f t="shared" si="356"/>
        <v>0</v>
      </c>
      <c r="AG715" s="16">
        <f>(AG746+AG778)</f>
        <v>0</v>
      </c>
      <c r="AH715" s="16">
        <f t="shared" si="356"/>
        <v>0</v>
      </c>
      <c r="AI715" s="16">
        <f t="shared" si="357"/>
        <v>0</v>
      </c>
      <c r="AJ715" s="16">
        <f t="shared" si="358"/>
        <v>0</v>
      </c>
      <c r="AK715" s="16">
        <f t="shared" si="358"/>
        <v>0</v>
      </c>
      <c r="AL715" s="104">
        <f t="shared" si="357"/>
        <v>0</v>
      </c>
      <c r="AM715" s="104">
        <f t="shared" si="359"/>
        <v>0</v>
      </c>
      <c r="AN715" s="104">
        <f t="shared" si="359"/>
        <v>0</v>
      </c>
      <c r="AO715" s="104">
        <f>(AO746+AO778)</f>
        <v>0</v>
      </c>
      <c r="AP715" s="104">
        <f t="shared" si="359"/>
        <v>0</v>
      </c>
    </row>
    <row r="716" spans="1:42" ht="15.75">
      <c r="A716" s="14"/>
      <c r="B716" s="15" t="s">
        <v>357</v>
      </c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70"/>
      <c r="AM716" s="70"/>
      <c r="AN716" s="70"/>
      <c r="AO716" s="70"/>
      <c r="AP716" s="70"/>
    </row>
    <row r="717" spans="1:42" ht="15.75">
      <c r="A717" s="35" t="s">
        <v>404</v>
      </c>
      <c r="B717" s="15" t="s">
        <v>357</v>
      </c>
      <c r="C717" s="14">
        <f aca="true" t="shared" si="362" ref="C717:U717">SUM(C691:C716)</f>
        <v>4683191</v>
      </c>
      <c r="D717" s="14">
        <f t="shared" si="362"/>
        <v>5653774</v>
      </c>
      <c r="E717" s="14">
        <f t="shared" si="362"/>
        <v>5943015</v>
      </c>
      <c r="F717" s="14">
        <f t="shared" si="362"/>
        <v>6586401</v>
      </c>
      <c r="G717" s="14">
        <f t="shared" si="362"/>
        <v>6205487</v>
      </c>
      <c r="H717" s="14">
        <f t="shared" si="362"/>
        <v>5947629</v>
      </c>
      <c r="I717" s="14">
        <f t="shared" si="362"/>
        <v>6577532</v>
      </c>
      <c r="J717" s="14">
        <f t="shared" si="362"/>
        <v>6629740</v>
      </c>
      <c r="K717" s="14">
        <f t="shared" si="362"/>
        <v>6949899</v>
      </c>
      <c r="L717" s="14">
        <f t="shared" si="362"/>
        <v>6219118</v>
      </c>
      <c r="M717" s="14">
        <f t="shared" si="362"/>
        <v>6815643</v>
      </c>
      <c r="N717" s="14">
        <f t="shared" si="362"/>
        <v>7013195</v>
      </c>
      <c r="O717" s="14">
        <f t="shared" si="362"/>
        <v>7435990</v>
      </c>
      <c r="P717" s="14">
        <f t="shared" si="362"/>
        <v>8485905</v>
      </c>
      <c r="Q717" s="14">
        <f t="shared" si="362"/>
        <v>8902273</v>
      </c>
      <c r="R717" s="14">
        <f t="shared" si="362"/>
        <v>9129023</v>
      </c>
      <c r="S717" s="14">
        <f t="shared" si="362"/>
        <v>9028278</v>
      </c>
      <c r="T717" s="14">
        <f t="shared" si="362"/>
        <v>9682963</v>
      </c>
      <c r="U717" s="14">
        <f t="shared" si="362"/>
        <v>9668770.734000001</v>
      </c>
      <c r="V717" s="14">
        <f aca="true" t="shared" si="363" ref="V717:AP717">(SUM(V691:V716))</f>
        <v>9456154</v>
      </c>
      <c r="W717" s="14">
        <f t="shared" si="363"/>
        <v>9964186</v>
      </c>
      <c r="X717" s="60">
        <f t="shared" si="363"/>
        <v>10570295</v>
      </c>
      <c r="Y717" s="60">
        <f t="shared" si="363"/>
        <v>10539859</v>
      </c>
      <c r="Z717" s="60">
        <f t="shared" si="363"/>
        <v>10883820</v>
      </c>
      <c r="AA717" s="60">
        <f t="shared" si="363"/>
        <v>13227045</v>
      </c>
      <c r="AB717" s="60">
        <f t="shared" si="363"/>
        <v>13413876</v>
      </c>
      <c r="AC717" s="60">
        <f t="shared" si="363"/>
        <v>13476701</v>
      </c>
      <c r="AD717" s="60">
        <f t="shared" si="363"/>
        <v>13908831.629999999</v>
      </c>
      <c r="AE717" s="60">
        <f t="shared" si="363"/>
        <v>13700016</v>
      </c>
      <c r="AF717" s="60">
        <f t="shared" si="363"/>
        <v>14330140.203221494</v>
      </c>
      <c r="AG717" s="60">
        <f t="shared" si="363"/>
        <v>14526118.249</v>
      </c>
      <c r="AH717" s="60">
        <f>(SUM(AH691:AH716))</f>
        <v>5135608</v>
      </c>
      <c r="AI717" s="60">
        <f t="shared" si="363"/>
        <v>16026976</v>
      </c>
      <c r="AJ717" s="60">
        <f>(SUM(AJ691:AJ716))+1</f>
        <v>15935856</v>
      </c>
      <c r="AK717" s="60">
        <f>(SUM(AK691:AK716))</f>
        <v>16456635</v>
      </c>
      <c r="AL717" s="117">
        <f t="shared" si="363"/>
        <v>16121561</v>
      </c>
      <c r="AM717" s="117">
        <f t="shared" si="363"/>
        <v>16106622</v>
      </c>
      <c r="AN717" s="117">
        <f t="shared" si="363"/>
        <v>14965761</v>
      </c>
      <c r="AO717" s="117">
        <f t="shared" si="363"/>
        <v>15680025</v>
      </c>
      <c r="AP717" s="117">
        <f t="shared" si="363"/>
        <v>15764982</v>
      </c>
    </row>
    <row r="718" spans="1:33" ht="15.75">
      <c r="A718" s="35"/>
      <c r="B718" s="15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60"/>
      <c r="Y718" s="60"/>
      <c r="Z718" s="60"/>
      <c r="AA718" s="60"/>
      <c r="AB718" s="87"/>
      <c r="AC718" s="85"/>
      <c r="AD718" s="85"/>
      <c r="AE718" s="86"/>
      <c r="AF718" s="86"/>
      <c r="AG718" s="86"/>
    </row>
    <row r="719" spans="1:42" ht="31.5">
      <c r="A719" s="61" t="s">
        <v>197</v>
      </c>
      <c r="B719" s="15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>
        <f>+Q717-Q695-Q696</f>
        <v>7805021</v>
      </c>
      <c r="R719" s="14">
        <f aca="true" t="shared" si="364" ref="R719:AC719">+R717-R695-R696</f>
        <v>8100134</v>
      </c>
      <c r="S719" s="14">
        <f t="shared" si="364"/>
        <v>8117019</v>
      </c>
      <c r="T719" s="14">
        <f t="shared" si="364"/>
        <v>8778178</v>
      </c>
      <c r="U719" s="14">
        <f t="shared" si="364"/>
        <v>8739772.734000001</v>
      </c>
      <c r="V719" s="14">
        <f t="shared" si="364"/>
        <v>8533990</v>
      </c>
      <c r="W719" s="14">
        <f t="shared" si="364"/>
        <v>9083830</v>
      </c>
      <c r="X719" s="14">
        <f t="shared" si="364"/>
        <v>9605020</v>
      </c>
      <c r="Y719" s="14">
        <f t="shared" si="364"/>
        <v>9620054</v>
      </c>
      <c r="Z719" s="14">
        <f t="shared" si="364"/>
        <v>9990493</v>
      </c>
      <c r="AA719" s="14">
        <f t="shared" si="364"/>
        <v>12283389</v>
      </c>
      <c r="AB719" s="14">
        <f t="shared" si="364"/>
        <v>12170260</v>
      </c>
      <c r="AC719" s="14">
        <f t="shared" si="364"/>
        <v>12502677</v>
      </c>
      <c r="AD719" s="14">
        <f aca="true" t="shared" si="365" ref="AD719:AL719">+AD717-AD695-AD696</f>
        <v>12858790.996</v>
      </c>
      <c r="AE719" s="14">
        <f t="shared" si="365"/>
        <v>12690273</v>
      </c>
      <c r="AF719" s="14">
        <f t="shared" si="365"/>
        <v>13265601.618221493</v>
      </c>
      <c r="AG719" s="14">
        <f t="shared" si="365"/>
        <v>13468122.845</v>
      </c>
      <c r="AH719" s="14">
        <f t="shared" si="365"/>
        <v>5135608</v>
      </c>
      <c r="AI719" s="14">
        <f t="shared" si="365"/>
        <v>14911869</v>
      </c>
      <c r="AJ719" s="14">
        <f>+AJ717-AJ695-AJ696-1</f>
        <v>14814829</v>
      </c>
      <c r="AK719" s="14">
        <f>+AK717-AK695-AK696-1</f>
        <v>15277546</v>
      </c>
      <c r="AL719" s="70">
        <f t="shared" si="365"/>
        <v>14951473</v>
      </c>
      <c r="AM719" s="70">
        <f>+AM717-AM695-AM696</f>
        <v>15095719</v>
      </c>
      <c r="AN719" s="70">
        <f>+AN717-AN695-AN696</f>
        <v>13948584</v>
      </c>
      <c r="AO719" s="70">
        <f>+AO717-AO695-AO696</f>
        <v>14508751</v>
      </c>
      <c r="AP719" s="70">
        <f>+AP717-AP695-AP696</f>
        <v>14649247</v>
      </c>
    </row>
    <row r="720" spans="1:42" ht="15.75">
      <c r="A720" s="14"/>
      <c r="B720" s="15" t="s">
        <v>357</v>
      </c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70"/>
      <c r="AM720" s="70"/>
      <c r="AN720" s="70"/>
      <c r="AO720" s="70"/>
      <c r="AP720" s="70"/>
    </row>
    <row r="721" spans="1:42" ht="15.75" outlineLevel="1">
      <c r="A721" s="10" t="s">
        <v>97</v>
      </c>
      <c r="B721" s="15" t="s">
        <v>357</v>
      </c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70"/>
      <c r="AM721" s="70"/>
      <c r="AN721" s="70"/>
      <c r="AO721" s="70"/>
      <c r="AP721" s="70"/>
    </row>
    <row r="722" spans="1:42" ht="15.75" outlineLevel="1">
      <c r="A722" s="14"/>
      <c r="B722" s="15" t="s">
        <v>357</v>
      </c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70"/>
      <c r="AM722" s="70"/>
      <c r="AN722" s="70"/>
      <c r="AO722" s="70"/>
      <c r="AP722" s="70"/>
    </row>
    <row r="723" spans="1:42" ht="15.75" outlineLevel="1">
      <c r="A723" s="35" t="s">
        <v>384</v>
      </c>
      <c r="B723" s="15" t="s">
        <v>357</v>
      </c>
      <c r="C723" s="14">
        <f aca="true" t="shared" si="366" ref="C723:U723">C43</f>
        <v>436581</v>
      </c>
      <c r="D723" s="14">
        <f t="shared" si="366"/>
        <v>490054</v>
      </c>
      <c r="E723" s="14">
        <f t="shared" si="366"/>
        <v>529522</v>
      </c>
      <c r="F723" s="14">
        <f t="shared" si="366"/>
        <v>543428</v>
      </c>
      <c r="G723" s="14">
        <f t="shared" si="366"/>
        <v>594380</v>
      </c>
      <c r="H723" s="14">
        <f t="shared" si="366"/>
        <v>598048</v>
      </c>
      <c r="I723" s="14">
        <f t="shared" si="366"/>
        <v>556217</v>
      </c>
      <c r="J723" s="14">
        <f t="shared" si="366"/>
        <v>586004</v>
      </c>
      <c r="K723" s="14">
        <f t="shared" si="366"/>
        <v>651945</v>
      </c>
      <c r="L723" s="14">
        <f t="shared" si="366"/>
        <v>557691</v>
      </c>
      <c r="M723" s="14">
        <f t="shared" si="366"/>
        <v>653675</v>
      </c>
      <c r="N723" s="14">
        <f t="shared" si="366"/>
        <v>658367</v>
      </c>
      <c r="O723" s="14">
        <f t="shared" si="366"/>
        <v>728735</v>
      </c>
      <c r="P723" s="14">
        <f t="shared" si="366"/>
        <v>950856</v>
      </c>
      <c r="Q723" s="14">
        <f t="shared" si="366"/>
        <v>912658</v>
      </c>
      <c r="R723" s="14">
        <f t="shared" si="366"/>
        <v>1007811</v>
      </c>
      <c r="S723" s="14">
        <f t="shared" si="366"/>
        <v>1029786</v>
      </c>
      <c r="T723" s="14">
        <f t="shared" si="366"/>
        <v>1075774</v>
      </c>
      <c r="U723" s="14">
        <f t="shared" si="366"/>
        <v>1094372</v>
      </c>
      <c r="V723" s="14">
        <f aca="true" t="shared" si="367" ref="V723:AA723">(V43)</f>
        <v>1156855</v>
      </c>
      <c r="W723" s="14">
        <f t="shared" si="367"/>
        <v>1150505</v>
      </c>
      <c r="X723" s="14">
        <f t="shared" si="367"/>
        <v>1450738</v>
      </c>
      <c r="Y723" s="14">
        <f t="shared" si="367"/>
        <v>1235244</v>
      </c>
      <c r="Z723" s="14">
        <f t="shared" si="367"/>
        <v>1497318</v>
      </c>
      <c r="AA723" s="14">
        <f t="shared" si="367"/>
        <v>2166488</v>
      </c>
      <c r="AB723" s="14">
        <f aca="true" t="shared" si="368" ref="AB723:AL723">(AB43)</f>
        <v>1893080</v>
      </c>
      <c r="AC723" s="14">
        <f t="shared" si="368"/>
        <v>1825422</v>
      </c>
      <c r="AD723" s="14">
        <f t="shared" si="368"/>
        <v>2105077</v>
      </c>
      <c r="AE723" s="14">
        <f t="shared" si="368"/>
        <v>1700521</v>
      </c>
      <c r="AF723" s="14">
        <f t="shared" si="368"/>
        <v>1793228.5962214924</v>
      </c>
      <c r="AG723" s="14">
        <f t="shared" si="368"/>
        <v>1910718</v>
      </c>
      <c r="AH723" s="14">
        <f>(AH44)</f>
        <v>1006401</v>
      </c>
      <c r="AI723" s="14">
        <f t="shared" si="368"/>
        <v>1820555</v>
      </c>
      <c r="AJ723" s="14">
        <f>(AJ43)</f>
        <v>1830097</v>
      </c>
      <c r="AK723" s="14">
        <f>(AK43)</f>
        <v>1949553</v>
      </c>
      <c r="AL723" s="70">
        <f t="shared" si="368"/>
        <v>1858553</v>
      </c>
      <c r="AM723" s="70">
        <f>(AM43)</f>
        <v>1772860</v>
      </c>
      <c r="AN723" s="70">
        <f>(AN43)</f>
        <v>1754223</v>
      </c>
      <c r="AO723" s="70">
        <f>(AO43)</f>
        <v>1872047</v>
      </c>
      <c r="AP723" s="70">
        <f>(AP43)</f>
        <v>1812029</v>
      </c>
    </row>
    <row r="724" spans="1:42" ht="15.75" outlineLevel="1">
      <c r="A724" s="35" t="s">
        <v>385</v>
      </c>
      <c r="B724" s="15" t="s">
        <v>357</v>
      </c>
      <c r="C724" s="14">
        <f>C78</f>
        <v>0</v>
      </c>
      <c r="D724" s="14">
        <f>D78</f>
        <v>0</v>
      </c>
      <c r="E724" s="14">
        <f>E78</f>
        <v>0</v>
      </c>
      <c r="F724" s="14">
        <f>F78</f>
        <v>0</v>
      </c>
      <c r="G724" s="14">
        <f>G78</f>
        <v>0</v>
      </c>
      <c r="H724" s="14">
        <f aca="true" t="shared" si="369" ref="H724:U724">H80</f>
        <v>0</v>
      </c>
      <c r="I724" s="14">
        <f t="shared" si="369"/>
        <v>182127</v>
      </c>
      <c r="J724" s="14">
        <f t="shared" si="369"/>
        <v>164625</v>
      </c>
      <c r="K724" s="14">
        <f t="shared" si="369"/>
        <v>161847</v>
      </c>
      <c r="L724" s="14">
        <f t="shared" si="369"/>
        <v>160029</v>
      </c>
      <c r="M724" s="14">
        <f t="shared" si="369"/>
        <v>161497</v>
      </c>
      <c r="N724" s="14">
        <f t="shared" si="369"/>
        <v>168717</v>
      </c>
      <c r="O724" s="14">
        <f t="shared" si="369"/>
        <v>170745</v>
      </c>
      <c r="P724" s="14">
        <f t="shared" si="369"/>
        <v>176042</v>
      </c>
      <c r="Q724" s="14">
        <f t="shared" si="369"/>
        <v>195993</v>
      </c>
      <c r="R724" s="14">
        <f t="shared" si="369"/>
        <v>204461</v>
      </c>
      <c r="S724" s="14">
        <f t="shared" si="369"/>
        <v>200670</v>
      </c>
      <c r="T724" s="14">
        <f t="shared" si="369"/>
        <v>199028</v>
      </c>
      <c r="U724" s="14">
        <f t="shared" si="369"/>
        <v>193737</v>
      </c>
      <c r="V724" s="14">
        <f aca="true" t="shared" si="370" ref="V724:AA724">(V80)</f>
        <v>188752</v>
      </c>
      <c r="W724" s="14">
        <f t="shared" si="370"/>
        <v>163395</v>
      </c>
      <c r="X724" s="14">
        <f t="shared" si="370"/>
        <v>150314</v>
      </c>
      <c r="Y724" s="14">
        <f t="shared" si="370"/>
        <v>124150</v>
      </c>
      <c r="Z724" s="14">
        <f t="shared" si="370"/>
        <v>116318</v>
      </c>
      <c r="AA724" s="14">
        <f t="shared" si="370"/>
        <v>139221</v>
      </c>
      <c r="AB724" s="14">
        <f aca="true" t="shared" si="371" ref="AB724:AG724">(AB80)</f>
        <v>156740</v>
      </c>
      <c r="AC724" s="14">
        <f t="shared" si="371"/>
        <v>170327</v>
      </c>
      <c r="AD724" s="14">
        <f t="shared" si="371"/>
        <v>170311.8</v>
      </c>
      <c r="AE724" s="14">
        <f t="shared" si="371"/>
        <v>171321</v>
      </c>
      <c r="AF724" s="14">
        <f t="shared" si="371"/>
        <v>170296.448</v>
      </c>
      <c r="AG724" s="14">
        <f t="shared" si="371"/>
        <v>170296</v>
      </c>
      <c r="AH724" s="14">
        <f>(AH81)</f>
        <v>0</v>
      </c>
      <c r="AI724" s="14">
        <f aca="true" t="shared" si="372" ref="AI724:AP724">(AI80)</f>
        <v>173826</v>
      </c>
      <c r="AJ724" s="14">
        <f t="shared" si="372"/>
        <v>177168</v>
      </c>
      <c r="AK724" s="14">
        <f>(AK80)</f>
        <v>185951</v>
      </c>
      <c r="AL724" s="70">
        <f t="shared" si="372"/>
        <v>154951</v>
      </c>
      <c r="AM724" s="70">
        <f t="shared" si="372"/>
        <v>163554</v>
      </c>
      <c r="AN724" s="70">
        <f t="shared" si="372"/>
        <v>158294</v>
      </c>
      <c r="AO724" s="70">
        <f>(AO80)</f>
        <v>159515</v>
      </c>
      <c r="AP724" s="70">
        <f t="shared" si="372"/>
        <v>161451</v>
      </c>
    </row>
    <row r="725" spans="1:42" ht="15.75" collapsed="1">
      <c r="A725" s="35" t="s">
        <v>55</v>
      </c>
      <c r="B725" s="15" t="s">
        <v>357</v>
      </c>
      <c r="C725" s="14">
        <f aca="true" t="shared" si="373" ref="C725:U725">C109</f>
        <v>1000</v>
      </c>
      <c r="D725" s="14">
        <f t="shared" si="373"/>
        <v>67527</v>
      </c>
      <c r="E725" s="14">
        <f t="shared" si="373"/>
        <v>115390</v>
      </c>
      <c r="F725" s="14">
        <f t="shared" si="373"/>
        <v>179530</v>
      </c>
      <c r="G725" s="14">
        <f t="shared" si="373"/>
        <v>177964</v>
      </c>
      <c r="H725" s="14">
        <f t="shared" si="373"/>
        <v>173848</v>
      </c>
      <c r="I725" s="14">
        <f t="shared" si="373"/>
        <v>274062</v>
      </c>
      <c r="J725" s="14">
        <f t="shared" si="373"/>
        <v>341923</v>
      </c>
      <c r="K725" s="14">
        <f t="shared" si="373"/>
        <v>377288</v>
      </c>
      <c r="L725" s="14">
        <f t="shared" si="373"/>
        <v>278069</v>
      </c>
      <c r="M725" s="14">
        <f t="shared" si="373"/>
        <v>319098</v>
      </c>
      <c r="N725" s="14">
        <f t="shared" si="373"/>
        <v>309495</v>
      </c>
      <c r="O725" s="14">
        <f t="shared" si="373"/>
        <v>295332</v>
      </c>
      <c r="P725" s="14">
        <f t="shared" si="373"/>
        <v>294832</v>
      </c>
      <c r="Q725" s="14">
        <f t="shared" si="373"/>
        <v>309208</v>
      </c>
      <c r="R725" s="14">
        <f t="shared" si="373"/>
        <v>297978</v>
      </c>
      <c r="S725" s="14">
        <f t="shared" si="373"/>
        <v>299941</v>
      </c>
      <c r="T725" s="14">
        <f t="shared" si="373"/>
        <v>308378</v>
      </c>
      <c r="U725" s="14">
        <f t="shared" si="373"/>
        <v>292412</v>
      </c>
      <c r="V725" s="14">
        <f aca="true" t="shared" si="374" ref="V725:AA725">(V109)</f>
        <v>269565</v>
      </c>
      <c r="W725" s="14">
        <f t="shared" si="374"/>
        <v>271523</v>
      </c>
      <c r="X725" s="14">
        <f t="shared" si="374"/>
        <v>272704</v>
      </c>
      <c r="Y725" s="14">
        <f t="shared" si="374"/>
        <v>278523</v>
      </c>
      <c r="Z725" s="14">
        <f t="shared" si="374"/>
        <v>369313</v>
      </c>
      <c r="AA725" s="14">
        <f t="shared" si="374"/>
        <v>394059</v>
      </c>
      <c r="AB725" s="14">
        <f aca="true" t="shared" si="375" ref="AB725:AG725">(AB109)</f>
        <v>306230</v>
      </c>
      <c r="AC725" s="14">
        <f t="shared" si="375"/>
        <v>279402</v>
      </c>
      <c r="AD725" s="14">
        <f t="shared" si="375"/>
        <v>328781</v>
      </c>
      <c r="AE725" s="14">
        <f t="shared" si="375"/>
        <v>281168</v>
      </c>
      <c r="AF725" s="14">
        <f t="shared" si="375"/>
        <v>295975.525</v>
      </c>
      <c r="AG725" s="14">
        <f t="shared" si="375"/>
        <v>295778</v>
      </c>
      <c r="AH725" s="14">
        <f>(AH110)</f>
        <v>0</v>
      </c>
      <c r="AI725" s="14">
        <f aca="true" t="shared" si="376" ref="AI725:AP725">(AI109)</f>
        <v>296573</v>
      </c>
      <c r="AJ725" s="14">
        <f t="shared" si="376"/>
        <v>296562</v>
      </c>
      <c r="AK725" s="14">
        <f>(AK109)</f>
        <v>294228</v>
      </c>
      <c r="AL725" s="70">
        <f t="shared" si="376"/>
        <v>294228</v>
      </c>
      <c r="AM725" s="70">
        <f t="shared" si="376"/>
        <v>298145</v>
      </c>
      <c r="AN725" s="70">
        <f t="shared" si="376"/>
        <v>291747</v>
      </c>
      <c r="AO725" s="70">
        <f>(AO109)</f>
        <v>294591</v>
      </c>
      <c r="AP725" s="70">
        <f t="shared" si="376"/>
        <v>168295</v>
      </c>
    </row>
    <row r="726" spans="1:42" ht="15.75">
      <c r="A726" s="14"/>
      <c r="B726" s="15" t="s">
        <v>357</v>
      </c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70"/>
      <c r="AM726" s="70"/>
      <c r="AN726" s="70"/>
      <c r="AO726" s="70"/>
      <c r="AP726" s="70"/>
    </row>
    <row r="727" spans="1:42" ht="31.5" customHeight="1">
      <c r="A727" s="35" t="s">
        <v>56</v>
      </c>
      <c r="B727" s="15" t="s">
        <v>357</v>
      </c>
      <c r="C727" s="14">
        <f aca="true" t="shared" si="377" ref="C727:U727">C148</f>
        <v>968497</v>
      </c>
      <c r="D727" s="14">
        <f t="shared" si="377"/>
        <v>685848</v>
      </c>
      <c r="E727" s="14">
        <f t="shared" si="377"/>
        <v>583020</v>
      </c>
      <c r="F727" s="14">
        <f t="shared" si="377"/>
        <v>615157</v>
      </c>
      <c r="G727" s="14">
        <f t="shared" si="377"/>
        <v>785885</v>
      </c>
      <c r="H727" s="14">
        <f t="shared" si="377"/>
        <v>770738</v>
      </c>
      <c r="I727" s="14">
        <f t="shared" si="377"/>
        <v>917056</v>
      </c>
      <c r="J727" s="14">
        <f t="shared" si="377"/>
        <v>963416</v>
      </c>
      <c r="K727" s="14">
        <f t="shared" si="377"/>
        <v>1067009</v>
      </c>
      <c r="L727" s="14">
        <f t="shared" si="377"/>
        <v>744463</v>
      </c>
      <c r="M727" s="14">
        <f t="shared" si="377"/>
        <v>875244</v>
      </c>
      <c r="N727" s="14">
        <f t="shared" si="377"/>
        <v>949302</v>
      </c>
      <c r="O727" s="14">
        <f t="shared" si="377"/>
        <v>991136</v>
      </c>
      <c r="P727" s="14">
        <f t="shared" si="377"/>
        <v>960292</v>
      </c>
      <c r="Q727" s="14">
        <f t="shared" si="377"/>
        <v>962347</v>
      </c>
      <c r="R727" s="14">
        <f t="shared" si="377"/>
        <v>893887</v>
      </c>
      <c r="S727" s="14">
        <f t="shared" si="377"/>
        <v>810152</v>
      </c>
      <c r="T727" s="14">
        <f t="shared" si="377"/>
        <v>821258</v>
      </c>
      <c r="U727" s="14">
        <f t="shared" si="377"/>
        <v>814328</v>
      </c>
      <c r="V727" s="14">
        <f aca="true" t="shared" si="378" ref="V727:AA727">(V148)</f>
        <v>807951</v>
      </c>
      <c r="W727" s="14">
        <f t="shared" si="378"/>
        <v>777988</v>
      </c>
      <c r="X727" s="14">
        <f t="shared" si="378"/>
        <v>863809</v>
      </c>
      <c r="Y727" s="14">
        <f t="shared" si="378"/>
        <v>781607</v>
      </c>
      <c r="Z727" s="14">
        <f t="shared" si="378"/>
        <v>768573</v>
      </c>
      <c r="AA727" s="14">
        <f t="shared" si="378"/>
        <v>776229</v>
      </c>
      <c r="AB727" s="14">
        <f aca="true" t="shared" si="379" ref="AB727:AG727">(AB148)</f>
        <v>1117776</v>
      </c>
      <c r="AC727" s="14">
        <f t="shared" si="379"/>
        <v>854921</v>
      </c>
      <c r="AD727" s="14">
        <f t="shared" si="379"/>
        <v>936560.034</v>
      </c>
      <c r="AE727" s="14">
        <f t="shared" si="379"/>
        <v>878017</v>
      </c>
      <c r="AF727" s="14">
        <f t="shared" si="379"/>
        <v>942857.912</v>
      </c>
      <c r="AG727" s="14">
        <f t="shared" si="379"/>
        <v>942858</v>
      </c>
      <c r="AH727" s="14">
        <f>(AH149)</f>
        <v>0</v>
      </c>
      <c r="AI727" s="14">
        <f aca="true" t="shared" si="380" ref="AI727:AP727">(AI148)</f>
        <v>964921</v>
      </c>
      <c r="AJ727" s="14">
        <f t="shared" si="380"/>
        <v>971921</v>
      </c>
      <c r="AK727" s="14">
        <f>(AK148)</f>
        <v>1027303</v>
      </c>
      <c r="AL727" s="70">
        <f t="shared" si="380"/>
        <v>1018303</v>
      </c>
      <c r="AM727" s="70">
        <f t="shared" si="380"/>
        <v>883581</v>
      </c>
      <c r="AN727" s="70">
        <f t="shared" si="380"/>
        <v>888781</v>
      </c>
      <c r="AO727" s="70">
        <f>(AO148)</f>
        <v>1042996</v>
      </c>
      <c r="AP727" s="70">
        <f t="shared" si="380"/>
        <v>958380</v>
      </c>
    </row>
    <row r="728" spans="1:42" ht="15.75">
      <c r="A728" s="35" t="s">
        <v>195</v>
      </c>
      <c r="B728" s="15" t="s">
        <v>357</v>
      </c>
      <c r="C728" s="14"/>
      <c r="D728" s="14"/>
      <c r="E728" s="14"/>
      <c r="F728" s="14"/>
      <c r="G728" s="14"/>
      <c r="H728" s="14"/>
      <c r="I728" s="14"/>
      <c r="J728" s="14"/>
      <c r="K728" s="48">
        <v>0</v>
      </c>
      <c r="L728" s="14"/>
      <c r="M728" s="14"/>
      <c r="N728" s="14"/>
      <c r="O728" s="14"/>
      <c r="P728" s="14"/>
      <c r="Q728" s="14"/>
      <c r="R728" s="14"/>
      <c r="S728" s="14"/>
      <c r="T728" s="14">
        <f>T185</f>
        <v>30620</v>
      </c>
      <c r="U728" s="14">
        <f>U185</f>
        <v>40163</v>
      </c>
      <c r="V728" s="14">
        <f aca="true" t="shared" si="381" ref="V728:AA728">(V185)</f>
        <v>44139</v>
      </c>
      <c r="W728" s="14">
        <f t="shared" si="381"/>
        <v>43627</v>
      </c>
      <c r="X728" s="14">
        <f t="shared" si="381"/>
        <v>41153</v>
      </c>
      <c r="Y728" s="14">
        <f t="shared" si="381"/>
        <v>42500</v>
      </c>
      <c r="Z728" s="14">
        <f t="shared" si="381"/>
        <v>39233</v>
      </c>
      <c r="AA728" s="14">
        <f t="shared" si="381"/>
        <v>39861</v>
      </c>
      <c r="AB728" s="14">
        <f aca="true" t="shared" si="382" ref="AB728:AG728">(AB185)</f>
        <v>36228</v>
      </c>
      <c r="AC728" s="14">
        <f t="shared" si="382"/>
        <v>36228</v>
      </c>
      <c r="AD728" s="14">
        <f t="shared" si="382"/>
        <v>35993</v>
      </c>
      <c r="AE728" s="14">
        <f t="shared" si="382"/>
        <v>44191</v>
      </c>
      <c r="AF728" s="14">
        <f t="shared" si="382"/>
        <v>37965.673</v>
      </c>
      <c r="AG728" s="14">
        <f t="shared" si="382"/>
        <v>37966.404</v>
      </c>
      <c r="AH728" s="14">
        <f>(AH186)</f>
        <v>0</v>
      </c>
      <c r="AI728" s="14">
        <f aca="true" t="shared" si="383" ref="AI728:AP728">(AI185)</f>
        <v>47625</v>
      </c>
      <c r="AJ728" s="14">
        <f t="shared" si="383"/>
        <v>47625</v>
      </c>
      <c r="AK728" s="14">
        <f>(AK185)</f>
        <v>34007</v>
      </c>
      <c r="AL728" s="70">
        <f t="shared" si="383"/>
        <v>34007</v>
      </c>
      <c r="AM728" s="70">
        <f t="shared" si="383"/>
        <v>40155</v>
      </c>
      <c r="AN728" s="70">
        <f t="shared" si="383"/>
        <v>34138</v>
      </c>
      <c r="AO728" s="70">
        <f>(AO185)</f>
        <v>34020</v>
      </c>
      <c r="AP728" s="70">
        <f t="shared" si="383"/>
        <v>43000</v>
      </c>
    </row>
    <row r="729" spans="1:42" ht="15.75">
      <c r="A729" s="35" t="s">
        <v>317</v>
      </c>
      <c r="B729" s="15" t="s">
        <v>357</v>
      </c>
      <c r="C729" s="14">
        <f aca="true" t="shared" si="384" ref="C729:U729">C209</f>
        <v>320433</v>
      </c>
      <c r="D729" s="14">
        <f t="shared" si="384"/>
        <v>585440</v>
      </c>
      <c r="E729" s="14">
        <f t="shared" si="384"/>
        <v>649567</v>
      </c>
      <c r="F729" s="14">
        <f t="shared" si="384"/>
        <v>645489</v>
      </c>
      <c r="G729" s="14">
        <f t="shared" si="384"/>
        <v>623057</v>
      </c>
      <c r="H729" s="14">
        <f t="shared" si="384"/>
        <v>510042</v>
      </c>
      <c r="I729" s="14">
        <f t="shared" si="384"/>
        <v>378184</v>
      </c>
      <c r="J729" s="14">
        <f t="shared" si="384"/>
        <v>390672</v>
      </c>
      <c r="K729" s="14">
        <f t="shared" si="384"/>
        <v>416368</v>
      </c>
      <c r="L729" s="14">
        <f t="shared" si="384"/>
        <v>412306</v>
      </c>
      <c r="M729" s="14">
        <f t="shared" si="384"/>
        <v>430943</v>
      </c>
      <c r="N729" s="14">
        <f t="shared" si="384"/>
        <v>447747</v>
      </c>
      <c r="O729" s="14">
        <f t="shared" si="384"/>
        <v>451506</v>
      </c>
      <c r="P729" s="14">
        <f t="shared" si="384"/>
        <v>501402</v>
      </c>
      <c r="Q729" s="14">
        <f t="shared" si="384"/>
        <v>570690</v>
      </c>
      <c r="R729" s="14">
        <f t="shared" si="384"/>
        <v>584194</v>
      </c>
      <c r="S729" s="14">
        <f t="shared" si="384"/>
        <v>581087</v>
      </c>
      <c r="T729" s="14">
        <f t="shared" si="384"/>
        <v>596985</v>
      </c>
      <c r="U729" s="14">
        <f t="shared" si="384"/>
        <v>570507</v>
      </c>
      <c r="V729" s="14">
        <f aca="true" t="shared" si="385" ref="V729:AA729">(V209)</f>
        <v>731296</v>
      </c>
      <c r="W729" s="14">
        <f t="shared" si="385"/>
        <v>744701</v>
      </c>
      <c r="X729" s="14">
        <f t="shared" si="385"/>
        <v>760358</v>
      </c>
      <c r="Y729" s="14">
        <f t="shared" si="385"/>
        <v>797241</v>
      </c>
      <c r="Z729" s="14">
        <f t="shared" si="385"/>
        <v>814626</v>
      </c>
      <c r="AA729" s="14">
        <f t="shared" si="385"/>
        <v>883650</v>
      </c>
      <c r="AB729" s="14">
        <f aca="true" t="shared" si="386" ref="AB729:AG729">(AB209)</f>
        <v>913913</v>
      </c>
      <c r="AC729" s="14">
        <f t="shared" si="386"/>
        <v>867338</v>
      </c>
      <c r="AD729" s="14">
        <f t="shared" si="386"/>
        <v>919273</v>
      </c>
      <c r="AE729" s="14">
        <f t="shared" si="386"/>
        <v>895505</v>
      </c>
      <c r="AF729" s="14">
        <f t="shared" si="386"/>
        <v>937984.077</v>
      </c>
      <c r="AG729" s="14">
        <f t="shared" si="386"/>
        <v>937984</v>
      </c>
      <c r="AH729" s="14">
        <f>(AH210)</f>
        <v>0</v>
      </c>
      <c r="AI729" s="14">
        <f aca="true" t="shared" si="387" ref="AI729:AP729">(AI209)</f>
        <v>935464</v>
      </c>
      <c r="AJ729" s="14">
        <f t="shared" si="387"/>
        <v>948564</v>
      </c>
      <c r="AK729" s="14">
        <f>(AK209)</f>
        <v>976845</v>
      </c>
      <c r="AL729" s="70">
        <f t="shared" si="387"/>
        <v>961345</v>
      </c>
      <c r="AM729" s="70">
        <f t="shared" si="387"/>
        <v>944760</v>
      </c>
      <c r="AN729" s="70">
        <f t="shared" si="387"/>
        <v>962676</v>
      </c>
      <c r="AO729" s="70">
        <f>(AO209)</f>
        <v>988050</v>
      </c>
      <c r="AP729" s="70">
        <f t="shared" si="387"/>
        <v>974952</v>
      </c>
    </row>
    <row r="730" spans="1:42" ht="15.75">
      <c r="A730" s="35" t="s">
        <v>318</v>
      </c>
      <c r="B730" s="15" t="s">
        <v>357</v>
      </c>
      <c r="C730" s="14">
        <f aca="true" t="shared" si="388" ref="C730:U730">C241</f>
        <v>133611</v>
      </c>
      <c r="D730" s="14">
        <f t="shared" si="388"/>
        <v>138200</v>
      </c>
      <c r="E730" s="14">
        <f t="shared" si="388"/>
        <v>148476</v>
      </c>
      <c r="F730" s="14">
        <f t="shared" si="388"/>
        <v>134033</v>
      </c>
      <c r="G730" s="14">
        <f t="shared" si="388"/>
        <v>142319</v>
      </c>
      <c r="H730" s="14">
        <f t="shared" si="388"/>
        <v>150602</v>
      </c>
      <c r="I730" s="14">
        <f t="shared" si="388"/>
        <v>144568</v>
      </c>
      <c r="J730" s="14">
        <f t="shared" si="388"/>
        <v>136855</v>
      </c>
      <c r="K730" s="14">
        <f t="shared" si="388"/>
        <v>135959</v>
      </c>
      <c r="L730" s="14">
        <f t="shared" si="388"/>
        <v>127711</v>
      </c>
      <c r="M730" s="14">
        <f t="shared" si="388"/>
        <v>140412</v>
      </c>
      <c r="N730" s="14">
        <f t="shared" si="388"/>
        <v>146398</v>
      </c>
      <c r="O730" s="14">
        <f t="shared" si="388"/>
        <v>159208</v>
      </c>
      <c r="P730" s="14">
        <f t="shared" si="388"/>
        <v>178443</v>
      </c>
      <c r="Q730" s="14">
        <f t="shared" si="388"/>
        <v>175225</v>
      </c>
      <c r="R730" s="14">
        <f t="shared" si="388"/>
        <v>173477</v>
      </c>
      <c r="S730" s="14">
        <f t="shared" si="388"/>
        <v>174235</v>
      </c>
      <c r="T730" s="14">
        <f t="shared" si="388"/>
        <v>169436</v>
      </c>
      <c r="U730" s="14">
        <f t="shared" si="388"/>
        <v>152138</v>
      </c>
      <c r="V730" s="14">
        <f aca="true" t="shared" si="389" ref="V730:AA730">(V241)</f>
        <v>63911</v>
      </c>
      <c r="W730" s="14">
        <f t="shared" si="389"/>
        <v>0</v>
      </c>
      <c r="X730" s="14">
        <f t="shared" si="389"/>
        <v>-1605</v>
      </c>
      <c r="Y730" s="14">
        <f t="shared" si="389"/>
        <v>0</v>
      </c>
      <c r="Z730" s="14">
        <f t="shared" si="389"/>
        <v>0</v>
      </c>
      <c r="AA730" s="14">
        <f t="shared" si="389"/>
        <v>0</v>
      </c>
      <c r="AB730" s="14">
        <f aca="true" t="shared" si="390" ref="AB730:AG730">(AB241)</f>
        <v>0</v>
      </c>
      <c r="AC730" s="14">
        <f t="shared" si="390"/>
        <v>0</v>
      </c>
      <c r="AD730" s="14">
        <f t="shared" si="390"/>
        <v>0</v>
      </c>
      <c r="AE730" s="14">
        <f t="shared" si="390"/>
        <v>0</v>
      </c>
      <c r="AF730" s="14">
        <f t="shared" si="390"/>
        <v>0</v>
      </c>
      <c r="AG730" s="14">
        <f t="shared" si="390"/>
        <v>0</v>
      </c>
      <c r="AH730" s="14">
        <f>(AH242)</f>
        <v>0</v>
      </c>
      <c r="AI730" s="14">
        <f aca="true" t="shared" si="391" ref="AI730:AP730">(AI241)</f>
        <v>0</v>
      </c>
      <c r="AJ730" s="14">
        <f t="shared" si="391"/>
        <v>0</v>
      </c>
      <c r="AK730" s="14">
        <f>(AK241)</f>
        <v>0</v>
      </c>
      <c r="AL730" s="70">
        <f t="shared" si="391"/>
        <v>0</v>
      </c>
      <c r="AM730" s="70">
        <f t="shared" si="391"/>
        <v>0</v>
      </c>
      <c r="AN730" s="70">
        <f t="shared" si="391"/>
        <v>0</v>
      </c>
      <c r="AO730" s="70">
        <f>(AO241)</f>
        <v>0</v>
      </c>
      <c r="AP730" s="70">
        <f t="shared" si="391"/>
        <v>0</v>
      </c>
    </row>
    <row r="731" spans="1:42" ht="15.75">
      <c r="A731" s="14"/>
      <c r="B731" s="15" t="s">
        <v>357</v>
      </c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70"/>
      <c r="AM731" s="70"/>
      <c r="AN731" s="70"/>
      <c r="AO731" s="70"/>
      <c r="AP731" s="70"/>
    </row>
    <row r="732" spans="1:42" ht="15.75">
      <c r="A732" s="35" t="s">
        <v>219</v>
      </c>
      <c r="B732" s="15" t="s">
        <v>357</v>
      </c>
      <c r="C732" s="14">
        <f aca="true" t="shared" si="392" ref="C732:U732">C281</f>
        <v>186717</v>
      </c>
      <c r="D732" s="14">
        <f t="shared" si="392"/>
        <v>255892</v>
      </c>
      <c r="E732" s="14">
        <f t="shared" si="392"/>
        <v>308403</v>
      </c>
      <c r="F732" s="14">
        <f t="shared" si="392"/>
        <v>287256</v>
      </c>
      <c r="G732" s="14">
        <f t="shared" si="392"/>
        <v>278330</v>
      </c>
      <c r="H732" s="14">
        <f t="shared" si="392"/>
        <v>260856</v>
      </c>
      <c r="I732" s="14">
        <f t="shared" si="392"/>
        <v>325292</v>
      </c>
      <c r="J732" s="14">
        <f t="shared" si="392"/>
        <v>374372</v>
      </c>
      <c r="K732" s="14">
        <f t="shared" si="392"/>
        <v>433825</v>
      </c>
      <c r="L732" s="14">
        <f t="shared" si="392"/>
        <v>367541</v>
      </c>
      <c r="M732" s="14">
        <f t="shared" si="392"/>
        <v>446286</v>
      </c>
      <c r="N732" s="14">
        <f t="shared" si="392"/>
        <v>423434</v>
      </c>
      <c r="O732" s="14">
        <f t="shared" si="392"/>
        <v>480019</v>
      </c>
      <c r="P732" s="14">
        <f t="shared" si="392"/>
        <v>588900</v>
      </c>
      <c r="Q732" s="14">
        <f t="shared" si="392"/>
        <v>692961</v>
      </c>
      <c r="R732" s="14">
        <f t="shared" si="392"/>
        <v>761234</v>
      </c>
      <c r="S732" s="14">
        <f t="shared" si="392"/>
        <v>750288</v>
      </c>
      <c r="T732" s="14">
        <f t="shared" si="392"/>
        <v>706540</v>
      </c>
      <c r="U732" s="14">
        <f t="shared" si="392"/>
        <v>657258</v>
      </c>
      <c r="V732" s="14">
        <f aca="true" t="shared" si="393" ref="V732:AA732">(V281)</f>
        <v>653615</v>
      </c>
      <c r="W732" s="14">
        <f t="shared" si="393"/>
        <v>773896</v>
      </c>
      <c r="X732" s="14">
        <f t="shared" si="393"/>
        <v>867232</v>
      </c>
      <c r="Y732" s="14">
        <f t="shared" si="393"/>
        <v>838438</v>
      </c>
      <c r="Z732" s="14">
        <f t="shared" si="393"/>
        <v>886518</v>
      </c>
      <c r="AA732" s="14">
        <f t="shared" si="393"/>
        <v>1276900</v>
      </c>
      <c r="AB732" s="14">
        <f aca="true" t="shared" si="394" ref="AB732:AG732">(AB281)</f>
        <v>1259128</v>
      </c>
      <c r="AC732" s="14">
        <f t="shared" si="394"/>
        <v>1281264</v>
      </c>
      <c r="AD732" s="14">
        <f t="shared" si="394"/>
        <v>1263617.312</v>
      </c>
      <c r="AE732" s="14">
        <f t="shared" si="394"/>
        <v>1285227</v>
      </c>
      <c r="AF732" s="14">
        <f t="shared" si="394"/>
        <v>1303433.3650000002</v>
      </c>
      <c r="AG732" s="14">
        <f t="shared" si="394"/>
        <v>1318929</v>
      </c>
      <c r="AH732" s="14">
        <f>(AH282)</f>
        <v>0</v>
      </c>
      <c r="AI732" s="14">
        <f aca="true" t="shared" si="395" ref="AI732:AP732">(AI281)</f>
        <v>1292039</v>
      </c>
      <c r="AJ732" s="14">
        <f t="shared" si="395"/>
        <v>1332174</v>
      </c>
      <c r="AK732" s="14">
        <f>(AK281)</f>
        <v>1470527</v>
      </c>
      <c r="AL732" s="70">
        <f t="shared" si="395"/>
        <v>1318127</v>
      </c>
      <c r="AM732" s="70">
        <f t="shared" si="395"/>
        <v>1291536</v>
      </c>
      <c r="AN732" s="70">
        <f t="shared" si="395"/>
        <v>1270493</v>
      </c>
      <c r="AO732" s="70">
        <f>(AO281)</f>
        <v>1338109</v>
      </c>
      <c r="AP732" s="70">
        <f t="shared" si="395"/>
        <v>1286769</v>
      </c>
    </row>
    <row r="733" spans="1:42" ht="15.75">
      <c r="A733" s="35" t="s">
        <v>228</v>
      </c>
      <c r="B733" s="15" t="s">
        <v>357</v>
      </c>
      <c r="C733" s="14"/>
      <c r="D733" s="14"/>
      <c r="E733" s="14"/>
      <c r="F733" s="14"/>
      <c r="G733" s="14"/>
      <c r="H733" s="14"/>
      <c r="I733" s="14"/>
      <c r="J733" s="14"/>
      <c r="K733" s="48">
        <v>0</v>
      </c>
      <c r="L733" s="14"/>
      <c r="M733" s="14"/>
      <c r="N733" s="14"/>
      <c r="O733" s="14"/>
      <c r="P733" s="14"/>
      <c r="Q733" s="14"/>
      <c r="R733" s="14"/>
      <c r="S733" s="14"/>
      <c r="T733" s="14">
        <f>T318</f>
        <v>164249</v>
      </c>
      <c r="U733" s="14">
        <f>U318</f>
        <v>152109</v>
      </c>
      <c r="V733" s="14">
        <f aca="true" t="shared" si="396" ref="V733:AA733">(V318)</f>
        <v>0</v>
      </c>
      <c r="W733" s="14">
        <f t="shared" si="396"/>
        <v>0</v>
      </c>
      <c r="X733" s="14">
        <f t="shared" si="396"/>
        <v>0</v>
      </c>
      <c r="Y733" s="14">
        <f t="shared" si="396"/>
        <v>0</v>
      </c>
      <c r="Z733" s="14">
        <f t="shared" si="396"/>
        <v>0</v>
      </c>
      <c r="AA733" s="14">
        <f t="shared" si="396"/>
        <v>0</v>
      </c>
      <c r="AB733" s="14">
        <f aca="true" t="shared" si="397" ref="AB733:AG733">(AB318)</f>
        <v>0</v>
      </c>
      <c r="AC733" s="14">
        <f t="shared" si="397"/>
        <v>0</v>
      </c>
      <c r="AD733" s="14">
        <f t="shared" si="397"/>
        <v>0</v>
      </c>
      <c r="AE733" s="14">
        <f t="shared" si="397"/>
        <v>0</v>
      </c>
      <c r="AF733" s="14">
        <f t="shared" si="397"/>
        <v>0</v>
      </c>
      <c r="AG733" s="14">
        <f t="shared" si="397"/>
        <v>0</v>
      </c>
      <c r="AH733" s="14">
        <f>(AH319)</f>
        <v>0</v>
      </c>
      <c r="AI733" s="14">
        <f aca="true" t="shared" si="398" ref="AI733:AP733">(AI318)</f>
        <v>0</v>
      </c>
      <c r="AJ733" s="14">
        <f t="shared" si="398"/>
        <v>0</v>
      </c>
      <c r="AK733" s="14">
        <f>(AK318)</f>
        <v>0</v>
      </c>
      <c r="AL733" s="70">
        <f t="shared" si="398"/>
        <v>0</v>
      </c>
      <c r="AM733" s="70">
        <f t="shared" si="398"/>
        <v>0</v>
      </c>
      <c r="AN733" s="70">
        <f t="shared" si="398"/>
        <v>0</v>
      </c>
      <c r="AO733" s="70">
        <f>(AO318)</f>
        <v>0</v>
      </c>
      <c r="AP733" s="70">
        <f t="shared" si="398"/>
        <v>0</v>
      </c>
    </row>
    <row r="734" spans="1:42" ht="15.75">
      <c r="A734" s="35" t="s">
        <v>229</v>
      </c>
      <c r="B734" s="15" t="s">
        <v>357</v>
      </c>
      <c r="C734" s="14">
        <f aca="true" t="shared" si="399" ref="C734:U734">C367</f>
        <v>336213</v>
      </c>
      <c r="D734" s="14">
        <f t="shared" si="399"/>
        <v>520616</v>
      </c>
      <c r="E734" s="14">
        <f t="shared" si="399"/>
        <v>525747</v>
      </c>
      <c r="F734" s="14">
        <f t="shared" si="399"/>
        <v>529438</v>
      </c>
      <c r="G734" s="14">
        <f t="shared" si="399"/>
        <v>826522</v>
      </c>
      <c r="H734" s="14">
        <f t="shared" si="399"/>
        <v>800781</v>
      </c>
      <c r="I734" s="14">
        <f t="shared" si="399"/>
        <v>1077271</v>
      </c>
      <c r="J734" s="14">
        <f t="shared" si="399"/>
        <v>942829</v>
      </c>
      <c r="K734" s="14">
        <f t="shared" si="399"/>
        <v>984345</v>
      </c>
      <c r="L734" s="14">
        <f t="shared" si="399"/>
        <v>836935</v>
      </c>
      <c r="M734" s="14">
        <f t="shared" si="399"/>
        <v>945577</v>
      </c>
      <c r="N734" s="14">
        <f t="shared" si="399"/>
        <v>942171</v>
      </c>
      <c r="O734" s="14">
        <f t="shared" si="399"/>
        <v>1078230</v>
      </c>
      <c r="P734" s="14">
        <f t="shared" si="399"/>
        <v>1252782</v>
      </c>
      <c r="Q734" s="14">
        <f t="shared" si="399"/>
        <v>1342830</v>
      </c>
      <c r="R734" s="14">
        <f t="shared" si="399"/>
        <v>1440685</v>
      </c>
      <c r="S734" s="14">
        <f t="shared" si="399"/>
        <v>1383173</v>
      </c>
      <c r="T734" s="14">
        <f t="shared" si="399"/>
        <v>1490349</v>
      </c>
      <c r="U734" s="14">
        <f t="shared" si="399"/>
        <v>1373153</v>
      </c>
      <c r="V734" s="14">
        <f aca="true" t="shared" si="400" ref="V734:AA734">(V367)</f>
        <v>1361050</v>
      </c>
      <c r="W734" s="14">
        <f t="shared" si="400"/>
        <v>1593337</v>
      </c>
      <c r="X734" s="14">
        <f t="shared" si="400"/>
        <v>1794539</v>
      </c>
      <c r="Y734" s="14">
        <f t="shared" si="400"/>
        <v>1761756</v>
      </c>
      <c r="Z734" s="14">
        <f t="shared" si="400"/>
        <v>1884189</v>
      </c>
      <c r="AA734" s="14">
        <f t="shared" si="400"/>
        <v>2193491</v>
      </c>
      <c r="AB734" s="14">
        <f aca="true" t="shared" si="401" ref="AB734:AG734">(AB367)</f>
        <v>2379472</v>
      </c>
      <c r="AC734" s="14">
        <f t="shared" si="401"/>
        <v>2353561</v>
      </c>
      <c r="AD734" s="14">
        <f t="shared" si="401"/>
        <v>2241926.284</v>
      </c>
      <c r="AE734" s="14">
        <f t="shared" si="401"/>
        <v>2361873</v>
      </c>
      <c r="AF734" s="14">
        <f t="shared" si="401"/>
        <v>2258580.1900000004</v>
      </c>
      <c r="AG734" s="14">
        <f t="shared" si="401"/>
        <v>2266852</v>
      </c>
      <c r="AH734" s="14">
        <f>(AH368)</f>
        <v>0</v>
      </c>
      <c r="AI734" s="14">
        <f aca="true" t="shared" si="402" ref="AI734:AP734">(AI367)</f>
        <v>2314881</v>
      </c>
      <c r="AJ734" s="14">
        <f t="shared" si="402"/>
        <v>2361616</v>
      </c>
      <c r="AK734" s="14">
        <f>(AK367)</f>
        <v>2316344</v>
      </c>
      <c r="AL734" s="70">
        <f t="shared" si="402"/>
        <v>2257944</v>
      </c>
      <c r="AM734" s="70">
        <f t="shared" si="402"/>
        <v>2155823</v>
      </c>
      <c r="AN734" s="70">
        <f t="shared" si="402"/>
        <v>2102611</v>
      </c>
      <c r="AO734" s="70">
        <f>(AO367)</f>
        <v>2299960</v>
      </c>
      <c r="AP734" s="70">
        <f t="shared" si="402"/>
        <v>2363784</v>
      </c>
    </row>
    <row r="735" spans="1:42" ht="15.75">
      <c r="A735" s="35" t="s">
        <v>230</v>
      </c>
      <c r="B735" s="15" t="s">
        <v>357</v>
      </c>
      <c r="C735" s="14">
        <f aca="true" t="shared" si="403" ref="C735:U735">C430</f>
        <v>788969</v>
      </c>
      <c r="D735" s="14">
        <f t="shared" si="403"/>
        <v>924627</v>
      </c>
      <c r="E735" s="14">
        <f t="shared" si="403"/>
        <v>1071195</v>
      </c>
      <c r="F735" s="14">
        <f t="shared" si="403"/>
        <v>1025758</v>
      </c>
      <c r="G735" s="14">
        <f t="shared" si="403"/>
        <v>1147254</v>
      </c>
      <c r="H735" s="14">
        <f t="shared" si="403"/>
        <v>1025651</v>
      </c>
      <c r="I735" s="14">
        <f t="shared" si="403"/>
        <v>1210051</v>
      </c>
      <c r="J735" s="14">
        <f t="shared" si="403"/>
        <v>1019737</v>
      </c>
      <c r="K735" s="14">
        <f t="shared" si="403"/>
        <v>1032721</v>
      </c>
      <c r="L735" s="14">
        <f t="shared" si="403"/>
        <v>1001767</v>
      </c>
      <c r="M735" s="14">
        <f t="shared" si="403"/>
        <v>1027222</v>
      </c>
      <c r="N735" s="14">
        <f t="shared" si="403"/>
        <v>1093405</v>
      </c>
      <c r="O735" s="14">
        <f t="shared" si="403"/>
        <v>1090486</v>
      </c>
      <c r="P735" s="14">
        <f t="shared" si="403"/>
        <v>1394951</v>
      </c>
      <c r="Q735" s="14">
        <f t="shared" si="403"/>
        <v>1558520</v>
      </c>
      <c r="R735" s="14">
        <f t="shared" si="403"/>
        <v>1529309</v>
      </c>
      <c r="S735" s="14">
        <f t="shared" si="403"/>
        <v>1569993</v>
      </c>
      <c r="T735" s="14">
        <f t="shared" si="403"/>
        <v>1791016</v>
      </c>
      <c r="U735" s="14">
        <f t="shared" si="403"/>
        <v>1729396.734</v>
      </c>
      <c r="V735" s="14">
        <f aca="true" t="shared" si="404" ref="V735:AA735">(V430)</f>
        <v>1592023</v>
      </c>
      <c r="W735" s="14">
        <f t="shared" si="404"/>
        <v>1645997</v>
      </c>
      <c r="X735" s="14">
        <f t="shared" si="404"/>
        <v>1703269</v>
      </c>
      <c r="Y735" s="14">
        <f t="shared" si="404"/>
        <v>1747857</v>
      </c>
      <c r="Z735" s="14">
        <f t="shared" si="404"/>
        <v>1878064</v>
      </c>
      <c r="AA735" s="14">
        <f t="shared" si="404"/>
        <v>2187617</v>
      </c>
      <c r="AB735" s="14">
        <f aca="true" t="shared" si="405" ref="AB735:AH735">(AB430)</f>
        <v>2221548</v>
      </c>
      <c r="AC735" s="14">
        <f t="shared" si="405"/>
        <v>2243804</v>
      </c>
      <c r="AD735" s="14">
        <f t="shared" si="405"/>
        <v>2266934</v>
      </c>
      <c r="AE735" s="14">
        <f t="shared" si="405"/>
        <v>2313741</v>
      </c>
      <c r="AF735" s="14">
        <f>(AF430)</f>
        <v>2305814.6029999997</v>
      </c>
      <c r="AG735" s="14">
        <f>(AG430)</f>
        <v>2306401</v>
      </c>
      <c r="AH735" s="14">
        <f t="shared" si="405"/>
        <v>2253795</v>
      </c>
      <c r="AI735" s="14">
        <f aca="true" t="shared" si="406" ref="AI735:AP735">(AI430)</f>
        <v>2295702</v>
      </c>
      <c r="AJ735" s="14">
        <f t="shared" si="406"/>
        <v>2292859</v>
      </c>
      <c r="AK735" s="14">
        <f>(AK430)</f>
        <v>2256613</v>
      </c>
      <c r="AL735" s="70">
        <f t="shared" si="406"/>
        <v>2278613</v>
      </c>
      <c r="AM735" s="70">
        <f t="shared" si="406"/>
        <v>2221851</v>
      </c>
      <c r="AN735" s="70">
        <f t="shared" si="406"/>
        <v>2229896</v>
      </c>
      <c r="AO735" s="70">
        <f>(AO430)</f>
        <v>2308304</v>
      </c>
      <c r="AP735" s="70">
        <f t="shared" si="406"/>
        <v>2228890</v>
      </c>
    </row>
    <row r="736" spans="1:42" ht="15.75">
      <c r="A736" s="35" t="s">
        <v>6</v>
      </c>
      <c r="B736" s="15" t="s">
        <v>357</v>
      </c>
      <c r="C736" s="14">
        <f aca="true" t="shared" si="407" ref="C736:U736">C480</f>
        <v>35005</v>
      </c>
      <c r="D736" s="14">
        <f t="shared" si="407"/>
        <v>40015</v>
      </c>
      <c r="E736" s="14">
        <f t="shared" si="407"/>
        <v>41222</v>
      </c>
      <c r="F736" s="14">
        <f t="shared" si="407"/>
        <v>54540</v>
      </c>
      <c r="G736" s="14">
        <f t="shared" si="407"/>
        <v>75897</v>
      </c>
      <c r="H736" s="14">
        <f t="shared" si="407"/>
        <v>45113</v>
      </c>
      <c r="I736" s="14">
        <f t="shared" si="407"/>
        <v>51601</v>
      </c>
      <c r="J736" s="14">
        <f t="shared" si="407"/>
        <v>45288</v>
      </c>
      <c r="K736" s="14">
        <f t="shared" si="407"/>
        <v>47328</v>
      </c>
      <c r="L736" s="14">
        <f t="shared" si="407"/>
        <v>42989</v>
      </c>
      <c r="M736" s="14">
        <f t="shared" si="407"/>
        <v>43567</v>
      </c>
      <c r="N736" s="14">
        <f t="shared" si="407"/>
        <v>49319</v>
      </c>
      <c r="O736" s="14">
        <f t="shared" si="407"/>
        <v>51890</v>
      </c>
      <c r="P736" s="14">
        <f t="shared" si="407"/>
        <v>53788</v>
      </c>
      <c r="Q736" s="14">
        <f t="shared" si="407"/>
        <v>61968</v>
      </c>
      <c r="R736" s="14">
        <f t="shared" si="407"/>
        <v>67907</v>
      </c>
      <c r="S736" s="14">
        <f t="shared" si="407"/>
        <v>65264</v>
      </c>
      <c r="T736" s="14">
        <f t="shared" si="407"/>
        <v>66105</v>
      </c>
      <c r="U736" s="14">
        <f t="shared" si="407"/>
        <v>64427</v>
      </c>
      <c r="V736" s="14">
        <f aca="true" t="shared" si="408" ref="V736:AA736">(V480)</f>
        <v>57338</v>
      </c>
      <c r="W736" s="14">
        <f t="shared" si="408"/>
        <v>59286</v>
      </c>
      <c r="X736" s="14">
        <f t="shared" si="408"/>
        <v>58286</v>
      </c>
      <c r="Y736" s="14">
        <f t="shared" si="408"/>
        <v>260166</v>
      </c>
      <c r="Z736" s="14">
        <f t="shared" si="408"/>
        <v>66025</v>
      </c>
      <c r="AA736" s="14">
        <f t="shared" si="408"/>
        <v>64177</v>
      </c>
      <c r="AB736" s="14">
        <f aca="true" t="shared" si="409" ref="AB736:AH736">(AB480)</f>
        <v>69850</v>
      </c>
      <c r="AC736" s="14">
        <f t="shared" si="409"/>
        <v>82164</v>
      </c>
      <c r="AD736" s="14">
        <f t="shared" si="409"/>
        <v>72520.134</v>
      </c>
      <c r="AE736" s="14">
        <f t="shared" si="409"/>
        <v>297140</v>
      </c>
      <c r="AF736" s="14">
        <f>(AF480)</f>
        <v>309105.96900000004</v>
      </c>
      <c r="AG736" s="14">
        <f>(AG480)</f>
        <v>307452</v>
      </c>
      <c r="AH736" s="14">
        <f t="shared" si="409"/>
        <v>325103</v>
      </c>
      <c r="AI736" s="14">
        <f aca="true" t="shared" si="410" ref="AI736:AP736">(AI480)</f>
        <v>318981</v>
      </c>
      <c r="AJ736" s="14">
        <f t="shared" si="410"/>
        <v>321981</v>
      </c>
      <c r="AK736" s="14">
        <f>(AK480)</f>
        <v>372476</v>
      </c>
      <c r="AL736" s="70">
        <f t="shared" si="410"/>
        <v>372476</v>
      </c>
      <c r="AM736" s="70">
        <f t="shared" si="410"/>
        <v>326768</v>
      </c>
      <c r="AN736" s="70">
        <f t="shared" si="410"/>
        <v>334318</v>
      </c>
      <c r="AO736" s="70">
        <f>(AO480)</f>
        <v>358818</v>
      </c>
      <c r="AP736" s="70">
        <f t="shared" si="410"/>
        <v>323639</v>
      </c>
    </row>
    <row r="737" spans="1:42" ht="15.75">
      <c r="A737" s="35" t="s">
        <v>405</v>
      </c>
      <c r="B737" s="15" t="s">
        <v>357</v>
      </c>
      <c r="C737" s="14">
        <f aca="true" t="shared" si="411" ref="C737:U737">C509</f>
        <v>159789</v>
      </c>
      <c r="D737" s="14">
        <f t="shared" si="411"/>
        <v>189634</v>
      </c>
      <c r="E737" s="14">
        <f t="shared" si="411"/>
        <v>182716</v>
      </c>
      <c r="F737" s="14">
        <f t="shared" si="411"/>
        <v>251581</v>
      </c>
      <c r="G737" s="14">
        <f t="shared" si="411"/>
        <v>172437</v>
      </c>
      <c r="H737" s="14">
        <f t="shared" si="411"/>
        <v>191506</v>
      </c>
      <c r="I737" s="14">
        <f t="shared" si="411"/>
        <v>181829</v>
      </c>
      <c r="J737" s="14">
        <f t="shared" si="411"/>
        <v>195865</v>
      </c>
      <c r="K737" s="14">
        <f t="shared" si="411"/>
        <v>176239</v>
      </c>
      <c r="L737" s="14">
        <f t="shared" si="411"/>
        <v>363754</v>
      </c>
      <c r="M737" s="14">
        <f t="shared" si="411"/>
        <v>337361</v>
      </c>
      <c r="N737" s="14">
        <f t="shared" si="411"/>
        <v>153795</v>
      </c>
      <c r="O737" s="14">
        <f t="shared" si="411"/>
        <v>153561</v>
      </c>
      <c r="P737" s="14">
        <f t="shared" si="411"/>
        <v>132676</v>
      </c>
      <c r="Q737" s="14">
        <f t="shared" si="411"/>
        <v>178994</v>
      </c>
      <c r="R737" s="14">
        <f t="shared" si="411"/>
        <v>141629</v>
      </c>
      <c r="S737" s="14">
        <f t="shared" si="411"/>
        <v>124622</v>
      </c>
      <c r="T737" s="14">
        <f t="shared" si="411"/>
        <v>126147</v>
      </c>
      <c r="U737" s="14">
        <f t="shared" si="411"/>
        <v>94428</v>
      </c>
      <c r="V737" s="14">
        <f aca="true" t="shared" si="412" ref="V737:AA737">(V509)</f>
        <v>99551</v>
      </c>
      <c r="W737" s="14">
        <f t="shared" si="412"/>
        <v>88726</v>
      </c>
      <c r="X737" s="14">
        <f t="shared" si="412"/>
        <v>88059</v>
      </c>
      <c r="Y737" s="14">
        <f t="shared" si="412"/>
        <v>87105</v>
      </c>
      <c r="Z737" s="14">
        <f t="shared" si="412"/>
        <v>90482</v>
      </c>
      <c r="AA737" s="14">
        <f t="shared" si="412"/>
        <v>99189</v>
      </c>
      <c r="AB737" s="14">
        <f aca="true" t="shared" si="413" ref="AB737:AH737">(AB509)</f>
        <v>100293</v>
      </c>
      <c r="AC737" s="14">
        <f t="shared" si="413"/>
        <v>90962</v>
      </c>
      <c r="AD737" s="14">
        <f t="shared" si="413"/>
        <v>96829</v>
      </c>
      <c r="AE737" s="14">
        <f t="shared" si="413"/>
        <v>87468</v>
      </c>
      <c r="AF737" s="14">
        <f>(AF509)</f>
        <v>82122.988</v>
      </c>
      <c r="AG737" s="14">
        <f>(AG509)</f>
        <v>82122.988</v>
      </c>
      <c r="AH737" s="14">
        <f t="shared" si="413"/>
        <v>78876</v>
      </c>
      <c r="AI737" s="14">
        <f aca="true" t="shared" si="414" ref="AI737:AP737">(AI509)</f>
        <v>81031</v>
      </c>
      <c r="AJ737" s="14">
        <f t="shared" si="414"/>
        <v>81032</v>
      </c>
      <c r="AK737" s="14">
        <f>(AK509)</f>
        <v>81473</v>
      </c>
      <c r="AL737" s="70">
        <f t="shared" si="414"/>
        <v>81473</v>
      </c>
      <c r="AM737" s="70">
        <f t="shared" si="414"/>
        <v>79223</v>
      </c>
      <c r="AN737" s="70">
        <f t="shared" si="414"/>
        <v>80208</v>
      </c>
      <c r="AO737" s="70">
        <f>(AO509)</f>
        <v>81510</v>
      </c>
      <c r="AP737" s="70">
        <f t="shared" si="414"/>
        <v>79783</v>
      </c>
    </row>
    <row r="738" spans="1:42" ht="15.75">
      <c r="A738" s="35" t="s">
        <v>422</v>
      </c>
      <c r="B738" s="15" t="s">
        <v>357</v>
      </c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>
        <f aca="true" t="shared" si="415" ref="X738:AC738">X532</f>
        <v>4228</v>
      </c>
      <c r="Y738" s="14">
        <f t="shared" si="415"/>
        <v>4492</v>
      </c>
      <c r="Z738" s="14">
        <f t="shared" si="415"/>
        <v>5374</v>
      </c>
      <c r="AA738" s="14">
        <f t="shared" si="415"/>
        <v>5391</v>
      </c>
      <c r="AB738" s="14">
        <f t="shared" si="415"/>
        <v>5497</v>
      </c>
      <c r="AC738" s="14">
        <f t="shared" si="415"/>
        <v>5538</v>
      </c>
      <c r="AD738" s="14">
        <f aca="true" t="shared" si="416" ref="AD738:AL738">AD532</f>
        <v>5502</v>
      </c>
      <c r="AE738" s="14">
        <f t="shared" si="416"/>
        <v>5633</v>
      </c>
      <c r="AF738" s="14">
        <f t="shared" si="416"/>
        <v>5563.591</v>
      </c>
      <c r="AG738" s="14">
        <f t="shared" si="416"/>
        <v>5563.591</v>
      </c>
      <c r="AH738" s="14">
        <f t="shared" si="416"/>
        <v>5818</v>
      </c>
      <c r="AI738" s="14">
        <f t="shared" si="416"/>
        <v>5737</v>
      </c>
      <c r="AJ738" s="14">
        <f>AJ532</f>
        <v>5737</v>
      </c>
      <c r="AK738" s="14">
        <f>AK532</f>
        <v>6016</v>
      </c>
      <c r="AL738" s="70">
        <f t="shared" si="416"/>
        <v>6016</v>
      </c>
      <c r="AM738" s="70">
        <f>AM532</f>
        <v>6109</v>
      </c>
      <c r="AN738" s="70">
        <f>AN532</f>
        <v>5464</v>
      </c>
      <c r="AO738" s="70">
        <f>AO532</f>
        <v>6043</v>
      </c>
      <c r="AP738" s="70">
        <f>AP532</f>
        <v>6224</v>
      </c>
    </row>
    <row r="739" spans="1:42" ht="15.75">
      <c r="A739" s="35" t="s">
        <v>186</v>
      </c>
      <c r="B739" s="15" t="s">
        <v>357</v>
      </c>
      <c r="C739" s="14">
        <f aca="true" t="shared" si="417" ref="C739:U739">C551</f>
        <v>12381</v>
      </c>
      <c r="D739" s="14">
        <f t="shared" si="417"/>
        <v>14407</v>
      </c>
      <c r="E739" s="14">
        <f t="shared" si="417"/>
        <v>15082</v>
      </c>
      <c r="F739" s="14">
        <f t="shared" si="417"/>
        <v>16466</v>
      </c>
      <c r="G739" s="14">
        <f t="shared" si="417"/>
        <v>17908</v>
      </c>
      <c r="H739" s="14">
        <f t="shared" si="417"/>
        <v>17750</v>
      </c>
      <c r="I739" s="14">
        <f t="shared" si="417"/>
        <v>19551</v>
      </c>
      <c r="J739" s="14">
        <f t="shared" si="417"/>
        <v>19542</v>
      </c>
      <c r="K739" s="14">
        <f t="shared" si="417"/>
        <v>20562</v>
      </c>
      <c r="L739" s="14">
        <f t="shared" si="417"/>
        <v>19385</v>
      </c>
      <c r="M739" s="14">
        <f t="shared" si="417"/>
        <v>21280</v>
      </c>
      <c r="N739" s="14">
        <f t="shared" si="417"/>
        <v>23053</v>
      </c>
      <c r="O739" s="14">
        <f t="shared" si="417"/>
        <v>24686</v>
      </c>
      <c r="P739" s="14">
        <f t="shared" si="417"/>
        <v>25305</v>
      </c>
      <c r="Q739" s="14">
        <f t="shared" si="417"/>
        <v>26742</v>
      </c>
      <c r="R739" s="14">
        <f t="shared" si="417"/>
        <v>31128</v>
      </c>
      <c r="S739" s="14">
        <f t="shared" si="417"/>
        <v>31457</v>
      </c>
      <c r="T739" s="14">
        <f t="shared" si="417"/>
        <v>33359</v>
      </c>
      <c r="U739" s="14">
        <f t="shared" si="417"/>
        <v>34586</v>
      </c>
      <c r="V739" s="14">
        <f aca="true" t="shared" si="418" ref="V739:AA739">(V551)</f>
        <v>34381</v>
      </c>
      <c r="W739" s="14">
        <f t="shared" si="418"/>
        <v>35443</v>
      </c>
      <c r="X739" s="14">
        <f t="shared" si="418"/>
        <v>35443</v>
      </c>
      <c r="Y739" s="14">
        <f t="shared" si="418"/>
        <v>37452</v>
      </c>
      <c r="Z739" s="14">
        <f t="shared" si="418"/>
        <v>40196</v>
      </c>
      <c r="AA739" s="14">
        <f t="shared" si="418"/>
        <v>40108</v>
      </c>
      <c r="AB739" s="14">
        <f aca="true" t="shared" si="419" ref="AB739:AH739">(AB551)</f>
        <v>44973</v>
      </c>
      <c r="AC739" s="14">
        <f t="shared" si="419"/>
        <v>47773</v>
      </c>
      <c r="AD739" s="14">
        <f t="shared" si="419"/>
        <v>47462</v>
      </c>
      <c r="AE739" s="14">
        <f t="shared" si="419"/>
        <v>50374</v>
      </c>
      <c r="AF739" s="14">
        <f>(AF551)</f>
        <v>49753.297</v>
      </c>
      <c r="AG739" s="14">
        <f>(AG551)</f>
        <v>49753.297</v>
      </c>
      <c r="AH739" s="14">
        <f t="shared" si="419"/>
        <v>53453</v>
      </c>
      <c r="AI739" s="14">
        <f aca="true" t="shared" si="420" ref="AI739:AP739">(AI551)</f>
        <v>51656</v>
      </c>
      <c r="AJ739" s="14">
        <f t="shared" si="420"/>
        <v>51662</v>
      </c>
      <c r="AK739" s="14">
        <f>(AK551)</f>
        <v>54624</v>
      </c>
      <c r="AL739" s="70">
        <f t="shared" si="420"/>
        <v>54624</v>
      </c>
      <c r="AM739" s="70">
        <f t="shared" si="420"/>
        <v>56755</v>
      </c>
      <c r="AN739" s="70">
        <f t="shared" si="420"/>
        <v>54624</v>
      </c>
      <c r="AO739" s="70">
        <f>(AO551)</f>
        <v>55018</v>
      </c>
      <c r="AP739" s="70">
        <f t="shared" si="420"/>
        <v>58949</v>
      </c>
    </row>
    <row r="740" spans="1:42" ht="15.75">
      <c r="A740" s="35" t="s">
        <v>187</v>
      </c>
      <c r="B740" s="15" t="s">
        <v>357</v>
      </c>
      <c r="C740" s="14">
        <f aca="true" t="shared" si="421" ref="C740:U740">C563</f>
        <v>0</v>
      </c>
      <c r="D740" s="14">
        <f t="shared" si="421"/>
        <v>0</v>
      </c>
      <c r="E740" s="14">
        <f t="shared" si="421"/>
        <v>0</v>
      </c>
      <c r="F740" s="14">
        <f t="shared" si="421"/>
        <v>0</v>
      </c>
      <c r="G740" s="14">
        <f t="shared" si="421"/>
        <v>9119</v>
      </c>
      <c r="H740" s="14">
        <f t="shared" si="421"/>
        <v>13369</v>
      </c>
      <c r="I740" s="14">
        <f t="shared" si="421"/>
        <v>21900</v>
      </c>
      <c r="J740" s="14">
        <f t="shared" si="421"/>
        <v>16814</v>
      </c>
      <c r="K740" s="14">
        <f t="shared" si="421"/>
        <v>16908</v>
      </c>
      <c r="L740" s="14">
        <f t="shared" si="421"/>
        <v>15424</v>
      </c>
      <c r="M740" s="14">
        <f t="shared" si="421"/>
        <v>16725</v>
      </c>
      <c r="N740" s="14">
        <f t="shared" si="421"/>
        <v>17757</v>
      </c>
      <c r="O740" s="14">
        <f t="shared" si="421"/>
        <v>18749</v>
      </c>
      <c r="P740" s="14">
        <f t="shared" si="421"/>
        <v>20464</v>
      </c>
      <c r="Q740" s="14">
        <f t="shared" si="421"/>
        <v>22040</v>
      </c>
      <c r="R740" s="14">
        <f t="shared" si="421"/>
        <v>23741</v>
      </c>
      <c r="S740" s="14">
        <f t="shared" si="421"/>
        <v>23539</v>
      </c>
      <c r="T740" s="14">
        <f t="shared" si="421"/>
        <v>24283</v>
      </c>
      <c r="U740" s="14">
        <f t="shared" si="421"/>
        <v>23898</v>
      </c>
      <c r="V740" s="14">
        <f aca="true" t="shared" si="422" ref="V740:AA740">(V563)</f>
        <v>23906</v>
      </c>
      <c r="W740" s="14">
        <f t="shared" si="422"/>
        <v>24439</v>
      </c>
      <c r="X740" s="14">
        <f t="shared" si="422"/>
        <v>24500</v>
      </c>
      <c r="Y740" s="14">
        <f t="shared" si="422"/>
        <v>25436</v>
      </c>
      <c r="Z740" s="14">
        <f t="shared" si="422"/>
        <v>26086</v>
      </c>
      <c r="AA740" s="14">
        <f t="shared" si="422"/>
        <v>27785</v>
      </c>
      <c r="AB740" s="14">
        <f aca="true" t="shared" si="423" ref="AB740:AH740">(AB563)</f>
        <v>34283</v>
      </c>
      <c r="AC740" s="14">
        <f t="shared" si="423"/>
        <v>36091</v>
      </c>
      <c r="AD740" s="14">
        <f t="shared" si="423"/>
        <v>35438.866</v>
      </c>
      <c r="AE740" s="14">
        <f t="shared" si="423"/>
        <v>39049</v>
      </c>
      <c r="AF740" s="14">
        <f>(AF563)</f>
        <v>38271.539</v>
      </c>
      <c r="AG740" s="14">
        <f>(AG563)</f>
        <v>38271.539</v>
      </c>
      <c r="AH740" s="14">
        <f t="shared" si="423"/>
        <v>39400</v>
      </c>
      <c r="AI740" s="14">
        <f aca="true" t="shared" si="424" ref="AI740:AP740">(AI563)</f>
        <v>37275</v>
      </c>
      <c r="AJ740" s="14">
        <f t="shared" si="424"/>
        <v>37275</v>
      </c>
      <c r="AK740" s="14">
        <f>(AK563)</f>
        <v>38541</v>
      </c>
      <c r="AL740" s="70">
        <f t="shared" si="424"/>
        <v>38541</v>
      </c>
      <c r="AM740" s="70">
        <f t="shared" si="424"/>
        <v>40699</v>
      </c>
      <c r="AN740" s="70">
        <f t="shared" si="424"/>
        <v>38541</v>
      </c>
      <c r="AO740" s="70">
        <f>(AO563)</f>
        <v>38823</v>
      </c>
      <c r="AP740" s="70">
        <f t="shared" si="424"/>
        <v>42322</v>
      </c>
    </row>
    <row r="741" spans="1:42" ht="15.75">
      <c r="A741" s="35" t="s">
        <v>188</v>
      </c>
      <c r="B741" s="15" t="s">
        <v>357</v>
      </c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>
        <f aca="true" t="shared" si="425" ref="V741:AA741">V581</f>
        <v>16315</v>
      </c>
      <c r="W741" s="14">
        <f t="shared" si="425"/>
        <v>34120</v>
      </c>
      <c r="X741" s="14">
        <f t="shared" si="425"/>
        <v>38557</v>
      </c>
      <c r="Y741" s="14">
        <f t="shared" si="425"/>
        <v>56979</v>
      </c>
      <c r="Z741" s="14">
        <f t="shared" si="425"/>
        <v>92690</v>
      </c>
      <c r="AA741" s="14">
        <f t="shared" si="425"/>
        <v>118965</v>
      </c>
      <c r="AB741" s="14">
        <f aca="true" t="shared" si="426" ref="AB741:AH741">AB581</f>
        <v>110151</v>
      </c>
      <c r="AC741" s="14">
        <f t="shared" si="426"/>
        <v>159007</v>
      </c>
      <c r="AD741" s="14">
        <f t="shared" si="426"/>
        <v>148287</v>
      </c>
      <c r="AE741" s="14">
        <f t="shared" si="426"/>
        <v>274641</v>
      </c>
      <c r="AF741" s="14">
        <f>AF581</f>
        <v>209013.43000000002</v>
      </c>
      <c r="AG741" s="14">
        <f>AG581</f>
        <v>209013.43000000002</v>
      </c>
      <c r="AH741" s="14">
        <f t="shared" si="426"/>
        <v>317666</v>
      </c>
      <c r="AI741" s="14">
        <f aca="true" t="shared" si="427" ref="AI741:AP741">AI581</f>
        <v>228054</v>
      </c>
      <c r="AJ741" s="14">
        <f t="shared" si="427"/>
        <v>228054</v>
      </c>
      <c r="AK741" s="14">
        <f>AK581</f>
        <v>225780</v>
      </c>
      <c r="AL741" s="70">
        <f t="shared" si="427"/>
        <v>225780</v>
      </c>
      <c r="AM741" s="70">
        <f t="shared" si="427"/>
        <v>244485</v>
      </c>
      <c r="AN741" s="70">
        <f t="shared" si="427"/>
        <v>180783</v>
      </c>
      <c r="AO741" s="70">
        <f>AO581</f>
        <v>223257</v>
      </c>
      <c r="AP741" s="70">
        <f t="shared" si="427"/>
        <v>196158</v>
      </c>
    </row>
    <row r="742" spans="1:42" ht="15.75">
      <c r="A742" s="35" t="s">
        <v>189</v>
      </c>
      <c r="B742" s="15" t="s">
        <v>357</v>
      </c>
      <c r="C742" s="16">
        <f aca="true" t="shared" si="428" ref="C742:U742">C610</f>
        <v>0</v>
      </c>
      <c r="D742" s="16">
        <f t="shared" si="428"/>
        <v>0</v>
      </c>
      <c r="E742" s="16">
        <f t="shared" si="428"/>
        <v>0</v>
      </c>
      <c r="F742" s="16">
        <f t="shared" si="428"/>
        <v>0</v>
      </c>
      <c r="G742" s="16">
        <f t="shared" si="428"/>
        <v>0</v>
      </c>
      <c r="H742" s="16">
        <f t="shared" si="428"/>
        <v>0</v>
      </c>
      <c r="I742" s="16">
        <f t="shared" si="428"/>
        <v>0</v>
      </c>
      <c r="J742" s="16">
        <f t="shared" si="428"/>
        <v>0</v>
      </c>
      <c r="K742" s="16">
        <f t="shared" si="428"/>
        <v>0</v>
      </c>
      <c r="L742" s="16">
        <f t="shared" si="428"/>
        <v>0</v>
      </c>
      <c r="M742" s="16">
        <f t="shared" si="428"/>
        <v>0</v>
      </c>
      <c r="N742" s="16">
        <f t="shared" si="428"/>
        <v>0</v>
      </c>
      <c r="O742" s="16">
        <f t="shared" si="428"/>
        <v>0</v>
      </c>
      <c r="P742" s="16">
        <f t="shared" si="428"/>
        <v>750</v>
      </c>
      <c r="Q742" s="16">
        <f t="shared" si="428"/>
        <v>1247</v>
      </c>
      <c r="R742" s="16">
        <f t="shared" si="428"/>
        <v>2190</v>
      </c>
      <c r="S742" s="16">
        <f t="shared" si="428"/>
        <v>2040</v>
      </c>
      <c r="T742" s="16">
        <f t="shared" si="428"/>
        <v>1000</v>
      </c>
      <c r="U742" s="16">
        <f t="shared" si="428"/>
        <v>998</v>
      </c>
      <c r="V742" s="16">
        <f aca="true" t="shared" si="429" ref="V742:AA742">(V610)</f>
        <v>999</v>
      </c>
      <c r="W742" s="16">
        <f t="shared" si="429"/>
        <v>1000</v>
      </c>
      <c r="X742" s="16">
        <f t="shared" si="429"/>
        <v>1000</v>
      </c>
      <c r="Y742" s="16">
        <f t="shared" si="429"/>
        <v>0</v>
      </c>
      <c r="Z742" s="16">
        <f t="shared" si="429"/>
        <v>0</v>
      </c>
      <c r="AA742" s="16">
        <f t="shared" si="429"/>
        <v>0</v>
      </c>
      <c r="AB742" s="16">
        <f aca="true" t="shared" si="430" ref="AB742:AH742">(AB610)</f>
        <v>0</v>
      </c>
      <c r="AC742" s="16">
        <f t="shared" si="430"/>
        <v>2000</v>
      </c>
      <c r="AD742" s="16">
        <f t="shared" si="430"/>
        <v>0</v>
      </c>
      <c r="AE742" s="16">
        <f t="shared" si="430"/>
        <v>0</v>
      </c>
      <c r="AF742" s="16">
        <f t="shared" si="430"/>
        <v>0</v>
      </c>
      <c r="AG742" s="16">
        <f>(AG610)</f>
        <v>0</v>
      </c>
      <c r="AH742" s="16">
        <f t="shared" si="430"/>
        <v>0</v>
      </c>
      <c r="AI742" s="16">
        <f aca="true" t="shared" si="431" ref="AI742:AP742">(AI610)</f>
        <v>0</v>
      </c>
      <c r="AJ742" s="16">
        <f t="shared" si="431"/>
        <v>0</v>
      </c>
      <c r="AK742" s="16">
        <f>(AK610)</f>
        <v>0</v>
      </c>
      <c r="AL742" s="104">
        <f t="shared" si="431"/>
        <v>0</v>
      </c>
      <c r="AM742" s="104">
        <f t="shared" si="431"/>
        <v>0</v>
      </c>
      <c r="AN742" s="104">
        <f t="shared" si="431"/>
        <v>0</v>
      </c>
      <c r="AO742" s="104">
        <f>(AO610)</f>
        <v>0</v>
      </c>
      <c r="AP742" s="104">
        <f t="shared" si="431"/>
        <v>0</v>
      </c>
    </row>
    <row r="743" spans="1:42" ht="15.75" hidden="1">
      <c r="A743" s="14"/>
      <c r="B743" s="15" t="s">
        <v>357</v>
      </c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70"/>
      <c r="AM743" s="70"/>
      <c r="AN743" s="70"/>
      <c r="AO743" s="70"/>
      <c r="AP743" s="70"/>
    </row>
    <row r="744" spans="1:42" ht="15.75" hidden="1">
      <c r="A744" s="35" t="s">
        <v>108</v>
      </c>
      <c r="B744" s="15" t="s">
        <v>357</v>
      </c>
      <c r="C744" s="14">
        <f aca="true" t="shared" si="432" ref="C744:U744">C630</f>
        <v>19024</v>
      </c>
      <c r="D744" s="14">
        <f t="shared" si="432"/>
        <v>25307</v>
      </c>
      <c r="E744" s="14">
        <f t="shared" si="432"/>
        <v>28351</v>
      </c>
      <c r="F744" s="14">
        <f t="shared" si="432"/>
        <v>32740</v>
      </c>
      <c r="G744" s="14">
        <f t="shared" si="432"/>
        <v>27330</v>
      </c>
      <c r="H744" s="14">
        <f t="shared" si="432"/>
        <v>0</v>
      </c>
      <c r="I744" s="14">
        <f t="shared" si="432"/>
        <v>0</v>
      </c>
      <c r="J744" s="14">
        <f t="shared" si="432"/>
        <v>0</v>
      </c>
      <c r="K744" s="14">
        <f t="shared" si="432"/>
        <v>0</v>
      </c>
      <c r="L744" s="14">
        <f t="shared" si="432"/>
        <v>0</v>
      </c>
      <c r="M744" s="14">
        <f t="shared" si="432"/>
        <v>0</v>
      </c>
      <c r="N744" s="14">
        <f t="shared" si="432"/>
        <v>0</v>
      </c>
      <c r="O744" s="14">
        <f t="shared" si="432"/>
        <v>0</v>
      </c>
      <c r="P744" s="14">
        <f t="shared" si="432"/>
        <v>0</v>
      </c>
      <c r="Q744" s="14">
        <f t="shared" si="432"/>
        <v>0</v>
      </c>
      <c r="R744" s="14">
        <f t="shared" si="432"/>
        <v>0</v>
      </c>
      <c r="S744" s="14">
        <f t="shared" si="432"/>
        <v>0</v>
      </c>
      <c r="T744" s="14">
        <f t="shared" si="432"/>
        <v>0</v>
      </c>
      <c r="U744" s="14">
        <f t="shared" si="432"/>
        <v>0</v>
      </c>
      <c r="V744" s="14">
        <f aca="true" t="shared" si="433" ref="V744:AA744">(V630)</f>
        <v>0</v>
      </c>
      <c r="W744" s="14">
        <f t="shared" si="433"/>
        <v>0</v>
      </c>
      <c r="X744" s="14">
        <f t="shared" si="433"/>
        <v>0</v>
      </c>
      <c r="Y744" s="14">
        <f t="shared" si="433"/>
        <v>0</v>
      </c>
      <c r="Z744" s="14">
        <f t="shared" si="433"/>
        <v>0</v>
      </c>
      <c r="AA744" s="14">
        <f t="shared" si="433"/>
        <v>0</v>
      </c>
      <c r="AB744" s="14">
        <f aca="true" t="shared" si="434" ref="AB744:AH744">(AB630)</f>
        <v>0</v>
      </c>
      <c r="AC744" s="14">
        <f t="shared" si="434"/>
        <v>0</v>
      </c>
      <c r="AD744" s="14">
        <f t="shared" si="434"/>
        <v>0</v>
      </c>
      <c r="AE744" s="14">
        <f t="shared" si="434"/>
        <v>0</v>
      </c>
      <c r="AF744" s="14">
        <f t="shared" si="434"/>
        <v>0</v>
      </c>
      <c r="AG744" s="14">
        <f>(AG630)</f>
        <v>0</v>
      </c>
      <c r="AH744" s="14">
        <f t="shared" si="434"/>
        <v>0</v>
      </c>
      <c r="AI744" s="14">
        <f aca="true" t="shared" si="435" ref="AI744:AP744">(AI630)</f>
        <v>0</v>
      </c>
      <c r="AJ744" s="14">
        <f t="shared" si="435"/>
        <v>0</v>
      </c>
      <c r="AK744" s="14">
        <f>(AK630)</f>
        <v>0</v>
      </c>
      <c r="AL744" s="70">
        <f t="shared" si="435"/>
        <v>0</v>
      </c>
      <c r="AM744" s="70">
        <f t="shared" si="435"/>
        <v>0</v>
      </c>
      <c r="AN744" s="70">
        <f t="shared" si="435"/>
        <v>0</v>
      </c>
      <c r="AO744" s="70">
        <f>(AO630)</f>
        <v>0</v>
      </c>
      <c r="AP744" s="70">
        <f t="shared" si="435"/>
        <v>0</v>
      </c>
    </row>
    <row r="745" spans="1:42" ht="15.75" hidden="1">
      <c r="A745" s="35" t="s">
        <v>190</v>
      </c>
      <c r="B745" s="15" t="s">
        <v>357</v>
      </c>
      <c r="C745" s="14">
        <f aca="true" t="shared" si="436" ref="C745:U745">C648</f>
        <v>99301</v>
      </c>
      <c r="D745" s="14">
        <f t="shared" si="436"/>
        <v>48825</v>
      </c>
      <c r="E745" s="14">
        <f t="shared" si="436"/>
        <v>0</v>
      </c>
      <c r="F745" s="14">
        <f t="shared" si="436"/>
        <v>0</v>
      </c>
      <c r="G745" s="14">
        <f t="shared" si="436"/>
        <v>0</v>
      </c>
      <c r="H745" s="14">
        <f t="shared" si="436"/>
        <v>0</v>
      </c>
      <c r="I745" s="14">
        <f t="shared" si="436"/>
        <v>0</v>
      </c>
      <c r="J745" s="14">
        <f t="shared" si="436"/>
        <v>0</v>
      </c>
      <c r="K745" s="14">
        <f t="shared" si="436"/>
        <v>0</v>
      </c>
      <c r="L745" s="14">
        <f t="shared" si="436"/>
        <v>0</v>
      </c>
      <c r="M745" s="14">
        <f t="shared" si="436"/>
        <v>0</v>
      </c>
      <c r="N745" s="14">
        <f t="shared" si="436"/>
        <v>0</v>
      </c>
      <c r="O745" s="14">
        <f t="shared" si="436"/>
        <v>0</v>
      </c>
      <c r="P745" s="14">
        <f t="shared" si="436"/>
        <v>0</v>
      </c>
      <c r="Q745" s="14">
        <f t="shared" si="436"/>
        <v>0</v>
      </c>
      <c r="R745" s="14">
        <f t="shared" si="436"/>
        <v>0</v>
      </c>
      <c r="S745" s="14">
        <f t="shared" si="436"/>
        <v>0</v>
      </c>
      <c r="T745" s="14">
        <f t="shared" si="436"/>
        <v>0</v>
      </c>
      <c r="U745" s="14">
        <f t="shared" si="436"/>
        <v>0</v>
      </c>
      <c r="V745" s="14">
        <f aca="true" t="shared" si="437" ref="V745:AA745">(V648)</f>
        <v>0</v>
      </c>
      <c r="W745" s="14">
        <f t="shared" si="437"/>
        <v>0</v>
      </c>
      <c r="X745" s="14">
        <f t="shared" si="437"/>
        <v>0</v>
      </c>
      <c r="Y745" s="14">
        <f t="shared" si="437"/>
        <v>0</v>
      </c>
      <c r="Z745" s="14">
        <f t="shared" si="437"/>
        <v>0</v>
      </c>
      <c r="AA745" s="14">
        <f t="shared" si="437"/>
        <v>0</v>
      </c>
      <c r="AB745" s="14">
        <f aca="true" t="shared" si="438" ref="AB745:AH745">(AB648)</f>
        <v>0</v>
      </c>
      <c r="AC745" s="14">
        <f t="shared" si="438"/>
        <v>0</v>
      </c>
      <c r="AD745" s="14">
        <f t="shared" si="438"/>
        <v>0</v>
      </c>
      <c r="AE745" s="14">
        <f t="shared" si="438"/>
        <v>0</v>
      </c>
      <c r="AF745" s="14">
        <f t="shared" si="438"/>
        <v>0</v>
      </c>
      <c r="AG745" s="14">
        <f>(AG648)</f>
        <v>0</v>
      </c>
      <c r="AH745" s="14">
        <f t="shared" si="438"/>
        <v>0</v>
      </c>
      <c r="AI745" s="14">
        <f aca="true" t="shared" si="439" ref="AI745:AP745">(AI648)</f>
        <v>0</v>
      </c>
      <c r="AJ745" s="14">
        <f t="shared" si="439"/>
        <v>0</v>
      </c>
      <c r="AK745" s="14">
        <f>(AK648)</f>
        <v>0</v>
      </c>
      <c r="AL745" s="70">
        <f t="shared" si="439"/>
        <v>0</v>
      </c>
      <c r="AM745" s="70">
        <f t="shared" si="439"/>
        <v>0</v>
      </c>
      <c r="AN745" s="70">
        <f t="shared" si="439"/>
        <v>0</v>
      </c>
      <c r="AO745" s="70">
        <f>(AO648)</f>
        <v>0</v>
      </c>
      <c r="AP745" s="70">
        <f t="shared" si="439"/>
        <v>0</v>
      </c>
    </row>
    <row r="746" spans="1:42" ht="15.75" hidden="1">
      <c r="A746" s="35" t="s">
        <v>191</v>
      </c>
      <c r="B746" s="15" t="s">
        <v>357</v>
      </c>
      <c r="C746" s="14">
        <f aca="true" t="shared" si="440" ref="C746:U746">C669</f>
        <v>537776</v>
      </c>
      <c r="D746" s="14">
        <f t="shared" si="440"/>
        <v>894154</v>
      </c>
      <c r="E746" s="14">
        <f t="shared" si="440"/>
        <v>832196</v>
      </c>
      <c r="F746" s="14">
        <f t="shared" si="440"/>
        <v>689226</v>
      </c>
      <c r="G746" s="14">
        <f t="shared" si="440"/>
        <v>0</v>
      </c>
      <c r="H746" s="14">
        <f t="shared" si="440"/>
        <v>0</v>
      </c>
      <c r="I746" s="14">
        <f t="shared" si="440"/>
        <v>0</v>
      </c>
      <c r="J746" s="14">
        <f t="shared" si="440"/>
        <v>0</v>
      </c>
      <c r="K746" s="14">
        <f t="shared" si="440"/>
        <v>0</v>
      </c>
      <c r="L746" s="14">
        <f t="shared" si="440"/>
        <v>0</v>
      </c>
      <c r="M746" s="14">
        <f t="shared" si="440"/>
        <v>0</v>
      </c>
      <c r="N746" s="14">
        <f t="shared" si="440"/>
        <v>0</v>
      </c>
      <c r="O746" s="14">
        <f t="shared" si="440"/>
        <v>0</v>
      </c>
      <c r="P746" s="14">
        <f t="shared" si="440"/>
        <v>0</v>
      </c>
      <c r="Q746" s="14">
        <f t="shared" si="440"/>
        <v>0</v>
      </c>
      <c r="R746" s="14">
        <f t="shared" si="440"/>
        <v>0</v>
      </c>
      <c r="S746" s="14">
        <f t="shared" si="440"/>
        <v>0</v>
      </c>
      <c r="T746" s="14">
        <f t="shared" si="440"/>
        <v>0</v>
      </c>
      <c r="U746" s="14">
        <f t="shared" si="440"/>
        <v>0</v>
      </c>
      <c r="V746" s="14">
        <f aca="true" t="shared" si="441" ref="V746:AA746">(V669)</f>
        <v>0</v>
      </c>
      <c r="W746" s="14">
        <f t="shared" si="441"/>
        <v>0</v>
      </c>
      <c r="X746" s="14">
        <f t="shared" si="441"/>
        <v>0</v>
      </c>
      <c r="Y746" s="14">
        <f t="shared" si="441"/>
        <v>0</v>
      </c>
      <c r="Z746" s="14">
        <f t="shared" si="441"/>
        <v>0</v>
      </c>
      <c r="AA746" s="14">
        <f t="shared" si="441"/>
        <v>0</v>
      </c>
      <c r="AB746" s="14">
        <f aca="true" t="shared" si="442" ref="AB746:AH746">(AB669)</f>
        <v>0</v>
      </c>
      <c r="AC746" s="14">
        <f t="shared" si="442"/>
        <v>0</v>
      </c>
      <c r="AD746" s="14">
        <f t="shared" si="442"/>
        <v>0</v>
      </c>
      <c r="AE746" s="14">
        <f t="shared" si="442"/>
        <v>0</v>
      </c>
      <c r="AF746" s="14">
        <f t="shared" si="442"/>
        <v>0</v>
      </c>
      <c r="AG746" s="14">
        <f>(AG669)</f>
        <v>0</v>
      </c>
      <c r="AH746" s="14">
        <f t="shared" si="442"/>
        <v>0</v>
      </c>
      <c r="AI746" s="14">
        <f aca="true" t="shared" si="443" ref="AI746:AP746">(AI669)</f>
        <v>0</v>
      </c>
      <c r="AJ746" s="14">
        <f t="shared" si="443"/>
        <v>0</v>
      </c>
      <c r="AK746" s="14">
        <f>(AK669)</f>
        <v>0</v>
      </c>
      <c r="AL746" s="70">
        <f t="shared" si="443"/>
        <v>0</v>
      </c>
      <c r="AM746" s="70">
        <f t="shared" si="443"/>
        <v>0</v>
      </c>
      <c r="AN746" s="70">
        <f t="shared" si="443"/>
        <v>0</v>
      </c>
      <c r="AO746" s="70">
        <f>(AO669)</f>
        <v>0</v>
      </c>
      <c r="AP746" s="70">
        <f t="shared" si="443"/>
        <v>0</v>
      </c>
    </row>
    <row r="747" spans="1:42" ht="15.75">
      <c r="A747" s="14"/>
      <c r="B747" s="15" t="s">
        <v>357</v>
      </c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70"/>
      <c r="AM747" s="70"/>
      <c r="AN747" s="70"/>
      <c r="AO747" s="70"/>
      <c r="AP747" s="70"/>
    </row>
    <row r="748" spans="1:42" ht="15.75">
      <c r="A748" s="35" t="s">
        <v>196</v>
      </c>
      <c r="B748" s="15" t="s">
        <v>357</v>
      </c>
      <c r="C748" s="14">
        <f aca="true" t="shared" si="444" ref="C748:U748">SUM(C723:C747)</f>
        <v>4035297</v>
      </c>
      <c r="D748" s="14">
        <f t="shared" si="444"/>
        <v>4880546</v>
      </c>
      <c r="E748" s="14">
        <f t="shared" si="444"/>
        <v>5030887</v>
      </c>
      <c r="F748" s="14">
        <f t="shared" si="444"/>
        <v>5004642</v>
      </c>
      <c r="G748" s="14">
        <f t="shared" si="444"/>
        <v>4878402</v>
      </c>
      <c r="H748" s="14">
        <f t="shared" si="444"/>
        <v>4558304</v>
      </c>
      <c r="I748" s="14">
        <f t="shared" si="444"/>
        <v>5339709</v>
      </c>
      <c r="J748" s="14">
        <f t="shared" si="444"/>
        <v>5197942</v>
      </c>
      <c r="K748" s="14">
        <f t="shared" si="444"/>
        <v>5522344</v>
      </c>
      <c r="L748" s="14">
        <f t="shared" si="444"/>
        <v>4928064</v>
      </c>
      <c r="M748" s="14">
        <f t="shared" si="444"/>
        <v>5418887</v>
      </c>
      <c r="N748" s="14">
        <f t="shared" si="444"/>
        <v>5382960</v>
      </c>
      <c r="O748" s="14">
        <f t="shared" si="444"/>
        <v>5694283</v>
      </c>
      <c r="P748" s="14">
        <f t="shared" si="444"/>
        <v>6531483</v>
      </c>
      <c r="Q748" s="14">
        <f t="shared" si="444"/>
        <v>7011423</v>
      </c>
      <c r="R748" s="14">
        <f t="shared" si="444"/>
        <v>7159631</v>
      </c>
      <c r="S748" s="14">
        <f t="shared" si="444"/>
        <v>7046247</v>
      </c>
      <c r="T748" s="14">
        <f t="shared" si="444"/>
        <v>7604527</v>
      </c>
      <c r="U748" s="14">
        <f t="shared" si="444"/>
        <v>7287910.734</v>
      </c>
      <c r="V748" s="14">
        <f aca="true" t="shared" si="445" ref="V748:AG748">(SUM(V723:V747))</f>
        <v>7101647</v>
      </c>
      <c r="W748" s="14">
        <f t="shared" si="445"/>
        <v>7407983</v>
      </c>
      <c r="X748" s="14">
        <f t="shared" si="445"/>
        <v>8152584</v>
      </c>
      <c r="Y748" s="14">
        <f t="shared" si="445"/>
        <v>8078946</v>
      </c>
      <c r="Z748" s="14">
        <f t="shared" si="445"/>
        <v>8575005</v>
      </c>
      <c r="AA748" s="14">
        <f t="shared" si="445"/>
        <v>10413131</v>
      </c>
      <c r="AB748" s="14">
        <f t="shared" si="445"/>
        <v>10649162</v>
      </c>
      <c r="AC748" s="14">
        <f t="shared" si="445"/>
        <v>10335802</v>
      </c>
      <c r="AD748" s="14">
        <f t="shared" si="445"/>
        <v>10674512.43</v>
      </c>
      <c r="AE748" s="14">
        <f t="shared" si="445"/>
        <v>10685869</v>
      </c>
      <c r="AF748" s="14">
        <f t="shared" si="445"/>
        <v>10739967.203221494</v>
      </c>
      <c r="AG748" s="14">
        <f t="shared" si="445"/>
        <v>10879959.249</v>
      </c>
      <c r="AH748" s="14">
        <f>(SUM(AH723:AH747))</f>
        <v>4080512</v>
      </c>
      <c r="AI748" s="14">
        <f>(SUM(AI723:AI747))</f>
        <v>10864320</v>
      </c>
      <c r="AJ748" s="14">
        <f>(SUM(AJ723:AJ747))+1</f>
        <v>10984328</v>
      </c>
      <c r="AK748" s="14">
        <f>(SUM(AK723:AK747))+1</f>
        <v>11290282</v>
      </c>
      <c r="AL748" s="70">
        <f>(SUM(AL723:AL747))</f>
        <v>10954981</v>
      </c>
      <c r="AM748" s="70">
        <f>(SUM(AM723:AM747))</f>
        <v>10526304</v>
      </c>
      <c r="AN748" s="70">
        <f>(SUM(AN723:AN747))</f>
        <v>10386797</v>
      </c>
      <c r="AO748" s="70">
        <f>(SUM(AO723:AO747))</f>
        <v>11101061</v>
      </c>
      <c r="AP748" s="70">
        <f>(SUM(AP723:AP747))</f>
        <v>10704625</v>
      </c>
    </row>
    <row r="749" spans="1:42" ht="15.75">
      <c r="A749" s="14"/>
      <c r="B749" s="15" t="s">
        <v>357</v>
      </c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70"/>
      <c r="AM749" s="70"/>
      <c r="AN749" s="70"/>
      <c r="AO749" s="70">
        <f>+AO748-270</f>
        <v>11100791</v>
      </c>
      <c r="AP749" s="70"/>
    </row>
    <row r="750" spans="1:42" ht="31.5">
      <c r="A750" s="61" t="s">
        <v>197</v>
      </c>
      <c r="B750" s="15" t="s">
        <v>357</v>
      </c>
      <c r="C750" s="14">
        <f aca="true" t="shared" si="446" ref="C750:R750">C748-C727</f>
        <v>3066800</v>
      </c>
      <c r="D750" s="14">
        <f t="shared" si="446"/>
        <v>4194698</v>
      </c>
      <c r="E750" s="14">
        <f t="shared" si="446"/>
        <v>4447867</v>
      </c>
      <c r="F750" s="14">
        <f t="shared" si="446"/>
        <v>4389485</v>
      </c>
      <c r="G750" s="14">
        <f t="shared" si="446"/>
        <v>4092517</v>
      </c>
      <c r="H750" s="14">
        <f t="shared" si="446"/>
        <v>3787566</v>
      </c>
      <c r="I750" s="14">
        <f t="shared" si="446"/>
        <v>4422653</v>
      </c>
      <c r="J750" s="14">
        <f t="shared" si="446"/>
        <v>4234526</v>
      </c>
      <c r="K750" s="14">
        <f t="shared" si="446"/>
        <v>4455335</v>
      </c>
      <c r="L750" s="14">
        <f t="shared" si="446"/>
        <v>4183601</v>
      </c>
      <c r="M750" s="14">
        <f t="shared" si="446"/>
        <v>4543643</v>
      </c>
      <c r="N750" s="14">
        <f t="shared" si="446"/>
        <v>4433658</v>
      </c>
      <c r="O750" s="14">
        <f t="shared" si="446"/>
        <v>4703147</v>
      </c>
      <c r="P750" s="14">
        <f t="shared" si="446"/>
        <v>5571191</v>
      </c>
      <c r="Q750" s="14">
        <f t="shared" si="446"/>
        <v>6049076</v>
      </c>
      <c r="R750" s="14">
        <f t="shared" si="446"/>
        <v>6265744</v>
      </c>
      <c r="S750" s="14">
        <f>S748-S727-S728</f>
        <v>6236095</v>
      </c>
      <c r="T750" s="14">
        <f>T748-T727-T728</f>
        <v>6752649</v>
      </c>
      <c r="U750" s="14">
        <f>U748-U727-U728</f>
        <v>6433419.734</v>
      </c>
      <c r="V750" s="14">
        <f aca="true" t="shared" si="447" ref="V750:AA750">(V748-V727-V728)</f>
        <v>6249557</v>
      </c>
      <c r="W750" s="14">
        <f t="shared" si="447"/>
        <v>6586368</v>
      </c>
      <c r="X750" s="14">
        <f t="shared" si="447"/>
        <v>7247622</v>
      </c>
      <c r="Y750" s="14">
        <f t="shared" si="447"/>
        <v>7254839</v>
      </c>
      <c r="Z750" s="14">
        <f t="shared" si="447"/>
        <v>7767199</v>
      </c>
      <c r="AA750" s="14">
        <f t="shared" si="447"/>
        <v>9597041</v>
      </c>
      <c r="AB750" s="14">
        <f aca="true" t="shared" si="448" ref="AB750:AH750">(AB748-AB727-AB728)</f>
        <v>9495158</v>
      </c>
      <c r="AC750" s="14">
        <f t="shared" si="448"/>
        <v>9444653</v>
      </c>
      <c r="AD750" s="14">
        <f t="shared" si="448"/>
        <v>9701959.396</v>
      </c>
      <c r="AE750" s="14">
        <f t="shared" si="448"/>
        <v>9763661</v>
      </c>
      <c r="AF750" s="14">
        <f t="shared" si="448"/>
        <v>9759143.618221493</v>
      </c>
      <c r="AG750" s="14">
        <f>(AG748-AG727-AG728)</f>
        <v>9899134.845</v>
      </c>
      <c r="AH750" s="14">
        <f t="shared" si="448"/>
        <v>4080512</v>
      </c>
      <c r="AI750" s="14">
        <f aca="true" t="shared" si="449" ref="AI750:AP750">(AI748-AI727-AI728)</f>
        <v>9851774</v>
      </c>
      <c r="AJ750" s="14">
        <f t="shared" si="449"/>
        <v>9964782</v>
      </c>
      <c r="AK750" s="14">
        <f>(AK748-AK727-AK728)</f>
        <v>10228972</v>
      </c>
      <c r="AL750" s="70">
        <f t="shared" si="449"/>
        <v>9902671</v>
      </c>
      <c r="AM750" s="70">
        <f t="shared" si="449"/>
        <v>9602568</v>
      </c>
      <c r="AN750" s="70">
        <f t="shared" si="449"/>
        <v>9463878</v>
      </c>
      <c r="AO750" s="70">
        <f>(AO748-AO727-AO728)</f>
        <v>10024045</v>
      </c>
      <c r="AP750" s="70">
        <f t="shared" si="449"/>
        <v>9703245</v>
      </c>
    </row>
    <row r="751" spans="1:33" ht="15.75">
      <c r="A751" s="14"/>
      <c r="B751" s="15" t="s">
        <v>357</v>
      </c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</row>
    <row r="752" spans="1:33" ht="15.75" outlineLevel="1">
      <c r="A752" s="10" t="s">
        <v>198</v>
      </c>
      <c r="B752" s="15" t="s">
        <v>357</v>
      </c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</row>
    <row r="753" spans="1:33" ht="15.75" outlineLevel="1">
      <c r="A753" s="14"/>
      <c r="B753" s="15" t="s">
        <v>357</v>
      </c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</row>
    <row r="754" spans="1:42" ht="15.75" outlineLevel="1">
      <c r="A754" s="35" t="s">
        <v>384</v>
      </c>
      <c r="B754" s="15" t="s">
        <v>357</v>
      </c>
      <c r="C754" s="14">
        <f aca="true" t="shared" si="450" ref="C754:U754">C62</f>
        <v>141066</v>
      </c>
      <c r="D754" s="14">
        <f t="shared" si="450"/>
        <v>290528</v>
      </c>
      <c r="E754" s="14">
        <f t="shared" si="450"/>
        <v>303790</v>
      </c>
      <c r="F754" s="14">
        <f t="shared" si="450"/>
        <v>375042</v>
      </c>
      <c r="G754" s="14">
        <f t="shared" si="450"/>
        <v>441034</v>
      </c>
      <c r="H754" s="14">
        <f t="shared" si="450"/>
        <v>642650</v>
      </c>
      <c r="I754" s="14">
        <f t="shared" si="450"/>
        <v>585702</v>
      </c>
      <c r="J754" s="14">
        <f t="shared" si="450"/>
        <v>82594</v>
      </c>
      <c r="K754" s="14">
        <f t="shared" si="450"/>
        <v>147660</v>
      </c>
      <c r="L754" s="14">
        <f t="shared" si="450"/>
        <v>95855</v>
      </c>
      <c r="M754" s="14">
        <f t="shared" si="450"/>
        <v>16501</v>
      </c>
      <c r="N754" s="14">
        <f t="shared" si="450"/>
        <v>184199</v>
      </c>
      <c r="O754" s="14">
        <f t="shared" si="450"/>
        <v>130669</v>
      </c>
      <c r="P754" s="14">
        <f t="shared" si="450"/>
        <v>275484</v>
      </c>
      <c r="Q754" s="14">
        <f t="shared" si="450"/>
        <v>124985</v>
      </c>
      <c r="R754" s="14">
        <f t="shared" si="450"/>
        <v>102439</v>
      </c>
      <c r="S754" s="14">
        <f t="shared" si="450"/>
        <v>78979</v>
      </c>
      <c r="T754" s="14">
        <f t="shared" si="450"/>
        <v>90488</v>
      </c>
      <c r="U754" s="14">
        <f t="shared" si="450"/>
        <v>86180</v>
      </c>
      <c r="V754" s="14">
        <f aca="true" t="shared" si="451" ref="V754:AA754">(V62)</f>
        <v>90929</v>
      </c>
      <c r="W754" s="14">
        <f t="shared" si="451"/>
        <v>132379</v>
      </c>
      <c r="X754" s="14">
        <f t="shared" si="451"/>
        <v>116081</v>
      </c>
      <c r="Y754" s="14">
        <f t="shared" si="451"/>
        <v>139228</v>
      </c>
      <c r="Z754" s="14">
        <f t="shared" si="451"/>
        <v>150096</v>
      </c>
      <c r="AA754" s="14">
        <f t="shared" si="451"/>
        <v>99798</v>
      </c>
      <c r="AB754" s="14">
        <f aca="true" t="shared" si="452" ref="AB754:AG754">(AB62)</f>
        <v>224066</v>
      </c>
      <c r="AC754" s="14">
        <f t="shared" si="452"/>
        <v>420336</v>
      </c>
      <c r="AD754" s="14">
        <f t="shared" si="452"/>
        <v>462887</v>
      </c>
      <c r="AE754" s="14">
        <f t="shared" si="452"/>
        <v>236874</v>
      </c>
      <c r="AF754" s="14">
        <f t="shared" si="452"/>
        <v>601990</v>
      </c>
      <c r="AG754" s="14">
        <f t="shared" si="452"/>
        <v>704236</v>
      </c>
      <c r="AH754" s="14">
        <f>(AH63)</f>
        <v>0</v>
      </c>
      <c r="AI754" s="14">
        <f aca="true" t="shared" si="453" ref="AI754:AP754">(AI62)</f>
        <v>1429360</v>
      </c>
      <c r="AJ754" s="14">
        <f t="shared" si="453"/>
        <v>1427088</v>
      </c>
      <c r="AK754" s="14">
        <f>(AK62)</f>
        <v>1118365</v>
      </c>
      <c r="AL754" s="70">
        <f t="shared" si="453"/>
        <v>1118365</v>
      </c>
      <c r="AM754" s="70">
        <f t="shared" si="453"/>
        <v>1050835</v>
      </c>
      <c r="AN754" s="70">
        <f t="shared" si="453"/>
        <v>343883</v>
      </c>
      <c r="AO754" s="70">
        <f>(AO62)</f>
        <v>343883</v>
      </c>
      <c r="AP754" s="70">
        <f t="shared" si="453"/>
        <v>199643</v>
      </c>
    </row>
    <row r="755" spans="1:42" ht="15.75" outlineLevel="1">
      <c r="A755" s="35" t="s">
        <v>385</v>
      </c>
      <c r="B755" s="15" t="s">
        <v>357</v>
      </c>
      <c r="C755" s="14">
        <f aca="true" t="shared" si="454" ref="C755:U755">C93</f>
        <v>0</v>
      </c>
      <c r="D755" s="14">
        <f t="shared" si="454"/>
        <v>0</v>
      </c>
      <c r="E755" s="14">
        <f t="shared" si="454"/>
        <v>0</v>
      </c>
      <c r="F755" s="14">
        <f t="shared" si="454"/>
        <v>0</v>
      </c>
      <c r="G755" s="14">
        <f t="shared" si="454"/>
        <v>0</v>
      </c>
      <c r="H755" s="14">
        <f t="shared" si="454"/>
        <v>0</v>
      </c>
      <c r="I755" s="14">
        <f t="shared" si="454"/>
        <v>0</v>
      </c>
      <c r="J755" s="14">
        <f t="shared" si="454"/>
        <v>735891</v>
      </c>
      <c r="K755" s="14">
        <f t="shared" si="454"/>
        <v>537523</v>
      </c>
      <c r="L755" s="14">
        <f t="shared" si="454"/>
        <v>422559</v>
      </c>
      <c r="M755" s="14">
        <f t="shared" si="454"/>
        <v>375439</v>
      </c>
      <c r="N755" s="14">
        <f t="shared" si="454"/>
        <v>396368</v>
      </c>
      <c r="O755" s="14">
        <f t="shared" si="454"/>
        <v>432363</v>
      </c>
      <c r="P755" s="14">
        <f t="shared" si="454"/>
        <v>451169</v>
      </c>
      <c r="Q755" s="14">
        <f t="shared" si="454"/>
        <v>480071</v>
      </c>
      <c r="R755" s="14">
        <f t="shared" si="454"/>
        <v>432164</v>
      </c>
      <c r="S755" s="14">
        <f t="shared" si="454"/>
        <v>466120</v>
      </c>
      <c r="T755" s="14">
        <f t="shared" si="454"/>
        <v>523093</v>
      </c>
      <c r="U755" s="14">
        <f t="shared" si="454"/>
        <v>477445</v>
      </c>
      <c r="V755" s="14">
        <f aca="true" t="shared" si="455" ref="V755:AA755">(V93)</f>
        <v>474007</v>
      </c>
      <c r="W755" s="14">
        <f t="shared" si="455"/>
        <v>568583</v>
      </c>
      <c r="X755" s="14">
        <f t="shared" si="455"/>
        <v>548679</v>
      </c>
      <c r="Y755" s="14">
        <f t="shared" si="455"/>
        <v>481714</v>
      </c>
      <c r="Z755" s="14">
        <f t="shared" si="455"/>
        <v>694263</v>
      </c>
      <c r="AA755" s="14">
        <f t="shared" si="455"/>
        <v>1050713</v>
      </c>
      <c r="AB755" s="14">
        <f aca="true" t="shared" si="456" ref="AB755:AG755">(AB93)</f>
        <v>688278</v>
      </c>
      <c r="AC755" s="14">
        <f t="shared" si="456"/>
        <v>890982</v>
      </c>
      <c r="AD755" s="14">
        <f t="shared" si="456"/>
        <v>954341.6</v>
      </c>
      <c r="AE755" s="14">
        <f t="shared" si="456"/>
        <v>888771</v>
      </c>
      <c r="AF755" s="14">
        <f t="shared" si="456"/>
        <v>1103818</v>
      </c>
      <c r="AG755" s="14">
        <f t="shared" si="456"/>
        <v>1169389</v>
      </c>
      <c r="AH755" s="14">
        <f>(AH94)</f>
        <v>0</v>
      </c>
      <c r="AI755" s="14">
        <f aca="true" t="shared" si="457" ref="AI755:AP755">(AI93)</f>
        <v>1827366</v>
      </c>
      <c r="AJ755" s="14">
        <f t="shared" si="457"/>
        <v>1634012</v>
      </c>
      <c r="AK755" s="14">
        <f>(AK93)</f>
        <v>2130025</v>
      </c>
      <c r="AL755" s="70">
        <f t="shared" si="457"/>
        <v>2130025</v>
      </c>
      <c r="AM755" s="70">
        <f t="shared" si="457"/>
        <v>2481052</v>
      </c>
      <c r="AN755" s="70">
        <f t="shared" si="457"/>
        <v>2137691</v>
      </c>
      <c r="AO755" s="70">
        <f>(AO93)</f>
        <v>2137691</v>
      </c>
      <c r="AP755" s="70">
        <f t="shared" si="457"/>
        <v>2254140</v>
      </c>
    </row>
    <row r="756" spans="1:42" ht="15.75" collapsed="1">
      <c r="A756" s="35" t="s">
        <v>55</v>
      </c>
      <c r="B756" s="15" t="s">
        <v>357</v>
      </c>
      <c r="C756" s="14">
        <v>0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0</v>
      </c>
      <c r="N756" s="14">
        <v>0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f aca="true" t="shared" si="458" ref="V756:AA756">V117</f>
        <v>47200</v>
      </c>
      <c r="W756" s="14">
        <f t="shared" si="458"/>
        <v>31000</v>
      </c>
      <c r="X756" s="14">
        <f t="shared" si="458"/>
        <v>33000</v>
      </c>
      <c r="Y756" s="14">
        <f t="shared" si="458"/>
        <v>81766</v>
      </c>
      <c r="Z756" s="14">
        <f t="shared" si="458"/>
        <v>41000</v>
      </c>
      <c r="AA756" s="14">
        <f t="shared" si="458"/>
        <v>102943</v>
      </c>
      <c r="AB756" s="14">
        <f>AB117</f>
        <v>113681</v>
      </c>
      <c r="AC756" s="14">
        <f>AC117</f>
        <v>56079</v>
      </c>
      <c r="AD756" s="14">
        <f>AD117</f>
        <v>56079</v>
      </c>
      <c r="AE756" s="14">
        <f>AE117</f>
        <v>55000</v>
      </c>
      <c r="AF756" s="14">
        <f aca="true" t="shared" si="459" ref="AF756:AM756">AF118</f>
        <v>14967</v>
      </c>
      <c r="AG756" s="14">
        <f t="shared" si="459"/>
        <v>14967</v>
      </c>
      <c r="AH756" s="14">
        <f t="shared" si="459"/>
        <v>34000</v>
      </c>
      <c r="AI756" s="14">
        <f t="shared" si="459"/>
        <v>67000</v>
      </c>
      <c r="AJ756" s="14">
        <f t="shared" si="459"/>
        <v>66533</v>
      </c>
      <c r="AK756" s="14">
        <f>AK118</f>
        <v>59004</v>
      </c>
      <c r="AL756" s="70">
        <f t="shared" si="459"/>
        <v>59004</v>
      </c>
      <c r="AM756" s="70">
        <f t="shared" si="459"/>
        <v>51000</v>
      </c>
      <c r="AN756" s="70">
        <f>AN118</f>
        <v>97000</v>
      </c>
      <c r="AO756" s="70">
        <f>AO118</f>
        <v>97000</v>
      </c>
      <c r="AP756" s="70">
        <f>AP118</f>
        <v>401400</v>
      </c>
    </row>
    <row r="757" spans="1:42" ht="15.75">
      <c r="A757" s="14"/>
      <c r="B757" s="15" t="s">
        <v>357</v>
      </c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70"/>
      <c r="AM757" s="70"/>
      <c r="AN757" s="70"/>
      <c r="AO757" s="70"/>
      <c r="AP757" s="70"/>
    </row>
    <row r="758" spans="1:42" ht="15.75">
      <c r="A758" s="35" t="s">
        <v>56</v>
      </c>
      <c r="B758" s="15" t="s">
        <v>357</v>
      </c>
      <c r="C758" s="14">
        <f aca="true" t="shared" si="460" ref="C758:U758">C173</f>
        <v>24881</v>
      </c>
      <c r="D758" s="14">
        <f t="shared" si="460"/>
        <v>7676</v>
      </c>
      <c r="E758" s="14">
        <f t="shared" si="460"/>
        <v>13398</v>
      </c>
      <c r="F758" s="14">
        <f t="shared" si="460"/>
        <v>10073</v>
      </c>
      <c r="G758" s="14">
        <f t="shared" si="460"/>
        <v>9264</v>
      </c>
      <c r="H758" s="14">
        <f t="shared" si="460"/>
        <v>7869</v>
      </c>
      <c r="I758" s="14">
        <f t="shared" si="460"/>
        <v>5449</v>
      </c>
      <c r="J758" s="14">
        <f t="shared" si="460"/>
        <v>7907</v>
      </c>
      <c r="K758" s="14">
        <f t="shared" si="460"/>
        <v>31555</v>
      </c>
      <c r="L758" s="14">
        <f t="shared" si="460"/>
        <v>23715</v>
      </c>
      <c r="M758" s="14">
        <f t="shared" si="460"/>
        <v>75622</v>
      </c>
      <c r="N758" s="14">
        <f t="shared" si="460"/>
        <v>85056</v>
      </c>
      <c r="O758" s="14">
        <f t="shared" si="460"/>
        <v>114961</v>
      </c>
      <c r="P758" s="14">
        <f t="shared" si="460"/>
        <v>105802</v>
      </c>
      <c r="Q758" s="14">
        <f t="shared" si="460"/>
        <v>134905</v>
      </c>
      <c r="R758" s="14">
        <f t="shared" si="460"/>
        <v>135002</v>
      </c>
      <c r="S758" s="14">
        <f t="shared" si="460"/>
        <v>101107</v>
      </c>
      <c r="T758" s="14">
        <f t="shared" si="460"/>
        <v>52657</v>
      </c>
      <c r="U758" s="14">
        <f t="shared" si="460"/>
        <v>73478</v>
      </c>
      <c r="V758" s="14">
        <f aca="true" t="shared" si="461" ref="V758:AA758">(V173)</f>
        <v>70074</v>
      </c>
      <c r="W758" s="14">
        <f t="shared" si="461"/>
        <v>58741</v>
      </c>
      <c r="X758" s="14">
        <f t="shared" si="461"/>
        <v>60313</v>
      </c>
      <c r="Y758" s="14">
        <f t="shared" si="461"/>
        <v>91357</v>
      </c>
      <c r="Z758" s="14">
        <f t="shared" si="461"/>
        <v>79614</v>
      </c>
      <c r="AA758" s="14">
        <f t="shared" si="461"/>
        <v>120725</v>
      </c>
      <c r="AB758" s="14">
        <f aca="true" t="shared" si="462" ref="AB758:AG758">(AB173)</f>
        <v>86112</v>
      </c>
      <c r="AC758" s="14">
        <f t="shared" si="462"/>
        <v>82875</v>
      </c>
      <c r="AD758" s="14">
        <f t="shared" si="462"/>
        <v>72626.6</v>
      </c>
      <c r="AE758" s="14">
        <f t="shared" si="462"/>
        <v>87535</v>
      </c>
      <c r="AF758" s="14">
        <f t="shared" si="462"/>
        <v>83715</v>
      </c>
      <c r="AG758" s="14">
        <f t="shared" si="462"/>
        <v>73689</v>
      </c>
      <c r="AH758" s="14">
        <f>(AH174)</f>
        <v>0</v>
      </c>
      <c r="AI758" s="14">
        <f aca="true" t="shared" si="463" ref="AI758:AP758">(AI173)</f>
        <v>102561</v>
      </c>
      <c r="AJ758" s="14">
        <f t="shared" si="463"/>
        <v>103426</v>
      </c>
      <c r="AK758" s="14">
        <f>(AK173)</f>
        <v>111145</v>
      </c>
      <c r="AL758" s="70">
        <f t="shared" si="463"/>
        <v>111145</v>
      </c>
      <c r="AM758" s="70">
        <f t="shared" si="463"/>
        <v>87167</v>
      </c>
      <c r="AN758" s="70">
        <f t="shared" si="463"/>
        <v>94258</v>
      </c>
      <c r="AO758" s="70">
        <f>(AO173)</f>
        <v>94258</v>
      </c>
      <c r="AP758" s="70">
        <f t="shared" si="463"/>
        <v>114355</v>
      </c>
    </row>
    <row r="759" spans="1:42" ht="15.75">
      <c r="A759" s="35" t="s">
        <v>195</v>
      </c>
      <c r="B759" s="15" t="s">
        <v>357</v>
      </c>
      <c r="C759" s="14"/>
      <c r="D759" s="14"/>
      <c r="E759" s="14"/>
      <c r="F759" s="14"/>
      <c r="G759" s="14"/>
      <c r="H759" s="14"/>
      <c r="I759" s="14"/>
      <c r="J759" s="14"/>
      <c r="K759" s="39">
        <v>0</v>
      </c>
      <c r="L759" s="14"/>
      <c r="M759" s="14"/>
      <c r="N759" s="14"/>
      <c r="O759" s="14"/>
      <c r="P759" s="14"/>
      <c r="Q759" s="14"/>
      <c r="R759" s="14"/>
      <c r="S759" s="14"/>
      <c r="T759" s="14">
        <f>T194</f>
        <v>250</v>
      </c>
      <c r="U759" s="14">
        <f>U194</f>
        <v>1029</v>
      </c>
      <c r="V759" s="14">
        <f aca="true" t="shared" si="464" ref="V759:AA759">(V194)</f>
        <v>0</v>
      </c>
      <c r="W759" s="14">
        <f t="shared" si="464"/>
        <v>0</v>
      </c>
      <c r="X759" s="14">
        <f t="shared" si="464"/>
        <v>0</v>
      </c>
      <c r="Y759" s="14">
        <f t="shared" si="464"/>
        <v>4341</v>
      </c>
      <c r="Z759" s="14">
        <f t="shared" si="464"/>
        <v>5907</v>
      </c>
      <c r="AA759" s="14">
        <f t="shared" si="464"/>
        <v>6841</v>
      </c>
      <c r="AB759" s="14">
        <f aca="true" t="shared" si="465" ref="AB759:AG759">(AB194)</f>
        <v>3500</v>
      </c>
      <c r="AC759" s="14">
        <f t="shared" si="465"/>
        <v>0</v>
      </c>
      <c r="AD759" s="14">
        <f t="shared" si="465"/>
        <v>4861</v>
      </c>
      <c r="AE759" s="14">
        <f t="shared" si="465"/>
        <v>0</v>
      </c>
      <c r="AF759" s="14">
        <f t="shared" si="465"/>
        <v>0</v>
      </c>
      <c r="AG759" s="14">
        <f t="shared" si="465"/>
        <v>3482</v>
      </c>
      <c r="AH759" s="14">
        <f>(AH195)</f>
        <v>0</v>
      </c>
      <c r="AI759" s="14">
        <f aca="true" t="shared" si="466" ref="AI759:AP759">(AI194)</f>
        <v>0</v>
      </c>
      <c r="AJ759" s="14">
        <f t="shared" si="466"/>
        <v>-1946</v>
      </c>
      <c r="AK759" s="14">
        <f>(AK194)</f>
        <v>6633</v>
      </c>
      <c r="AL759" s="70">
        <f t="shared" si="466"/>
        <v>6633</v>
      </c>
      <c r="AM759" s="70">
        <f t="shared" si="466"/>
        <v>0</v>
      </c>
      <c r="AN759" s="70">
        <f t="shared" si="466"/>
        <v>0</v>
      </c>
      <c r="AO759" s="70">
        <f>(AO194)</f>
        <v>0</v>
      </c>
      <c r="AP759" s="70">
        <f t="shared" si="466"/>
        <v>0</v>
      </c>
    </row>
    <row r="760" spans="1:42" ht="15.75">
      <c r="A760" s="35" t="s">
        <v>317</v>
      </c>
      <c r="B760" s="15" t="s">
        <v>357</v>
      </c>
      <c r="C760" s="14">
        <f aca="true" t="shared" si="467" ref="C760:U760">C229</f>
        <v>2</v>
      </c>
      <c r="D760" s="14">
        <f t="shared" si="467"/>
        <v>3</v>
      </c>
      <c r="E760" s="14">
        <f t="shared" si="467"/>
        <v>3</v>
      </c>
      <c r="F760" s="14">
        <f t="shared" si="467"/>
        <v>3</v>
      </c>
      <c r="G760" s="14">
        <f t="shared" si="467"/>
        <v>2</v>
      </c>
      <c r="H760" s="14">
        <f t="shared" si="467"/>
        <v>0</v>
      </c>
      <c r="I760" s="14">
        <f t="shared" si="467"/>
        <v>0</v>
      </c>
      <c r="J760" s="14">
        <f t="shared" si="467"/>
        <v>0</v>
      </c>
      <c r="K760" s="14">
        <f t="shared" si="467"/>
        <v>50</v>
      </c>
      <c r="L760" s="14">
        <f t="shared" si="467"/>
        <v>0</v>
      </c>
      <c r="M760" s="14">
        <f t="shared" si="467"/>
        <v>511</v>
      </c>
      <c r="N760" s="14">
        <f t="shared" si="467"/>
        <v>115</v>
      </c>
      <c r="O760" s="14">
        <f t="shared" si="467"/>
        <v>448</v>
      </c>
      <c r="P760" s="14">
        <f t="shared" si="467"/>
        <v>477</v>
      </c>
      <c r="Q760" s="14">
        <f t="shared" si="467"/>
        <v>253</v>
      </c>
      <c r="R760" s="14">
        <f t="shared" si="467"/>
        <v>229</v>
      </c>
      <c r="S760" s="14">
        <f t="shared" si="467"/>
        <v>1862</v>
      </c>
      <c r="T760" s="14">
        <f t="shared" si="467"/>
        <v>190</v>
      </c>
      <c r="U760" s="14">
        <f t="shared" si="467"/>
        <v>328</v>
      </c>
      <c r="V760" s="14">
        <f aca="true" t="shared" si="468" ref="V760:AA760">(V229)</f>
        <v>699</v>
      </c>
      <c r="W760" s="14">
        <f t="shared" si="468"/>
        <v>2063</v>
      </c>
      <c r="X760" s="14">
        <f t="shared" si="468"/>
        <v>1109</v>
      </c>
      <c r="Y760" s="14">
        <f t="shared" si="468"/>
        <v>413</v>
      </c>
      <c r="Z760" s="14">
        <f t="shared" si="468"/>
        <v>878</v>
      </c>
      <c r="AA760" s="14">
        <f t="shared" si="468"/>
        <v>1305</v>
      </c>
      <c r="AB760" s="14">
        <f aca="true" t="shared" si="469" ref="AB760:AG760">(AB229)</f>
        <v>747</v>
      </c>
      <c r="AC760" s="14">
        <f t="shared" si="469"/>
        <v>788</v>
      </c>
      <c r="AD760" s="14">
        <f t="shared" si="469"/>
        <v>788</v>
      </c>
      <c r="AE760" s="14">
        <f t="shared" si="469"/>
        <v>785</v>
      </c>
      <c r="AF760" s="14">
        <f t="shared" si="469"/>
        <v>785</v>
      </c>
      <c r="AG760" s="14">
        <f t="shared" si="469"/>
        <v>1695</v>
      </c>
      <c r="AH760" s="14">
        <f>(AH230)</f>
        <v>0</v>
      </c>
      <c r="AI760" s="14">
        <f aca="true" t="shared" si="470" ref="AI760:AP760">(AI229)</f>
        <v>805</v>
      </c>
      <c r="AJ760" s="14">
        <f t="shared" si="470"/>
        <v>2353</v>
      </c>
      <c r="AK760" s="14">
        <f>(AK229)</f>
        <v>2487</v>
      </c>
      <c r="AL760" s="70">
        <f t="shared" si="470"/>
        <v>2487</v>
      </c>
      <c r="AM760" s="70">
        <f t="shared" si="470"/>
        <v>7603</v>
      </c>
      <c r="AN760" s="70">
        <f t="shared" si="470"/>
        <v>7628</v>
      </c>
      <c r="AO760" s="70">
        <f>(AO229)</f>
        <v>7628</v>
      </c>
      <c r="AP760" s="70">
        <f t="shared" si="470"/>
        <v>1096</v>
      </c>
    </row>
    <row r="761" spans="1:42" ht="15.75">
      <c r="A761" s="35" t="s">
        <v>318</v>
      </c>
      <c r="B761" s="15" t="s">
        <v>357</v>
      </c>
      <c r="C761" s="14">
        <f aca="true" t="shared" si="471" ref="C761:U761">C249</f>
        <v>452</v>
      </c>
      <c r="D761" s="14">
        <f t="shared" si="471"/>
        <v>731</v>
      </c>
      <c r="E761" s="14">
        <f t="shared" si="471"/>
        <v>625</v>
      </c>
      <c r="F761" s="14">
        <f t="shared" si="471"/>
        <v>506</v>
      </c>
      <c r="G761" s="14">
        <f t="shared" si="471"/>
        <v>692</v>
      </c>
      <c r="H761" s="14">
        <f t="shared" si="471"/>
        <v>243</v>
      </c>
      <c r="I761" s="14">
        <f t="shared" si="471"/>
        <v>639</v>
      </c>
      <c r="J761" s="14">
        <f t="shared" si="471"/>
        <v>433</v>
      </c>
      <c r="K761" s="14">
        <f t="shared" si="471"/>
        <v>495</v>
      </c>
      <c r="L761" s="14">
        <f t="shared" si="471"/>
        <v>669</v>
      </c>
      <c r="M761" s="14">
        <f t="shared" si="471"/>
        <v>713</v>
      </c>
      <c r="N761" s="14">
        <f t="shared" si="471"/>
        <v>440</v>
      </c>
      <c r="O761" s="14">
        <f t="shared" si="471"/>
        <v>736</v>
      </c>
      <c r="P761" s="14">
        <f t="shared" si="471"/>
        <v>508</v>
      </c>
      <c r="Q761" s="14">
        <f t="shared" si="471"/>
        <v>902</v>
      </c>
      <c r="R761" s="14">
        <f t="shared" si="471"/>
        <v>887</v>
      </c>
      <c r="S761" s="14">
        <f t="shared" si="471"/>
        <v>1584</v>
      </c>
      <c r="T761" s="14">
        <f t="shared" si="471"/>
        <v>1369</v>
      </c>
      <c r="U761" s="14">
        <f t="shared" si="471"/>
        <v>2521</v>
      </c>
      <c r="V761" s="14">
        <f aca="true" t="shared" si="472" ref="V761:AA761">(V249)</f>
        <v>1486</v>
      </c>
      <c r="W761" s="14">
        <f t="shared" si="472"/>
        <v>0</v>
      </c>
      <c r="X761" s="14">
        <f t="shared" si="472"/>
        <v>0</v>
      </c>
      <c r="Y761" s="14">
        <f t="shared" si="472"/>
        <v>0</v>
      </c>
      <c r="Z761" s="14">
        <f t="shared" si="472"/>
        <v>0</v>
      </c>
      <c r="AA761" s="14">
        <f t="shared" si="472"/>
        <v>0</v>
      </c>
      <c r="AB761" s="14">
        <f aca="true" t="shared" si="473" ref="AB761:AG761">(AB249)</f>
        <v>0</v>
      </c>
      <c r="AC761" s="14">
        <f t="shared" si="473"/>
        <v>0</v>
      </c>
      <c r="AD761" s="14">
        <f t="shared" si="473"/>
        <v>0</v>
      </c>
      <c r="AE761" s="14">
        <f t="shared" si="473"/>
        <v>0</v>
      </c>
      <c r="AF761" s="14">
        <f t="shared" si="473"/>
        <v>0</v>
      </c>
      <c r="AG761" s="14">
        <f t="shared" si="473"/>
        <v>0</v>
      </c>
      <c r="AH761" s="14">
        <f>(AH250)</f>
        <v>0</v>
      </c>
      <c r="AI761" s="14">
        <f aca="true" t="shared" si="474" ref="AI761:AP761">(AI249)</f>
        <v>0</v>
      </c>
      <c r="AJ761" s="14">
        <f t="shared" si="474"/>
        <v>0</v>
      </c>
      <c r="AK761" s="14">
        <f>(AK249)</f>
        <v>0</v>
      </c>
      <c r="AL761" s="70">
        <f t="shared" si="474"/>
        <v>0</v>
      </c>
      <c r="AM761" s="70">
        <f t="shared" si="474"/>
        <v>0</v>
      </c>
      <c r="AN761" s="70">
        <f t="shared" si="474"/>
        <v>0</v>
      </c>
      <c r="AO761" s="70">
        <f>(AO249)</f>
        <v>0</v>
      </c>
      <c r="AP761" s="70">
        <f t="shared" si="474"/>
        <v>0</v>
      </c>
    </row>
    <row r="762" ht="12"/>
    <row r="763" spans="1:42" ht="15.75">
      <c r="A763" s="35" t="s">
        <v>219</v>
      </c>
      <c r="B763" s="15" t="s">
        <v>357</v>
      </c>
      <c r="C763" s="14">
        <f aca="true" t="shared" si="475" ref="C763:U763">C307</f>
        <v>134418</v>
      </c>
      <c r="D763" s="14">
        <f t="shared" si="475"/>
        <v>111940</v>
      </c>
      <c r="E763" s="14">
        <f t="shared" si="475"/>
        <v>133036</v>
      </c>
      <c r="F763" s="14">
        <f t="shared" si="475"/>
        <v>148090</v>
      </c>
      <c r="G763" s="14">
        <f t="shared" si="475"/>
        <v>149222</v>
      </c>
      <c r="H763" s="14">
        <f t="shared" si="475"/>
        <v>180607</v>
      </c>
      <c r="I763" s="14">
        <f t="shared" si="475"/>
        <v>171119</v>
      </c>
      <c r="J763" s="14">
        <f t="shared" si="475"/>
        <v>152283</v>
      </c>
      <c r="K763" s="14">
        <f t="shared" si="475"/>
        <v>151666</v>
      </c>
      <c r="L763" s="14">
        <f t="shared" si="475"/>
        <v>270056</v>
      </c>
      <c r="M763" s="14">
        <f t="shared" si="475"/>
        <v>276209</v>
      </c>
      <c r="N763" s="14">
        <f t="shared" si="475"/>
        <v>322407</v>
      </c>
      <c r="O763" s="14">
        <f t="shared" si="475"/>
        <v>353933</v>
      </c>
      <c r="P763" s="14">
        <f t="shared" si="475"/>
        <v>366019</v>
      </c>
      <c r="Q763" s="14">
        <f t="shared" si="475"/>
        <v>407845</v>
      </c>
      <c r="R763" s="14">
        <f t="shared" si="475"/>
        <v>464282</v>
      </c>
      <c r="S763" s="14">
        <f t="shared" si="475"/>
        <v>557143</v>
      </c>
      <c r="T763" s="14">
        <f t="shared" si="475"/>
        <v>499459</v>
      </c>
      <c r="U763" s="14">
        <f t="shared" si="475"/>
        <v>613950</v>
      </c>
      <c r="V763" s="14">
        <f aca="true" t="shared" si="476" ref="V763:AA763">(V307)</f>
        <v>585767</v>
      </c>
      <c r="W763" s="14">
        <f t="shared" si="476"/>
        <v>654907</v>
      </c>
      <c r="X763" s="14">
        <f t="shared" si="476"/>
        <v>593546</v>
      </c>
      <c r="Y763" s="14">
        <f t="shared" si="476"/>
        <v>574718</v>
      </c>
      <c r="Z763" s="14">
        <f t="shared" si="476"/>
        <v>620415</v>
      </c>
      <c r="AA763" s="14">
        <f t="shared" si="476"/>
        <v>633701</v>
      </c>
      <c r="AB763" s="14">
        <f aca="true" t="shared" si="477" ref="AB763:AG763">(AB307)</f>
        <v>663437</v>
      </c>
      <c r="AC763" s="14">
        <f t="shared" si="477"/>
        <v>661519</v>
      </c>
      <c r="AD763" s="14">
        <f t="shared" si="477"/>
        <v>660588</v>
      </c>
      <c r="AE763" s="14">
        <f t="shared" si="477"/>
        <v>671072</v>
      </c>
      <c r="AF763" s="14">
        <f t="shared" si="477"/>
        <v>668103</v>
      </c>
      <c r="AG763" s="14">
        <f t="shared" si="477"/>
        <v>665609</v>
      </c>
      <c r="AH763" s="14">
        <f>(AH308)</f>
        <v>0</v>
      </c>
      <c r="AI763" s="14">
        <f aca="true" t="shared" si="478" ref="AI763:AP763">(AI307)</f>
        <v>693676</v>
      </c>
      <c r="AJ763" s="14">
        <f t="shared" si="478"/>
        <v>695580</v>
      </c>
      <c r="AK763" s="14">
        <f>(AK307)</f>
        <v>731199</v>
      </c>
      <c r="AL763" s="70">
        <f t="shared" si="478"/>
        <v>731199</v>
      </c>
      <c r="AM763" s="70">
        <f t="shared" si="478"/>
        <v>808146</v>
      </c>
      <c r="AN763" s="70">
        <f t="shared" si="478"/>
        <v>830213</v>
      </c>
      <c r="AO763" s="70">
        <f>(AO307)</f>
        <v>830213</v>
      </c>
      <c r="AP763" s="70">
        <f t="shared" si="478"/>
        <v>859411</v>
      </c>
    </row>
    <row r="764" spans="1:42" ht="15.75">
      <c r="A764" s="35" t="s">
        <v>228</v>
      </c>
      <c r="B764" s="15" t="s">
        <v>357</v>
      </c>
      <c r="C764" s="14"/>
      <c r="D764" s="14"/>
      <c r="E764" s="14"/>
      <c r="F764" s="14"/>
      <c r="G764" s="14"/>
      <c r="H764" s="14"/>
      <c r="I764" s="14"/>
      <c r="J764" s="14"/>
      <c r="K764" s="48">
        <v>0</v>
      </c>
      <c r="L764" s="14"/>
      <c r="M764" s="14"/>
      <c r="N764" s="14"/>
      <c r="O764" s="14"/>
      <c r="P764" s="14"/>
      <c r="Q764" s="14"/>
      <c r="R764" s="14"/>
      <c r="S764" s="14"/>
      <c r="T764" s="14">
        <f>T328</f>
        <v>75</v>
      </c>
      <c r="U764" s="14">
        <f>U328</f>
        <v>132</v>
      </c>
      <c r="V764" s="14">
        <f aca="true" t="shared" si="479" ref="V764:AA764">(V328)</f>
        <v>0</v>
      </c>
      <c r="W764" s="14">
        <f t="shared" si="479"/>
        <v>0</v>
      </c>
      <c r="X764" s="14">
        <f t="shared" si="479"/>
        <v>0</v>
      </c>
      <c r="Y764" s="14">
        <f t="shared" si="479"/>
        <v>0</v>
      </c>
      <c r="Z764" s="14">
        <f t="shared" si="479"/>
        <v>0</v>
      </c>
      <c r="AA764" s="14">
        <f t="shared" si="479"/>
        <v>0</v>
      </c>
      <c r="AB764" s="14">
        <f aca="true" t="shared" si="480" ref="AB764:AG764">(AB328)</f>
        <v>0</v>
      </c>
      <c r="AC764" s="14">
        <f t="shared" si="480"/>
        <v>0</v>
      </c>
      <c r="AD764" s="14">
        <f t="shared" si="480"/>
        <v>0</v>
      </c>
      <c r="AE764" s="14">
        <f t="shared" si="480"/>
        <v>0</v>
      </c>
      <c r="AF764" s="14">
        <f t="shared" si="480"/>
        <v>0</v>
      </c>
      <c r="AG764" s="14">
        <f t="shared" si="480"/>
        <v>0</v>
      </c>
      <c r="AH764" s="14">
        <f>(AH329)</f>
        <v>0</v>
      </c>
      <c r="AI764" s="14">
        <f aca="true" t="shared" si="481" ref="AI764:AP764">(AI328)</f>
        <v>0</v>
      </c>
      <c r="AJ764" s="14">
        <f t="shared" si="481"/>
        <v>0</v>
      </c>
      <c r="AK764" s="14">
        <f>(AK328)</f>
        <v>0</v>
      </c>
      <c r="AL764" s="70">
        <f t="shared" si="481"/>
        <v>0</v>
      </c>
      <c r="AM764" s="70">
        <f t="shared" si="481"/>
        <v>0</v>
      </c>
      <c r="AN764" s="70">
        <f t="shared" si="481"/>
        <v>0</v>
      </c>
      <c r="AO764" s="70">
        <f>(AO328)</f>
        <v>0</v>
      </c>
      <c r="AP764" s="70">
        <f t="shared" si="481"/>
        <v>0</v>
      </c>
    </row>
    <row r="765" spans="1:42" ht="15.75">
      <c r="A765" s="35" t="s">
        <v>229</v>
      </c>
      <c r="B765" s="15" t="s">
        <v>357</v>
      </c>
      <c r="C765" s="14">
        <f aca="true" t="shared" si="482" ref="C765:U765">C397</f>
        <v>7790</v>
      </c>
      <c r="D765" s="14">
        <f t="shared" si="482"/>
        <v>1625</v>
      </c>
      <c r="E765" s="14">
        <f t="shared" si="482"/>
        <v>1637</v>
      </c>
      <c r="F765" s="14">
        <f t="shared" si="482"/>
        <v>1815</v>
      </c>
      <c r="G765" s="14">
        <f t="shared" si="482"/>
        <v>31258</v>
      </c>
      <c r="H765" s="14">
        <f t="shared" si="482"/>
        <v>1574</v>
      </c>
      <c r="I765" s="14">
        <f t="shared" si="482"/>
        <v>2875</v>
      </c>
      <c r="J765" s="14">
        <f t="shared" si="482"/>
        <v>7561</v>
      </c>
      <c r="K765" s="14">
        <f t="shared" si="482"/>
        <v>20982</v>
      </c>
      <c r="L765" s="14">
        <f t="shared" si="482"/>
        <v>20736</v>
      </c>
      <c r="M765" s="14">
        <f t="shared" si="482"/>
        <v>18237</v>
      </c>
      <c r="N765" s="14">
        <f t="shared" si="482"/>
        <v>14345</v>
      </c>
      <c r="O765" s="14">
        <f t="shared" si="482"/>
        <v>22997</v>
      </c>
      <c r="P765" s="14">
        <f t="shared" si="482"/>
        <v>21674</v>
      </c>
      <c r="Q765" s="14">
        <f t="shared" si="482"/>
        <v>50414</v>
      </c>
      <c r="R765" s="14">
        <f t="shared" si="482"/>
        <v>51206</v>
      </c>
      <c r="S765" s="14">
        <f t="shared" si="482"/>
        <v>51501</v>
      </c>
      <c r="T765" s="14">
        <f t="shared" si="482"/>
        <v>62065</v>
      </c>
      <c r="U765" s="14">
        <f t="shared" si="482"/>
        <v>80597</v>
      </c>
      <c r="V765" s="14">
        <f aca="true" t="shared" si="483" ref="V765:AA765">(V397)</f>
        <v>96066</v>
      </c>
      <c r="W765" s="14">
        <f t="shared" si="483"/>
        <v>145162</v>
      </c>
      <c r="X765" s="14">
        <f t="shared" si="483"/>
        <v>224840</v>
      </c>
      <c r="Y765" s="14">
        <f t="shared" si="483"/>
        <v>238579</v>
      </c>
      <c r="Z765" s="14">
        <f t="shared" si="483"/>
        <v>262884</v>
      </c>
      <c r="AA765" s="14">
        <f t="shared" si="483"/>
        <v>276259</v>
      </c>
      <c r="AB765" s="14">
        <f aca="true" t="shared" si="484" ref="AB765:AH765">(AB397)</f>
        <v>274458</v>
      </c>
      <c r="AC765" s="14">
        <f t="shared" si="484"/>
        <v>276170</v>
      </c>
      <c r="AD765" s="14">
        <f t="shared" si="484"/>
        <v>303630</v>
      </c>
      <c r="AE765" s="14">
        <f t="shared" si="484"/>
        <v>285248</v>
      </c>
      <c r="AF765" s="14">
        <f t="shared" si="484"/>
        <v>296802</v>
      </c>
      <c r="AG765" s="14">
        <f>(AG397)</f>
        <v>293463</v>
      </c>
      <c r="AH765" s="14">
        <f t="shared" si="484"/>
        <v>311751</v>
      </c>
      <c r="AI765" s="14">
        <f aca="true" t="shared" si="485" ref="AI765:AP765">(AI397)</f>
        <v>299053</v>
      </c>
      <c r="AJ765" s="14">
        <f t="shared" si="485"/>
        <v>316319</v>
      </c>
      <c r="AK765" s="14">
        <f>(AK397)</f>
        <v>337615</v>
      </c>
      <c r="AL765" s="70">
        <f t="shared" si="485"/>
        <v>337615</v>
      </c>
      <c r="AM765" s="70">
        <f t="shared" si="485"/>
        <v>350154</v>
      </c>
      <c r="AN765" s="70">
        <f t="shared" si="485"/>
        <v>362621</v>
      </c>
      <c r="AO765" s="70">
        <f>(AO397)</f>
        <v>362621</v>
      </c>
      <c r="AP765" s="70">
        <f t="shared" si="485"/>
        <v>556007</v>
      </c>
    </row>
    <row r="766" spans="1:42" ht="15.75" outlineLevel="1">
      <c r="A766" s="14"/>
      <c r="B766" s="15" t="s">
        <v>357</v>
      </c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70"/>
      <c r="AM766" s="70"/>
      <c r="AN766" s="70"/>
      <c r="AO766" s="70"/>
      <c r="AP766" s="70"/>
    </row>
    <row r="767" spans="1:42" ht="15.75" outlineLevel="1">
      <c r="A767" s="35" t="s">
        <v>230</v>
      </c>
      <c r="B767" s="15" t="s">
        <v>357</v>
      </c>
      <c r="C767" s="14">
        <f aca="true" t="shared" si="486" ref="C767:U767">C453</f>
        <v>288985</v>
      </c>
      <c r="D767" s="14">
        <f t="shared" si="486"/>
        <v>306058</v>
      </c>
      <c r="E767" s="14">
        <f t="shared" si="486"/>
        <v>402508</v>
      </c>
      <c r="F767" s="14">
        <f t="shared" si="486"/>
        <v>966001</v>
      </c>
      <c r="G767" s="14">
        <f t="shared" si="486"/>
        <v>629247</v>
      </c>
      <c r="H767" s="14">
        <f t="shared" si="486"/>
        <v>490288</v>
      </c>
      <c r="I767" s="14">
        <f t="shared" si="486"/>
        <v>416476</v>
      </c>
      <c r="J767" s="14">
        <f t="shared" si="486"/>
        <v>379871</v>
      </c>
      <c r="K767" s="14">
        <f t="shared" si="486"/>
        <v>484259</v>
      </c>
      <c r="L767" s="14">
        <f t="shared" si="486"/>
        <v>367486</v>
      </c>
      <c r="M767" s="14">
        <f t="shared" si="486"/>
        <v>361182</v>
      </c>
      <c r="N767" s="14">
        <f t="shared" si="486"/>
        <v>429008</v>
      </c>
      <c r="O767" s="14">
        <f t="shared" si="486"/>
        <v>524978</v>
      </c>
      <c r="P767" s="14">
        <f t="shared" si="486"/>
        <v>546539</v>
      </c>
      <c r="Q767" s="14">
        <f t="shared" si="486"/>
        <v>464644</v>
      </c>
      <c r="R767" s="14">
        <f t="shared" si="486"/>
        <v>554431</v>
      </c>
      <c r="S767" s="14">
        <f t="shared" si="486"/>
        <v>477484</v>
      </c>
      <c r="T767" s="14">
        <f t="shared" si="486"/>
        <v>624372</v>
      </c>
      <c r="U767" s="14">
        <f t="shared" si="486"/>
        <v>602265</v>
      </c>
      <c r="V767" s="14">
        <f aca="true" t="shared" si="487" ref="V767:AA767">(V453)</f>
        <v>459887</v>
      </c>
      <c r="W767" s="14">
        <f t="shared" si="487"/>
        <v>149697</v>
      </c>
      <c r="X767" s="14">
        <f t="shared" si="487"/>
        <v>94796</v>
      </c>
      <c r="Y767" s="14">
        <f t="shared" si="487"/>
        <v>81610</v>
      </c>
      <c r="Z767" s="14">
        <f t="shared" si="487"/>
        <v>83299</v>
      </c>
      <c r="AA767" s="14">
        <f t="shared" si="487"/>
        <v>88708</v>
      </c>
      <c r="AB767" s="14">
        <f aca="true" t="shared" si="488" ref="AB767:AH767">(AB453)</f>
        <v>84005</v>
      </c>
      <c r="AC767" s="14">
        <f t="shared" si="488"/>
        <v>88729</v>
      </c>
      <c r="AD767" s="14">
        <f t="shared" si="488"/>
        <v>87345</v>
      </c>
      <c r="AE767" s="14">
        <f t="shared" si="488"/>
        <v>89401</v>
      </c>
      <c r="AF767" s="14">
        <f t="shared" si="488"/>
        <v>90550</v>
      </c>
      <c r="AG767" s="14">
        <f>(AG453)</f>
        <v>89250</v>
      </c>
      <c r="AH767" s="14">
        <f t="shared" si="488"/>
        <v>90935</v>
      </c>
      <c r="AI767" s="14">
        <f aca="true" t="shared" si="489" ref="AI767:AP767">(AI453)</f>
        <v>91045</v>
      </c>
      <c r="AJ767" s="14">
        <f t="shared" si="489"/>
        <v>95056</v>
      </c>
      <c r="AK767" s="14">
        <f>(AK453)</f>
        <v>123248</v>
      </c>
      <c r="AL767" s="70">
        <f t="shared" si="489"/>
        <v>123474</v>
      </c>
      <c r="AM767" s="70">
        <f t="shared" si="489"/>
        <v>107593</v>
      </c>
      <c r="AN767" s="70">
        <f t="shared" si="489"/>
        <v>109891</v>
      </c>
      <c r="AO767" s="70">
        <f>(AO453)</f>
        <v>109891</v>
      </c>
      <c r="AP767" s="70">
        <f t="shared" si="489"/>
        <v>95776</v>
      </c>
    </row>
    <row r="768" spans="1:42" ht="15.75" outlineLevel="1">
      <c r="A768" s="35" t="s">
        <v>199</v>
      </c>
      <c r="B768" s="15" t="s">
        <v>357</v>
      </c>
      <c r="C768" s="14">
        <f aca="true" t="shared" si="490" ref="C768:U768">C493</f>
        <v>2</v>
      </c>
      <c r="D768" s="14">
        <f t="shared" si="490"/>
        <v>0</v>
      </c>
      <c r="E768" s="14">
        <f t="shared" si="490"/>
        <v>0</v>
      </c>
      <c r="F768" s="14">
        <f t="shared" si="490"/>
        <v>0</v>
      </c>
      <c r="G768" s="14">
        <f t="shared" si="490"/>
        <v>0</v>
      </c>
      <c r="H768" s="14">
        <f t="shared" si="490"/>
        <v>0</v>
      </c>
      <c r="I768" s="14">
        <f t="shared" si="490"/>
        <v>0</v>
      </c>
      <c r="J768" s="14">
        <f t="shared" si="490"/>
        <v>0</v>
      </c>
      <c r="K768" s="14">
        <f t="shared" si="490"/>
        <v>14</v>
      </c>
      <c r="L768" s="14">
        <f t="shared" si="490"/>
        <v>0</v>
      </c>
      <c r="M768" s="14">
        <f t="shared" si="490"/>
        <v>0</v>
      </c>
      <c r="N768" s="14">
        <f t="shared" si="490"/>
        <v>0</v>
      </c>
      <c r="O768" s="14">
        <f t="shared" si="490"/>
        <v>0</v>
      </c>
      <c r="P768" s="14">
        <f t="shared" si="490"/>
        <v>0</v>
      </c>
      <c r="Q768" s="14">
        <f t="shared" si="490"/>
        <v>0</v>
      </c>
      <c r="R768" s="14">
        <f t="shared" si="490"/>
        <v>0</v>
      </c>
      <c r="S768" s="14">
        <f t="shared" si="490"/>
        <v>6</v>
      </c>
      <c r="T768" s="14">
        <f t="shared" si="490"/>
        <v>84</v>
      </c>
      <c r="U768" s="14">
        <f t="shared" si="490"/>
        <v>90</v>
      </c>
      <c r="V768" s="14">
        <f aca="true" t="shared" si="491" ref="V768:AA768">(V493)</f>
        <v>200000</v>
      </c>
      <c r="W768" s="14">
        <f t="shared" si="491"/>
        <v>189</v>
      </c>
      <c r="X768" s="14">
        <f t="shared" si="491"/>
        <v>0</v>
      </c>
      <c r="Y768" s="14">
        <f t="shared" si="491"/>
        <v>3817</v>
      </c>
      <c r="Z768" s="14">
        <f t="shared" si="491"/>
        <v>1252</v>
      </c>
      <c r="AA768" s="14">
        <f t="shared" si="491"/>
        <v>2179</v>
      </c>
      <c r="AB768" s="14">
        <f aca="true" t="shared" si="492" ref="AB768:AH768">(AB493)</f>
        <v>0</v>
      </c>
      <c r="AC768" s="14">
        <f t="shared" si="492"/>
        <v>0</v>
      </c>
      <c r="AD768" s="14">
        <f t="shared" si="492"/>
        <v>0</v>
      </c>
      <c r="AE768" s="14">
        <f t="shared" si="492"/>
        <v>0</v>
      </c>
      <c r="AF768" s="14">
        <f t="shared" si="492"/>
        <v>0</v>
      </c>
      <c r="AG768" s="14">
        <f>(AG493)</f>
        <v>0</v>
      </c>
      <c r="AH768" s="14">
        <f t="shared" si="492"/>
        <v>0</v>
      </c>
      <c r="AI768" s="14">
        <f aca="true" t="shared" si="493" ref="AI768:AP768">(AI493)</f>
        <v>51</v>
      </c>
      <c r="AJ768" s="14">
        <f t="shared" si="493"/>
        <v>47</v>
      </c>
      <c r="AK768" s="14">
        <f>(AK493)</f>
        <v>0</v>
      </c>
      <c r="AL768" s="70">
        <f t="shared" si="493"/>
        <v>0</v>
      </c>
      <c r="AM768" s="70">
        <f t="shared" si="493"/>
        <v>60</v>
      </c>
      <c r="AN768" s="70">
        <f t="shared" si="493"/>
        <v>115</v>
      </c>
      <c r="AO768" s="70">
        <f>(AO493)</f>
        <v>115</v>
      </c>
      <c r="AP768" s="70">
        <f t="shared" si="493"/>
        <v>115</v>
      </c>
    </row>
    <row r="769" spans="1:42" ht="15.75" outlineLevel="1">
      <c r="A769" s="35" t="s">
        <v>405</v>
      </c>
      <c r="B769" s="15" t="s">
        <v>357</v>
      </c>
      <c r="C769" s="14">
        <f aca="true" t="shared" si="494" ref="C769:U769">C520</f>
        <v>20298</v>
      </c>
      <c r="D769" s="14">
        <f t="shared" si="494"/>
        <v>24662</v>
      </c>
      <c r="E769" s="14">
        <f t="shared" si="494"/>
        <v>27131</v>
      </c>
      <c r="F769" s="14">
        <f t="shared" si="494"/>
        <v>50229</v>
      </c>
      <c r="G769" s="14">
        <f t="shared" si="494"/>
        <v>66366</v>
      </c>
      <c r="H769" s="14">
        <f t="shared" si="494"/>
        <v>66094</v>
      </c>
      <c r="I769" s="14">
        <f t="shared" si="494"/>
        <v>55563</v>
      </c>
      <c r="J769" s="14">
        <f t="shared" si="494"/>
        <v>65258</v>
      </c>
      <c r="K769" s="14">
        <f t="shared" si="494"/>
        <v>53351</v>
      </c>
      <c r="L769" s="14">
        <f t="shared" si="494"/>
        <v>89947</v>
      </c>
      <c r="M769" s="14">
        <f t="shared" si="494"/>
        <v>272306</v>
      </c>
      <c r="N769" s="14">
        <f t="shared" si="494"/>
        <v>198281</v>
      </c>
      <c r="O769" s="14">
        <f t="shared" si="494"/>
        <v>160610</v>
      </c>
      <c r="P769" s="14">
        <f t="shared" si="494"/>
        <v>186792</v>
      </c>
      <c r="Q769" s="14">
        <f t="shared" si="494"/>
        <v>226831</v>
      </c>
      <c r="R769" s="14">
        <f t="shared" si="494"/>
        <v>228752</v>
      </c>
      <c r="S769" s="14">
        <f t="shared" si="494"/>
        <v>246245</v>
      </c>
      <c r="T769" s="14">
        <f t="shared" si="494"/>
        <v>224334</v>
      </c>
      <c r="U769" s="14">
        <f t="shared" si="494"/>
        <v>442845</v>
      </c>
      <c r="V769" s="14">
        <f aca="true" t="shared" si="495" ref="V769:AA769">(V520)</f>
        <v>328392</v>
      </c>
      <c r="W769" s="14">
        <f t="shared" si="495"/>
        <v>305674</v>
      </c>
      <c r="X769" s="14">
        <f t="shared" si="495"/>
        <v>207655</v>
      </c>
      <c r="Y769" s="14">
        <f t="shared" si="495"/>
        <v>229090</v>
      </c>
      <c r="Z769" s="14">
        <f t="shared" si="495"/>
        <v>268667</v>
      </c>
      <c r="AA769" s="14">
        <f t="shared" si="495"/>
        <v>228100</v>
      </c>
      <c r="AB769" s="14">
        <f aca="true" t="shared" si="496" ref="AB769:AH769">(AB520)</f>
        <v>279409</v>
      </c>
      <c r="AC769" s="14">
        <f t="shared" si="496"/>
        <v>268355</v>
      </c>
      <c r="AD769" s="14">
        <f t="shared" si="496"/>
        <v>240307</v>
      </c>
      <c r="AE769" s="14">
        <f t="shared" si="496"/>
        <v>289543</v>
      </c>
      <c r="AF769" s="14">
        <f t="shared" si="496"/>
        <v>301443</v>
      </c>
      <c r="AG769" s="14">
        <f>(AG520)</f>
        <v>308998</v>
      </c>
      <c r="AH769" s="14">
        <f t="shared" si="496"/>
        <v>302968</v>
      </c>
      <c r="AI769" s="14">
        <f aca="true" t="shared" si="497" ref="AI769:AP769">(AI520)</f>
        <v>311021</v>
      </c>
      <c r="AJ769" s="14">
        <f t="shared" si="497"/>
        <v>340771</v>
      </c>
      <c r="AK769" s="14">
        <f>(AK520)</f>
        <v>330925</v>
      </c>
      <c r="AL769" s="70">
        <f t="shared" si="497"/>
        <v>330925</v>
      </c>
      <c r="AM769" s="70">
        <f t="shared" si="497"/>
        <v>347103</v>
      </c>
      <c r="AN769" s="70">
        <f t="shared" si="497"/>
        <v>321649</v>
      </c>
      <c r="AO769" s="70">
        <f>(AO520)</f>
        <v>321649</v>
      </c>
      <c r="AP769" s="70">
        <f t="shared" si="497"/>
        <v>324060</v>
      </c>
    </row>
    <row r="770" spans="1:42" ht="15.75" outlineLevel="1">
      <c r="A770" s="35" t="s">
        <v>422</v>
      </c>
      <c r="B770" s="15" t="s">
        <v>357</v>
      </c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>
        <f aca="true" t="shared" si="498" ref="X770:AC770">X540</f>
        <v>25662</v>
      </c>
      <c r="Y770" s="14">
        <f t="shared" si="498"/>
        <v>33755</v>
      </c>
      <c r="Z770" s="14">
        <f t="shared" si="498"/>
        <v>21992</v>
      </c>
      <c r="AA770" s="14">
        <f t="shared" si="498"/>
        <v>93190</v>
      </c>
      <c r="AB770" s="14">
        <f t="shared" si="498"/>
        <v>15339</v>
      </c>
      <c r="AC770" s="14">
        <f t="shared" si="498"/>
        <v>44126</v>
      </c>
      <c r="AD770" s="14">
        <f aca="true" t="shared" si="499" ref="AD770:AL770">AD540</f>
        <v>25740</v>
      </c>
      <c r="AE770" s="14">
        <f t="shared" si="499"/>
        <v>49000</v>
      </c>
      <c r="AF770" s="14">
        <f t="shared" si="499"/>
        <v>38400</v>
      </c>
      <c r="AG770" s="14">
        <f t="shared" si="499"/>
        <v>35526</v>
      </c>
      <c r="AH770" s="14">
        <f t="shared" si="499"/>
        <v>35700</v>
      </c>
      <c r="AI770" s="14">
        <f t="shared" si="499"/>
        <v>30650</v>
      </c>
      <c r="AJ770" s="14">
        <f>AJ540</f>
        <v>37681</v>
      </c>
      <c r="AK770" s="14">
        <f>AK540</f>
        <v>73771</v>
      </c>
      <c r="AL770" s="70">
        <f t="shared" si="499"/>
        <v>73771</v>
      </c>
      <c r="AM770" s="70">
        <f>AM540</f>
        <v>29000</v>
      </c>
      <c r="AN770" s="70">
        <f>AN540</f>
        <v>64000</v>
      </c>
      <c r="AO770" s="70">
        <f>AO540</f>
        <v>64000</v>
      </c>
      <c r="AP770" s="70">
        <f>AP540</f>
        <v>39000</v>
      </c>
    </row>
    <row r="771" spans="1:42" ht="15.75" collapsed="1">
      <c r="A771" s="35" t="s">
        <v>186</v>
      </c>
      <c r="B771" s="15" t="s">
        <v>357</v>
      </c>
      <c r="C771" s="14">
        <v>0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0</v>
      </c>
      <c r="K771" s="14">
        <v>0</v>
      </c>
      <c r="L771" s="14">
        <v>0</v>
      </c>
      <c r="M771" s="14">
        <v>0</v>
      </c>
      <c r="N771" s="14">
        <v>0</v>
      </c>
      <c r="O771" s="14">
        <v>0</v>
      </c>
      <c r="P771" s="14">
        <v>0</v>
      </c>
      <c r="Q771" s="14">
        <v>0</v>
      </c>
      <c r="R771" s="14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0</v>
      </c>
      <c r="AA771" s="14">
        <v>0</v>
      </c>
      <c r="AB771" s="14">
        <v>0</v>
      </c>
      <c r="AC771" s="14">
        <v>0</v>
      </c>
      <c r="AD771" s="14">
        <v>0</v>
      </c>
      <c r="AE771" s="14">
        <v>0</v>
      </c>
      <c r="AF771" s="14">
        <v>0</v>
      </c>
      <c r="AG771" s="14">
        <v>0</v>
      </c>
      <c r="AH771" s="14">
        <v>0</v>
      </c>
      <c r="AI771" s="14">
        <v>0</v>
      </c>
      <c r="AJ771" s="14">
        <v>0</v>
      </c>
      <c r="AK771" s="14">
        <v>0</v>
      </c>
      <c r="AL771" s="70">
        <v>0</v>
      </c>
      <c r="AM771" s="70">
        <v>0</v>
      </c>
      <c r="AN771" s="70">
        <v>0</v>
      </c>
      <c r="AO771" s="70">
        <v>0</v>
      </c>
      <c r="AP771" s="70">
        <v>0</v>
      </c>
    </row>
    <row r="772" spans="1:42" ht="15.75">
      <c r="A772" s="35" t="s">
        <v>187</v>
      </c>
      <c r="B772" s="15" t="s">
        <v>357</v>
      </c>
      <c r="C772" s="14">
        <f aca="true" t="shared" si="500" ref="C772:U772">C568</f>
        <v>0</v>
      </c>
      <c r="D772" s="14">
        <f t="shared" si="500"/>
        <v>0</v>
      </c>
      <c r="E772" s="14">
        <f t="shared" si="500"/>
        <v>0</v>
      </c>
      <c r="F772" s="14">
        <f t="shared" si="500"/>
        <v>0</v>
      </c>
      <c r="G772" s="14">
        <f t="shared" si="500"/>
        <v>0</v>
      </c>
      <c r="H772" s="14">
        <f t="shared" si="500"/>
        <v>0</v>
      </c>
      <c r="I772" s="14">
        <f t="shared" si="500"/>
        <v>0</v>
      </c>
      <c r="J772" s="14">
        <f t="shared" si="500"/>
        <v>0</v>
      </c>
      <c r="K772" s="14">
        <f t="shared" si="500"/>
        <v>0</v>
      </c>
      <c r="L772" s="14">
        <f t="shared" si="500"/>
        <v>31</v>
      </c>
      <c r="M772" s="14">
        <f t="shared" si="500"/>
        <v>36</v>
      </c>
      <c r="N772" s="14">
        <f t="shared" si="500"/>
        <v>16</v>
      </c>
      <c r="O772" s="14">
        <f t="shared" si="500"/>
        <v>12</v>
      </c>
      <c r="P772" s="14">
        <f t="shared" si="500"/>
        <v>-42</v>
      </c>
      <c r="Q772" s="14">
        <f t="shared" si="500"/>
        <v>0</v>
      </c>
      <c r="R772" s="14">
        <f t="shared" si="500"/>
        <v>0</v>
      </c>
      <c r="S772" s="14">
        <f t="shared" si="500"/>
        <v>0</v>
      </c>
      <c r="T772" s="14">
        <f t="shared" si="500"/>
        <v>0</v>
      </c>
      <c r="U772" s="14">
        <f t="shared" si="500"/>
        <v>0</v>
      </c>
      <c r="V772" s="14">
        <f aca="true" t="shared" si="501" ref="V772:AA772">(V568)</f>
        <v>0</v>
      </c>
      <c r="W772" s="14">
        <f t="shared" si="501"/>
        <v>0</v>
      </c>
      <c r="X772" s="14">
        <f t="shared" si="501"/>
        <v>0</v>
      </c>
      <c r="Y772" s="14">
        <f t="shared" si="501"/>
        <v>0</v>
      </c>
      <c r="Z772" s="14">
        <f t="shared" si="501"/>
        <v>0</v>
      </c>
      <c r="AA772" s="14">
        <f t="shared" si="501"/>
        <v>0</v>
      </c>
      <c r="AB772" s="14">
        <f aca="true" t="shared" si="502" ref="AB772:AH772">(AB568)</f>
        <v>0</v>
      </c>
      <c r="AC772" s="14">
        <f t="shared" si="502"/>
        <v>0</v>
      </c>
      <c r="AD772" s="14">
        <f t="shared" si="502"/>
        <v>0</v>
      </c>
      <c r="AE772" s="14">
        <f t="shared" si="502"/>
        <v>0</v>
      </c>
      <c r="AF772" s="14">
        <f t="shared" si="502"/>
        <v>0</v>
      </c>
      <c r="AG772" s="14">
        <f>(AG568)</f>
        <v>0</v>
      </c>
      <c r="AH772" s="14">
        <f t="shared" si="502"/>
        <v>0</v>
      </c>
      <c r="AI772" s="14">
        <f aca="true" t="shared" si="503" ref="AI772:AP772">(AI568)</f>
        <v>0</v>
      </c>
      <c r="AJ772" s="14">
        <f t="shared" si="503"/>
        <v>0</v>
      </c>
      <c r="AK772" s="14">
        <f>(AK568)</f>
        <v>0</v>
      </c>
      <c r="AL772" s="70">
        <f t="shared" si="503"/>
        <v>0</v>
      </c>
      <c r="AM772" s="70">
        <f t="shared" si="503"/>
        <v>0</v>
      </c>
      <c r="AN772" s="70">
        <f t="shared" si="503"/>
        <v>0</v>
      </c>
      <c r="AO772" s="70">
        <f>(AO568)</f>
        <v>0</v>
      </c>
      <c r="AP772" s="70">
        <f t="shared" si="503"/>
        <v>0</v>
      </c>
    </row>
    <row r="773" spans="1:42" ht="15.75">
      <c r="A773" s="35" t="s">
        <v>188</v>
      </c>
      <c r="B773" s="15" t="s">
        <v>357</v>
      </c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>
        <f aca="true" t="shared" si="504" ref="V773:AA773">V599</f>
        <v>0</v>
      </c>
      <c r="W773" s="14">
        <f t="shared" si="504"/>
        <v>507808</v>
      </c>
      <c r="X773" s="14">
        <f t="shared" si="504"/>
        <v>512030</v>
      </c>
      <c r="Y773" s="14">
        <f t="shared" si="504"/>
        <v>495268</v>
      </c>
      <c r="Z773" s="14">
        <f t="shared" si="504"/>
        <v>69934</v>
      </c>
      <c r="AA773" s="14">
        <f t="shared" si="504"/>
        <v>101652</v>
      </c>
      <c r="AB773" s="14">
        <f aca="true" t="shared" si="505" ref="AB773:AH773">AB599</f>
        <v>324590</v>
      </c>
      <c r="AC773" s="14">
        <f t="shared" si="505"/>
        <v>343040</v>
      </c>
      <c r="AD773" s="14">
        <f t="shared" si="505"/>
        <v>357235</v>
      </c>
      <c r="AE773" s="14">
        <f t="shared" si="505"/>
        <v>352518</v>
      </c>
      <c r="AF773" s="14">
        <f t="shared" si="505"/>
        <v>378600</v>
      </c>
      <c r="AG773" s="14">
        <f>AG599</f>
        <v>277964</v>
      </c>
      <c r="AH773" s="14">
        <f t="shared" si="505"/>
        <v>267742</v>
      </c>
      <c r="AI773" s="14">
        <f aca="true" t="shared" si="506" ref="AI773:AP773">AI599</f>
        <v>299068</v>
      </c>
      <c r="AJ773" s="14">
        <f t="shared" si="506"/>
        <v>224217</v>
      </c>
      <c r="AK773" s="14">
        <f>AK599</f>
        <v>131481</v>
      </c>
      <c r="AL773" s="70">
        <f t="shared" si="506"/>
        <v>131481</v>
      </c>
      <c r="AM773" s="70">
        <f t="shared" si="506"/>
        <v>247905</v>
      </c>
      <c r="AN773" s="70">
        <f t="shared" si="506"/>
        <v>194015</v>
      </c>
      <c r="AO773" s="70">
        <f>AO599</f>
        <v>194015</v>
      </c>
      <c r="AP773" s="70">
        <f t="shared" si="506"/>
        <v>197754</v>
      </c>
    </row>
    <row r="774" spans="1:42" ht="15.75">
      <c r="A774" s="35" t="s">
        <v>189</v>
      </c>
      <c r="B774" s="15" t="s">
        <v>357</v>
      </c>
      <c r="C774" s="16">
        <v>0</v>
      </c>
      <c r="D774" s="16">
        <v>0</v>
      </c>
      <c r="E774" s="16">
        <v>0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  <c r="V774" s="16">
        <v>0</v>
      </c>
      <c r="W774" s="16">
        <v>0</v>
      </c>
      <c r="X774" s="16">
        <f aca="true" t="shared" si="507" ref="X774:AC774">X618</f>
        <v>0</v>
      </c>
      <c r="Y774" s="16">
        <f t="shared" si="507"/>
        <v>5257</v>
      </c>
      <c r="Z774" s="16">
        <f t="shared" si="507"/>
        <v>8614</v>
      </c>
      <c r="AA774" s="16">
        <f t="shared" si="507"/>
        <v>7800</v>
      </c>
      <c r="AB774" s="16">
        <f t="shared" si="507"/>
        <v>7092</v>
      </c>
      <c r="AC774" s="16">
        <f t="shared" si="507"/>
        <v>7900</v>
      </c>
      <c r="AD774" s="16">
        <f aca="true" t="shared" si="508" ref="AD774:AL774">AD618</f>
        <v>7891</v>
      </c>
      <c r="AE774" s="16">
        <f t="shared" si="508"/>
        <v>8400</v>
      </c>
      <c r="AF774" s="16">
        <f t="shared" si="508"/>
        <v>11000</v>
      </c>
      <c r="AG774" s="16">
        <f t="shared" si="508"/>
        <v>7891</v>
      </c>
      <c r="AH774" s="16">
        <f t="shared" si="508"/>
        <v>12000</v>
      </c>
      <c r="AI774" s="16">
        <f t="shared" si="508"/>
        <v>11000</v>
      </c>
      <c r="AJ774" s="16">
        <f>AJ618</f>
        <v>10391</v>
      </c>
      <c r="AK774" s="16">
        <f>AK618</f>
        <v>10456</v>
      </c>
      <c r="AL774" s="104">
        <f t="shared" si="508"/>
        <v>10456</v>
      </c>
      <c r="AM774" s="104">
        <f>AM618</f>
        <v>12700</v>
      </c>
      <c r="AN774" s="104">
        <f>AN618</f>
        <v>16000</v>
      </c>
      <c r="AO774" s="104">
        <f>AO618</f>
        <v>16000</v>
      </c>
      <c r="AP774" s="104">
        <f>AP618</f>
        <v>17600</v>
      </c>
    </row>
    <row r="775" spans="1:42" ht="15.75" hidden="1">
      <c r="A775" s="62"/>
      <c r="B775" s="15" t="s">
        <v>357</v>
      </c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70"/>
      <c r="AM775" s="70"/>
      <c r="AN775" s="70"/>
      <c r="AO775" s="70"/>
      <c r="AP775" s="70"/>
    </row>
    <row r="776" spans="1:42" ht="15.75" hidden="1">
      <c r="A776" s="35" t="s">
        <v>108</v>
      </c>
      <c r="B776" s="15" t="s">
        <v>357</v>
      </c>
      <c r="C776" s="14">
        <v>0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0</v>
      </c>
      <c r="X776" s="14">
        <v>0</v>
      </c>
      <c r="Y776" s="14">
        <v>0</v>
      </c>
      <c r="Z776" s="14">
        <v>0</v>
      </c>
      <c r="AA776" s="14">
        <v>0</v>
      </c>
      <c r="AB776" s="14">
        <v>0</v>
      </c>
      <c r="AC776" s="14">
        <v>0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0</v>
      </c>
      <c r="AJ776" s="14">
        <v>0</v>
      </c>
      <c r="AK776" s="14">
        <v>0</v>
      </c>
      <c r="AL776" s="70">
        <v>0</v>
      </c>
      <c r="AM776" s="70">
        <v>0</v>
      </c>
      <c r="AN776" s="70">
        <v>0</v>
      </c>
      <c r="AO776" s="70">
        <v>0</v>
      </c>
      <c r="AP776" s="70">
        <v>0</v>
      </c>
    </row>
    <row r="777" spans="1:42" ht="15.75" hidden="1" outlineLevel="1">
      <c r="A777" s="35" t="s">
        <v>190</v>
      </c>
      <c r="B777" s="15" t="s">
        <v>357</v>
      </c>
      <c r="C777" s="14">
        <v>0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0</v>
      </c>
      <c r="N777" s="14">
        <v>0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14">
        <v>0</v>
      </c>
      <c r="AB777" s="14">
        <v>0</v>
      </c>
      <c r="AC777" s="14">
        <v>0</v>
      </c>
      <c r="AD777" s="14">
        <v>0</v>
      </c>
      <c r="AE777" s="14">
        <v>0</v>
      </c>
      <c r="AF777" s="14">
        <v>0</v>
      </c>
      <c r="AG777" s="14">
        <v>0</v>
      </c>
      <c r="AH777" s="14">
        <v>0</v>
      </c>
      <c r="AI777" s="14">
        <v>0</v>
      </c>
      <c r="AJ777" s="14">
        <v>0</v>
      </c>
      <c r="AK777" s="14">
        <v>0</v>
      </c>
      <c r="AL777" s="70">
        <v>0</v>
      </c>
      <c r="AM777" s="70">
        <v>0</v>
      </c>
      <c r="AN777" s="70">
        <v>0</v>
      </c>
      <c r="AO777" s="70">
        <v>0</v>
      </c>
      <c r="AP777" s="70">
        <v>0</v>
      </c>
    </row>
    <row r="778" spans="1:42" ht="15.75" hidden="1" outlineLevel="1">
      <c r="A778" s="35" t="s">
        <v>191</v>
      </c>
      <c r="B778" s="15" t="s">
        <v>357</v>
      </c>
      <c r="C778" s="14">
        <f aca="true" t="shared" si="509" ref="C778:U778">C684</f>
        <v>30000</v>
      </c>
      <c r="D778" s="14">
        <f t="shared" si="509"/>
        <v>30005</v>
      </c>
      <c r="E778" s="14">
        <f t="shared" si="509"/>
        <v>30000</v>
      </c>
      <c r="F778" s="14">
        <f t="shared" si="509"/>
        <v>30000</v>
      </c>
      <c r="G778" s="14">
        <f t="shared" si="509"/>
        <v>0</v>
      </c>
      <c r="H778" s="14">
        <f t="shared" si="509"/>
        <v>0</v>
      </c>
      <c r="I778" s="14">
        <f t="shared" si="509"/>
        <v>0</v>
      </c>
      <c r="J778" s="14">
        <f t="shared" si="509"/>
        <v>0</v>
      </c>
      <c r="K778" s="14">
        <f t="shared" si="509"/>
        <v>0</v>
      </c>
      <c r="L778" s="14">
        <f t="shared" si="509"/>
        <v>0</v>
      </c>
      <c r="M778" s="14">
        <f t="shared" si="509"/>
        <v>0</v>
      </c>
      <c r="N778" s="14">
        <f t="shared" si="509"/>
        <v>0</v>
      </c>
      <c r="O778" s="14">
        <f t="shared" si="509"/>
        <v>0</v>
      </c>
      <c r="P778" s="14">
        <f t="shared" si="509"/>
        <v>0</v>
      </c>
      <c r="Q778" s="14">
        <f t="shared" si="509"/>
        <v>0</v>
      </c>
      <c r="R778" s="14">
        <f t="shared" si="509"/>
        <v>0</v>
      </c>
      <c r="S778" s="14">
        <f t="shared" si="509"/>
        <v>0</v>
      </c>
      <c r="T778" s="14">
        <f t="shared" si="509"/>
        <v>0</v>
      </c>
      <c r="U778" s="14">
        <f t="shared" si="509"/>
        <v>0</v>
      </c>
      <c r="V778" s="14">
        <f aca="true" t="shared" si="510" ref="V778:AA778">(V684)</f>
        <v>0</v>
      </c>
      <c r="W778" s="14">
        <f t="shared" si="510"/>
        <v>0</v>
      </c>
      <c r="X778" s="14">
        <f t="shared" si="510"/>
        <v>0</v>
      </c>
      <c r="Y778" s="14">
        <f t="shared" si="510"/>
        <v>0</v>
      </c>
      <c r="Z778" s="14">
        <f t="shared" si="510"/>
        <v>0</v>
      </c>
      <c r="AA778" s="14">
        <f t="shared" si="510"/>
        <v>0</v>
      </c>
      <c r="AB778" s="14">
        <f aca="true" t="shared" si="511" ref="AB778:AH778">(AB684)</f>
        <v>0</v>
      </c>
      <c r="AC778" s="14">
        <f t="shared" si="511"/>
        <v>0</v>
      </c>
      <c r="AD778" s="14">
        <f t="shared" si="511"/>
        <v>0</v>
      </c>
      <c r="AE778" s="14">
        <f t="shared" si="511"/>
        <v>0</v>
      </c>
      <c r="AF778" s="14">
        <f t="shared" si="511"/>
        <v>0</v>
      </c>
      <c r="AG778" s="14">
        <f>(AG684)</f>
        <v>0</v>
      </c>
      <c r="AH778" s="14">
        <f t="shared" si="511"/>
        <v>0</v>
      </c>
      <c r="AI778" s="14">
        <f aca="true" t="shared" si="512" ref="AI778:AP778">(AI684)</f>
        <v>0</v>
      </c>
      <c r="AJ778" s="14">
        <f t="shared" si="512"/>
        <v>0</v>
      </c>
      <c r="AK778" s="14">
        <f>(AK684)</f>
        <v>0</v>
      </c>
      <c r="AL778" s="70">
        <f t="shared" si="512"/>
        <v>0</v>
      </c>
      <c r="AM778" s="70">
        <f t="shared" si="512"/>
        <v>0</v>
      </c>
      <c r="AN778" s="70">
        <f t="shared" si="512"/>
        <v>0</v>
      </c>
      <c r="AO778" s="70">
        <f>(AO684)</f>
        <v>0</v>
      </c>
      <c r="AP778" s="70">
        <f t="shared" si="512"/>
        <v>0</v>
      </c>
    </row>
    <row r="779" spans="1:42" ht="15.75" outlineLevel="1">
      <c r="A779" s="14"/>
      <c r="B779" s="15" t="s">
        <v>357</v>
      </c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70"/>
      <c r="AM779" s="70"/>
      <c r="AN779" s="70"/>
      <c r="AO779" s="70"/>
      <c r="AP779" s="70"/>
    </row>
    <row r="780" spans="1:42" ht="15.75" outlineLevel="1">
      <c r="A780" s="35" t="s">
        <v>200</v>
      </c>
      <c r="B780" s="15" t="s">
        <v>357</v>
      </c>
      <c r="C780" s="14">
        <f aca="true" t="shared" si="513" ref="C780:L780">SUM(C754:C779)</f>
        <v>647894</v>
      </c>
      <c r="D780" s="14">
        <f t="shared" si="513"/>
        <v>773228</v>
      </c>
      <c r="E780" s="14">
        <f t="shared" si="513"/>
        <v>912128</v>
      </c>
      <c r="F780" s="14">
        <f t="shared" si="513"/>
        <v>1581759</v>
      </c>
      <c r="G780" s="14">
        <f t="shared" si="513"/>
        <v>1327085</v>
      </c>
      <c r="H780" s="14">
        <f t="shared" si="513"/>
        <v>1389325</v>
      </c>
      <c r="I780" s="14">
        <f t="shared" si="513"/>
        <v>1237823</v>
      </c>
      <c r="J780" s="14">
        <f t="shared" si="513"/>
        <v>1431798</v>
      </c>
      <c r="K780" s="14">
        <f t="shared" si="513"/>
        <v>1427555</v>
      </c>
      <c r="L780" s="14">
        <f t="shared" si="513"/>
        <v>1291054</v>
      </c>
      <c r="M780" s="14">
        <f aca="true" t="shared" si="514" ref="M780:U780">SUM(M754:M779)</f>
        <v>1396756</v>
      </c>
      <c r="N780" s="14">
        <f t="shared" si="514"/>
        <v>1630235</v>
      </c>
      <c r="O780" s="14">
        <f t="shared" si="514"/>
        <v>1741707</v>
      </c>
      <c r="P780" s="14">
        <f t="shared" si="514"/>
        <v>1954422</v>
      </c>
      <c r="Q780" s="14">
        <f t="shared" si="514"/>
        <v>1890850</v>
      </c>
      <c r="R780" s="14">
        <f t="shared" si="514"/>
        <v>1969392</v>
      </c>
      <c r="S780" s="14">
        <f t="shared" si="514"/>
        <v>1982031</v>
      </c>
      <c r="T780" s="14">
        <f t="shared" si="514"/>
        <v>2078436</v>
      </c>
      <c r="U780" s="14">
        <f t="shared" si="514"/>
        <v>2380860</v>
      </c>
      <c r="V780" s="14">
        <f aca="true" t="shared" si="515" ref="V780:AG780">(SUM(V754:V779))</f>
        <v>2354507</v>
      </c>
      <c r="W780" s="14">
        <f t="shared" si="515"/>
        <v>2556203</v>
      </c>
      <c r="X780" s="14">
        <f t="shared" si="515"/>
        <v>2417711</v>
      </c>
      <c r="Y780" s="14">
        <f t="shared" si="515"/>
        <v>2460913</v>
      </c>
      <c r="Z780" s="14">
        <f t="shared" si="515"/>
        <v>2308815</v>
      </c>
      <c r="AA780" s="14">
        <f t="shared" si="515"/>
        <v>2813914</v>
      </c>
      <c r="AB780" s="14">
        <f t="shared" si="515"/>
        <v>2764714</v>
      </c>
      <c r="AC780" s="14">
        <f t="shared" si="515"/>
        <v>3140899</v>
      </c>
      <c r="AD780" s="14">
        <f t="shared" si="515"/>
        <v>3234319.2</v>
      </c>
      <c r="AE780" s="14">
        <f t="shared" si="515"/>
        <v>3014147</v>
      </c>
      <c r="AF780" s="14">
        <f t="shared" si="515"/>
        <v>3590173</v>
      </c>
      <c r="AG780" s="14">
        <f t="shared" si="515"/>
        <v>3646159</v>
      </c>
      <c r="AH780" s="14">
        <f aca="true" t="shared" si="516" ref="AH780:AP780">(SUM(AH754:AH779))</f>
        <v>1055096</v>
      </c>
      <c r="AI780" s="14">
        <f t="shared" si="516"/>
        <v>5162656</v>
      </c>
      <c r="AJ780" s="14">
        <f t="shared" si="516"/>
        <v>4951528</v>
      </c>
      <c r="AK780" s="14">
        <f t="shared" si="516"/>
        <v>5166354</v>
      </c>
      <c r="AL780" s="70">
        <f t="shared" si="516"/>
        <v>5166580</v>
      </c>
      <c r="AM780" s="70">
        <f t="shared" si="516"/>
        <v>5580318</v>
      </c>
      <c r="AN780" s="70">
        <f t="shared" si="516"/>
        <v>4578964</v>
      </c>
      <c r="AO780" s="70">
        <f t="shared" si="516"/>
        <v>4578964</v>
      </c>
      <c r="AP780" s="70">
        <f t="shared" si="516"/>
        <v>5060357</v>
      </c>
    </row>
    <row r="781" spans="1:42" ht="15.75" outlineLevel="1">
      <c r="A781" s="14"/>
      <c r="B781" s="15" t="s">
        <v>357</v>
      </c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70"/>
      <c r="AM781" s="70"/>
      <c r="AN781" s="70"/>
      <c r="AO781" s="70"/>
      <c r="AP781" s="70"/>
    </row>
    <row r="782" spans="1:42" ht="31.5" customHeight="1" collapsed="1">
      <c r="A782" s="15" t="s">
        <v>100</v>
      </c>
      <c r="B782" s="15" t="s">
        <v>357</v>
      </c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70"/>
      <c r="AM782" s="70"/>
      <c r="AN782" s="70"/>
      <c r="AO782" s="70"/>
      <c r="AP782" s="70"/>
    </row>
    <row r="783" spans="1:42" ht="15.75">
      <c r="A783" s="35" t="s">
        <v>201</v>
      </c>
      <c r="B783" s="15" t="s">
        <v>357</v>
      </c>
      <c r="C783" s="14">
        <f aca="true" t="shared" si="517" ref="C783:U783">C34</f>
        <v>450381</v>
      </c>
      <c r="D783" s="14">
        <f t="shared" si="517"/>
        <v>489954</v>
      </c>
      <c r="E783" s="14">
        <f t="shared" si="517"/>
        <v>529422</v>
      </c>
      <c r="F783" s="14">
        <f t="shared" si="517"/>
        <v>543328</v>
      </c>
      <c r="G783" s="14">
        <f t="shared" si="517"/>
        <v>594280</v>
      </c>
      <c r="H783" s="14">
        <f t="shared" si="517"/>
        <v>598067</v>
      </c>
      <c r="I783" s="14">
        <f t="shared" si="517"/>
        <v>556206</v>
      </c>
      <c r="J783" s="14">
        <f t="shared" si="517"/>
        <v>586003</v>
      </c>
      <c r="K783" s="14">
        <f t="shared" si="517"/>
        <v>651945</v>
      </c>
      <c r="L783" s="14">
        <f t="shared" si="517"/>
        <v>557691</v>
      </c>
      <c r="M783" s="14">
        <f t="shared" si="517"/>
        <v>653672</v>
      </c>
      <c r="N783" s="14">
        <f t="shared" si="517"/>
        <v>654914</v>
      </c>
      <c r="O783" s="14">
        <f t="shared" si="517"/>
        <v>724864</v>
      </c>
      <c r="P783" s="14">
        <f t="shared" si="517"/>
        <v>943785</v>
      </c>
      <c r="Q783" s="14">
        <f t="shared" si="517"/>
        <v>907789</v>
      </c>
      <c r="R783" s="14">
        <f t="shared" si="517"/>
        <v>1000044</v>
      </c>
      <c r="S783" s="14">
        <f t="shared" si="517"/>
        <v>1022506</v>
      </c>
      <c r="T783" s="14">
        <f t="shared" si="517"/>
        <v>1068141</v>
      </c>
      <c r="U783" s="14">
        <f t="shared" si="517"/>
        <v>1087417</v>
      </c>
      <c r="V783" s="14">
        <f aca="true" t="shared" si="518" ref="V783:AA783">(V34)</f>
        <v>1149858</v>
      </c>
      <c r="W783" s="14">
        <f t="shared" si="518"/>
        <v>1139535</v>
      </c>
      <c r="X783" s="14">
        <f t="shared" si="518"/>
        <v>1441146</v>
      </c>
      <c r="Y783" s="14">
        <f t="shared" si="518"/>
        <v>1223451</v>
      </c>
      <c r="Z783" s="14">
        <f t="shared" si="518"/>
        <v>1484947</v>
      </c>
      <c r="AA783" s="14">
        <f t="shared" si="518"/>
        <v>2156946</v>
      </c>
      <c r="AB783" s="14">
        <f aca="true" t="shared" si="519" ref="AB783:AL783">(AB34)</f>
        <v>1880709</v>
      </c>
      <c r="AC783" s="14">
        <f t="shared" si="519"/>
        <v>1813017</v>
      </c>
      <c r="AD783" s="14">
        <f t="shared" si="519"/>
        <v>2090290</v>
      </c>
      <c r="AE783" s="14">
        <f t="shared" si="519"/>
        <v>1688116</v>
      </c>
      <c r="AF783" s="14">
        <f t="shared" si="519"/>
        <v>1780823.5962214924</v>
      </c>
      <c r="AG783" s="14">
        <f t="shared" si="519"/>
        <v>1894292</v>
      </c>
      <c r="AH783" s="14">
        <f t="shared" si="519"/>
        <v>1737095</v>
      </c>
      <c r="AI783" s="14">
        <f t="shared" si="519"/>
        <v>1808150</v>
      </c>
      <c r="AJ783" s="14">
        <f>(AJ34)</f>
        <v>1814650</v>
      </c>
      <c r="AK783" s="14">
        <f>(AK34)</f>
        <v>1934106</v>
      </c>
      <c r="AL783" s="70">
        <f t="shared" si="519"/>
        <v>1843106</v>
      </c>
      <c r="AM783" s="70">
        <f>(AM34)</f>
        <v>1760455</v>
      </c>
      <c r="AN783" s="70">
        <f>(AN34)</f>
        <v>1741818</v>
      </c>
      <c r="AO783" s="70">
        <f>(AO34)</f>
        <v>1859642</v>
      </c>
      <c r="AP783" s="70">
        <f>(AP34)</f>
        <v>1799624</v>
      </c>
    </row>
    <row r="784" spans="1:42" ht="15.75">
      <c r="A784" s="35" t="s">
        <v>320</v>
      </c>
      <c r="B784" s="15" t="s">
        <v>357</v>
      </c>
      <c r="C784" s="14">
        <f aca="true" t="shared" si="520" ref="C784:U784">C38</f>
        <v>100</v>
      </c>
      <c r="D784" s="14">
        <f t="shared" si="520"/>
        <v>100</v>
      </c>
      <c r="E784" s="14">
        <f t="shared" si="520"/>
        <v>100</v>
      </c>
      <c r="F784" s="14">
        <f t="shared" si="520"/>
        <v>100</v>
      </c>
      <c r="G784" s="14">
        <f t="shared" si="520"/>
        <v>100</v>
      </c>
      <c r="H784" s="14">
        <f t="shared" si="520"/>
        <v>-19</v>
      </c>
      <c r="I784" s="14">
        <f t="shared" si="520"/>
        <v>11</v>
      </c>
      <c r="J784" s="14">
        <f t="shared" si="520"/>
        <v>1</v>
      </c>
      <c r="K784" s="14">
        <f t="shared" si="520"/>
        <v>0</v>
      </c>
      <c r="L784" s="14">
        <f t="shared" si="520"/>
        <v>0</v>
      </c>
      <c r="M784" s="14">
        <f t="shared" si="520"/>
        <v>3</v>
      </c>
      <c r="N784" s="14">
        <f t="shared" si="520"/>
        <v>3453</v>
      </c>
      <c r="O784" s="14">
        <f t="shared" si="520"/>
        <v>3871</v>
      </c>
      <c r="P784" s="14">
        <f t="shared" si="520"/>
        <v>7071</v>
      </c>
      <c r="Q784" s="14">
        <f t="shared" si="520"/>
        <v>4869</v>
      </c>
      <c r="R784" s="14">
        <f t="shared" si="520"/>
        <v>7767</v>
      </c>
      <c r="S784" s="14">
        <f t="shared" si="520"/>
        <v>7280</v>
      </c>
      <c r="T784" s="14">
        <f t="shared" si="520"/>
        <v>7633</v>
      </c>
      <c r="U784" s="14">
        <f t="shared" si="520"/>
        <v>6955</v>
      </c>
      <c r="V784" s="14">
        <f aca="true" t="shared" si="521" ref="V784:AA784">(V38)</f>
        <v>6997</v>
      </c>
      <c r="W784" s="14">
        <f t="shared" si="521"/>
        <v>10970</v>
      </c>
      <c r="X784" s="14">
        <f t="shared" si="521"/>
        <v>9592</v>
      </c>
      <c r="Y784" s="14">
        <f t="shared" si="521"/>
        <v>11793</v>
      </c>
      <c r="Z784" s="14">
        <f t="shared" si="521"/>
        <v>12371</v>
      </c>
      <c r="AA784" s="14">
        <f t="shared" si="521"/>
        <v>9542</v>
      </c>
      <c r="AB784" s="14">
        <f aca="true" t="shared" si="522" ref="AB784:AL784">(AB38)</f>
        <v>12371</v>
      </c>
      <c r="AC784" s="14">
        <f t="shared" si="522"/>
        <v>12405</v>
      </c>
      <c r="AD784" s="14">
        <f t="shared" si="522"/>
        <v>14787</v>
      </c>
      <c r="AE784" s="14">
        <f t="shared" si="522"/>
        <v>12405</v>
      </c>
      <c r="AF784" s="14">
        <f t="shared" si="522"/>
        <v>12405</v>
      </c>
      <c r="AG784" s="14">
        <f t="shared" si="522"/>
        <v>16426</v>
      </c>
      <c r="AH784" s="14">
        <f t="shared" si="522"/>
        <v>12405</v>
      </c>
      <c r="AI784" s="14">
        <f t="shared" si="522"/>
        <v>12405</v>
      </c>
      <c r="AJ784" s="14">
        <f>(AJ38)</f>
        <v>15447</v>
      </c>
      <c r="AK784" s="14">
        <f>(AK38)</f>
        <v>15447</v>
      </c>
      <c r="AL784" s="70">
        <f t="shared" si="522"/>
        <v>15447</v>
      </c>
      <c r="AM784" s="70">
        <f>(AM38)</f>
        <v>12405</v>
      </c>
      <c r="AN784" s="70">
        <f>(AN38)</f>
        <v>12405</v>
      </c>
      <c r="AO784" s="70">
        <f>(AO38)</f>
        <v>12405</v>
      </c>
      <c r="AP784" s="70">
        <f>(AP38)</f>
        <v>12405</v>
      </c>
    </row>
    <row r="785" spans="1:42" ht="15.75">
      <c r="A785" s="35" t="s">
        <v>269</v>
      </c>
      <c r="B785" s="15" t="s">
        <v>357</v>
      </c>
      <c r="C785" s="14">
        <f aca="true" t="shared" si="523" ref="C785:U785">C57</f>
        <v>140461</v>
      </c>
      <c r="D785" s="14">
        <f t="shared" si="523"/>
        <v>289807</v>
      </c>
      <c r="E785" s="14">
        <f t="shared" si="523"/>
        <v>302806</v>
      </c>
      <c r="F785" s="14">
        <f t="shared" si="523"/>
        <v>373959</v>
      </c>
      <c r="G785" s="14">
        <f t="shared" si="523"/>
        <v>440066</v>
      </c>
      <c r="H785" s="14">
        <f t="shared" si="523"/>
        <v>641409</v>
      </c>
      <c r="I785" s="14">
        <f t="shared" si="523"/>
        <v>584412</v>
      </c>
      <c r="J785" s="14">
        <f t="shared" si="523"/>
        <v>81012</v>
      </c>
      <c r="K785" s="14">
        <f t="shared" si="523"/>
        <v>143993</v>
      </c>
      <c r="L785" s="14">
        <f t="shared" si="523"/>
        <v>92521</v>
      </c>
      <c r="M785" s="14">
        <f t="shared" si="523"/>
        <v>9264</v>
      </c>
      <c r="N785" s="14">
        <f t="shared" si="523"/>
        <v>182825</v>
      </c>
      <c r="O785" s="14">
        <f t="shared" si="523"/>
        <v>128780</v>
      </c>
      <c r="P785" s="14">
        <f t="shared" si="523"/>
        <v>273281</v>
      </c>
      <c r="Q785" s="14">
        <f t="shared" si="523"/>
        <v>123366</v>
      </c>
      <c r="R785" s="14">
        <f t="shared" si="523"/>
        <v>100946</v>
      </c>
      <c r="S785" s="14">
        <f t="shared" si="523"/>
        <v>77392</v>
      </c>
      <c r="T785" s="14">
        <f t="shared" si="523"/>
        <v>88824</v>
      </c>
      <c r="U785" s="14">
        <f t="shared" si="523"/>
        <v>84929</v>
      </c>
      <c r="V785" s="14">
        <f aca="true" t="shared" si="524" ref="V785:AA785">(V57)</f>
        <v>89679</v>
      </c>
      <c r="W785" s="14">
        <f t="shared" si="524"/>
        <v>132379</v>
      </c>
      <c r="X785" s="14">
        <f t="shared" si="524"/>
        <v>114951</v>
      </c>
      <c r="Y785" s="14">
        <f t="shared" si="524"/>
        <v>137656</v>
      </c>
      <c r="Z785" s="14">
        <f t="shared" si="524"/>
        <v>148570</v>
      </c>
      <c r="AA785" s="14">
        <f t="shared" si="524"/>
        <v>98203</v>
      </c>
      <c r="AB785" s="14">
        <f aca="true" t="shared" si="525" ref="AB785:AL785">(AB57)</f>
        <v>222471</v>
      </c>
      <c r="AC785" s="14">
        <f t="shared" si="525"/>
        <v>418741</v>
      </c>
      <c r="AD785" s="14">
        <f t="shared" si="525"/>
        <v>461630</v>
      </c>
      <c r="AE785" s="14">
        <f t="shared" si="525"/>
        <v>235279</v>
      </c>
      <c r="AF785" s="14">
        <f t="shared" si="525"/>
        <v>600395</v>
      </c>
      <c r="AG785" s="14">
        <f t="shared" si="525"/>
        <v>702086</v>
      </c>
      <c r="AH785" s="14">
        <f t="shared" si="525"/>
        <v>1238571</v>
      </c>
      <c r="AI785" s="14">
        <f t="shared" si="525"/>
        <v>1427765</v>
      </c>
      <c r="AJ785" s="14">
        <f>(AJ57)</f>
        <v>1425270</v>
      </c>
      <c r="AK785" s="14">
        <f>(AK57)</f>
        <v>1116547</v>
      </c>
      <c r="AL785" s="70">
        <f t="shared" si="525"/>
        <v>1116547</v>
      </c>
      <c r="AM785" s="70">
        <f>(AM57)</f>
        <v>1049240</v>
      </c>
      <c r="AN785" s="70">
        <f>(AN57)</f>
        <v>342288</v>
      </c>
      <c r="AO785" s="70">
        <f>(AO57)</f>
        <v>342288</v>
      </c>
      <c r="AP785" s="70">
        <f>(AP57)</f>
        <v>198048</v>
      </c>
    </row>
    <row r="786" spans="1:42" ht="15.75">
      <c r="A786" s="35" t="s">
        <v>270</v>
      </c>
      <c r="B786" s="15" t="s">
        <v>357</v>
      </c>
      <c r="C786" s="14">
        <f aca="true" t="shared" si="526" ref="C786:U786">C61</f>
        <v>605</v>
      </c>
      <c r="D786" s="14">
        <f t="shared" si="526"/>
        <v>721</v>
      </c>
      <c r="E786" s="14">
        <f t="shared" si="526"/>
        <v>984</v>
      </c>
      <c r="F786" s="14">
        <f t="shared" si="526"/>
        <v>1083</v>
      </c>
      <c r="G786" s="14">
        <f t="shared" si="526"/>
        <v>968</v>
      </c>
      <c r="H786" s="14">
        <f t="shared" si="526"/>
        <v>1241</v>
      </c>
      <c r="I786" s="14">
        <f t="shared" si="526"/>
        <v>1290</v>
      </c>
      <c r="J786" s="14">
        <f t="shared" si="526"/>
        <v>1582</v>
      </c>
      <c r="K786" s="14">
        <f t="shared" si="526"/>
        <v>3667</v>
      </c>
      <c r="L786" s="14">
        <f t="shared" si="526"/>
        <v>3334</v>
      </c>
      <c r="M786" s="14">
        <f t="shared" si="526"/>
        <v>7237</v>
      </c>
      <c r="N786" s="14">
        <f t="shared" si="526"/>
        <v>1374</v>
      </c>
      <c r="O786" s="14">
        <f t="shared" si="526"/>
        <v>1889</v>
      </c>
      <c r="P786" s="14">
        <f t="shared" si="526"/>
        <v>2203</v>
      </c>
      <c r="Q786" s="14">
        <f t="shared" si="526"/>
        <v>1619</v>
      </c>
      <c r="R786" s="14">
        <f t="shared" si="526"/>
        <v>1493</v>
      </c>
      <c r="S786" s="14">
        <f t="shared" si="526"/>
        <v>1587</v>
      </c>
      <c r="T786" s="14">
        <f t="shared" si="526"/>
        <v>1664</v>
      </c>
      <c r="U786" s="14">
        <f t="shared" si="526"/>
        <v>1251</v>
      </c>
      <c r="V786" s="14">
        <f aca="true" t="shared" si="527" ref="V786:AA786">(V61)</f>
        <v>1250</v>
      </c>
      <c r="W786" s="14">
        <f t="shared" si="527"/>
        <v>0</v>
      </c>
      <c r="X786" s="14">
        <f t="shared" si="527"/>
        <v>1130</v>
      </c>
      <c r="Y786" s="14">
        <f t="shared" si="527"/>
        <v>1572</v>
      </c>
      <c r="Z786" s="14">
        <f t="shared" si="527"/>
        <v>1526</v>
      </c>
      <c r="AA786" s="14">
        <f t="shared" si="527"/>
        <v>1595</v>
      </c>
      <c r="AB786" s="14">
        <f aca="true" t="shared" si="528" ref="AB786:AL786">(AB61)</f>
        <v>1595</v>
      </c>
      <c r="AC786" s="14">
        <f t="shared" si="528"/>
        <v>1595</v>
      </c>
      <c r="AD786" s="14">
        <f t="shared" si="528"/>
        <v>1257</v>
      </c>
      <c r="AE786" s="14">
        <f t="shared" si="528"/>
        <v>1595</v>
      </c>
      <c r="AF786" s="14">
        <f t="shared" si="528"/>
        <v>1595</v>
      </c>
      <c r="AG786" s="14">
        <f t="shared" si="528"/>
        <v>2150</v>
      </c>
      <c r="AH786" s="14">
        <f t="shared" si="528"/>
        <v>1595</v>
      </c>
      <c r="AI786" s="14">
        <f t="shared" si="528"/>
        <v>1595</v>
      </c>
      <c r="AJ786" s="14">
        <f>(AJ61)</f>
        <v>1818</v>
      </c>
      <c r="AK786" s="14">
        <f>(AK61)</f>
        <v>1818</v>
      </c>
      <c r="AL786" s="70">
        <f t="shared" si="528"/>
        <v>1818</v>
      </c>
      <c r="AM786" s="70">
        <f>(AM61)</f>
        <v>1595</v>
      </c>
      <c r="AN786" s="70">
        <f>(AN61)</f>
        <v>1595</v>
      </c>
      <c r="AO786" s="70">
        <f>(AO61)</f>
        <v>1595</v>
      </c>
      <c r="AP786" s="70">
        <f>(AP61)</f>
        <v>1595</v>
      </c>
    </row>
    <row r="787" spans="1:42" ht="15.75">
      <c r="A787" s="35" t="s">
        <v>395</v>
      </c>
      <c r="B787" s="15" t="s">
        <v>357</v>
      </c>
      <c r="C787" s="16">
        <f aca="true" t="shared" si="529" ref="C787:U787">C42</f>
        <v>-13900</v>
      </c>
      <c r="D787" s="16">
        <f t="shared" si="529"/>
        <v>0</v>
      </c>
      <c r="E787" s="16">
        <f t="shared" si="529"/>
        <v>0</v>
      </c>
      <c r="F787" s="16">
        <f t="shared" si="529"/>
        <v>0</v>
      </c>
      <c r="G787" s="16">
        <f t="shared" si="529"/>
        <v>0</v>
      </c>
      <c r="H787" s="16">
        <f t="shared" si="529"/>
        <v>0</v>
      </c>
      <c r="I787" s="16">
        <f t="shared" si="529"/>
        <v>0</v>
      </c>
      <c r="J787" s="16">
        <f t="shared" si="529"/>
        <v>0</v>
      </c>
      <c r="K787" s="16">
        <f t="shared" si="529"/>
        <v>0</v>
      </c>
      <c r="L787" s="16">
        <f t="shared" si="529"/>
        <v>0</v>
      </c>
      <c r="M787" s="16">
        <f t="shared" si="529"/>
        <v>0</v>
      </c>
      <c r="N787" s="16">
        <f t="shared" si="529"/>
        <v>0</v>
      </c>
      <c r="O787" s="16">
        <f t="shared" si="529"/>
        <v>0</v>
      </c>
      <c r="P787" s="16">
        <f t="shared" si="529"/>
        <v>0</v>
      </c>
      <c r="Q787" s="16">
        <f t="shared" si="529"/>
        <v>0</v>
      </c>
      <c r="R787" s="16">
        <f t="shared" si="529"/>
        <v>0</v>
      </c>
      <c r="S787" s="16">
        <f t="shared" si="529"/>
        <v>0</v>
      </c>
      <c r="T787" s="16">
        <f t="shared" si="529"/>
        <v>0</v>
      </c>
      <c r="U787" s="16">
        <f t="shared" si="529"/>
        <v>0</v>
      </c>
      <c r="V787" s="16">
        <f aca="true" t="shared" si="530" ref="V787:AA787">(V42)</f>
        <v>0</v>
      </c>
      <c r="W787" s="16">
        <f t="shared" si="530"/>
        <v>0</v>
      </c>
      <c r="X787" s="16">
        <f t="shared" si="530"/>
        <v>0</v>
      </c>
      <c r="Y787" s="16">
        <f t="shared" si="530"/>
        <v>0</v>
      </c>
      <c r="Z787" s="16">
        <f t="shared" si="530"/>
        <v>0</v>
      </c>
      <c r="AA787" s="16">
        <f t="shared" si="530"/>
        <v>0</v>
      </c>
      <c r="AB787" s="16">
        <f aca="true" t="shared" si="531" ref="AB787:AG787">(AB42)</f>
        <v>0</v>
      </c>
      <c r="AC787" s="16">
        <f t="shared" si="531"/>
        <v>0</v>
      </c>
      <c r="AD787" s="16">
        <f t="shared" si="531"/>
        <v>0</v>
      </c>
      <c r="AE787" s="16">
        <f t="shared" si="531"/>
        <v>0</v>
      </c>
      <c r="AF787" s="16">
        <f t="shared" si="531"/>
        <v>0</v>
      </c>
      <c r="AG787" s="16">
        <f t="shared" si="531"/>
        <v>0</v>
      </c>
      <c r="AH787" s="16">
        <f>(AH43)</f>
        <v>1749500</v>
      </c>
      <c r="AI787" s="16">
        <f aca="true" t="shared" si="532" ref="AI787:AP787">(AI42)</f>
        <v>0</v>
      </c>
      <c r="AJ787" s="16">
        <f t="shared" si="532"/>
        <v>0</v>
      </c>
      <c r="AK787" s="16">
        <f>(AK42)</f>
        <v>0</v>
      </c>
      <c r="AL787" s="104">
        <f t="shared" si="532"/>
        <v>0</v>
      </c>
      <c r="AM787" s="104">
        <f t="shared" si="532"/>
        <v>0</v>
      </c>
      <c r="AN787" s="104">
        <f t="shared" si="532"/>
        <v>0</v>
      </c>
      <c r="AO787" s="104">
        <f>(AO42)</f>
        <v>0</v>
      </c>
      <c r="AP787" s="104">
        <f t="shared" si="532"/>
        <v>0</v>
      </c>
    </row>
    <row r="788" spans="1:42" ht="15.75">
      <c r="A788" s="35" t="s">
        <v>217</v>
      </c>
      <c r="B788" s="15" t="s">
        <v>357</v>
      </c>
      <c r="C788" s="14">
        <f aca="true" t="shared" si="533" ref="C788:L788">SUM(C783:C787)</f>
        <v>577647</v>
      </c>
      <c r="D788" s="14">
        <f t="shared" si="533"/>
        <v>780582</v>
      </c>
      <c r="E788" s="14">
        <f t="shared" si="533"/>
        <v>833312</v>
      </c>
      <c r="F788" s="14">
        <f t="shared" si="533"/>
        <v>918470</v>
      </c>
      <c r="G788" s="14">
        <f t="shared" si="533"/>
        <v>1035414</v>
      </c>
      <c r="H788" s="14">
        <f t="shared" si="533"/>
        <v>1240698</v>
      </c>
      <c r="I788" s="14">
        <f t="shared" si="533"/>
        <v>1141919</v>
      </c>
      <c r="J788" s="14">
        <f t="shared" si="533"/>
        <v>668598</v>
      </c>
      <c r="K788" s="14">
        <f t="shared" si="533"/>
        <v>799605</v>
      </c>
      <c r="L788" s="14">
        <f t="shared" si="533"/>
        <v>653546</v>
      </c>
      <c r="M788" s="14">
        <f aca="true" t="shared" si="534" ref="M788:U788">SUM(M783:M787)</f>
        <v>670176</v>
      </c>
      <c r="N788" s="14">
        <f t="shared" si="534"/>
        <v>842566</v>
      </c>
      <c r="O788" s="14">
        <f t="shared" si="534"/>
        <v>859404</v>
      </c>
      <c r="P788" s="14">
        <f t="shared" si="534"/>
        <v>1226340</v>
      </c>
      <c r="Q788" s="14">
        <f t="shared" si="534"/>
        <v>1037643</v>
      </c>
      <c r="R788" s="14">
        <f t="shared" si="534"/>
        <v>1110250</v>
      </c>
      <c r="S788" s="14">
        <f t="shared" si="534"/>
        <v>1108765</v>
      </c>
      <c r="T788" s="14">
        <f t="shared" si="534"/>
        <v>1166262</v>
      </c>
      <c r="U788" s="14">
        <f t="shared" si="534"/>
        <v>1180552</v>
      </c>
      <c r="V788" s="14">
        <f aca="true" t="shared" si="535" ref="V788:AG788">(SUM(V783:V787))</f>
        <v>1247784</v>
      </c>
      <c r="W788" s="14">
        <f t="shared" si="535"/>
        <v>1282884</v>
      </c>
      <c r="X788" s="14">
        <f t="shared" si="535"/>
        <v>1566819</v>
      </c>
      <c r="Y788" s="14">
        <f t="shared" si="535"/>
        <v>1374472</v>
      </c>
      <c r="Z788" s="14">
        <f t="shared" si="535"/>
        <v>1647414</v>
      </c>
      <c r="AA788" s="14">
        <f t="shared" si="535"/>
        <v>2266286</v>
      </c>
      <c r="AB788" s="14">
        <f t="shared" si="535"/>
        <v>2117146</v>
      </c>
      <c r="AC788" s="14">
        <f t="shared" si="535"/>
        <v>2245758</v>
      </c>
      <c r="AD788" s="14">
        <f t="shared" si="535"/>
        <v>2567964</v>
      </c>
      <c r="AE788" s="14">
        <f t="shared" si="535"/>
        <v>1937395</v>
      </c>
      <c r="AF788" s="14">
        <f t="shared" si="535"/>
        <v>2395218.5962214926</v>
      </c>
      <c r="AG788" s="14">
        <f t="shared" si="535"/>
        <v>2614954</v>
      </c>
      <c r="AH788" s="14">
        <f aca="true" t="shared" si="536" ref="AH788:AP788">(SUM(AH783:AH787))</f>
        <v>4739166</v>
      </c>
      <c r="AI788" s="14">
        <f t="shared" si="536"/>
        <v>3249915</v>
      </c>
      <c r="AJ788" s="14">
        <f t="shared" si="536"/>
        <v>3257185</v>
      </c>
      <c r="AK788" s="14">
        <f t="shared" si="536"/>
        <v>3067918</v>
      </c>
      <c r="AL788" s="70">
        <f t="shared" si="536"/>
        <v>2976918</v>
      </c>
      <c r="AM788" s="70">
        <f t="shared" si="536"/>
        <v>2823695</v>
      </c>
      <c r="AN788" s="70">
        <f t="shared" si="536"/>
        <v>2098106</v>
      </c>
      <c r="AO788" s="70">
        <f t="shared" si="536"/>
        <v>2215930</v>
      </c>
      <c r="AP788" s="70">
        <f t="shared" si="536"/>
        <v>2011672</v>
      </c>
    </row>
    <row r="789" spans="1:42" ht="15.75">
      <c r="A789" s="14"/>
      <c r="B789" s="15" t="s">
        <v>357</v>
      </c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70"/>
      <c r="AM789" s="70"/>
      <c r="AN789" s="70"/>
      <c r="AO789" s="70"/>
      <c r="AP789" s="70"/>
    </row>
    <row r="790" spans="1:42" ht="15.75" hidden="1">
      <c r="A790" s="15" t="s">
        <v>78</v>
      </c>
      <c r="B790" s="15" t="s">
        <v>357</v>
      </c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70"/>
      <c r="AM790" s="70"/>
      <c r="AN790" s="70"/>
      <c r="AO790" s="70"/>
      <c r="AP790" s="70"/>
    </row>
    <row r="791" spans="1:42" ht="15.75" hidden="1">
      <c r="A791" s="14"/>
      <c r="B791" s="15" t="s">
        <v>357</v>
      </c>
      <c r="C791" s="36" t="s">
        <v>400</v>
      </c>
      <c r="D791" s="36" t="s">
        <v>400</v>
      </c>
      <c r="E791" s="36" t="s">
        <v>400</v>
      </c>
      <c r="F791" s="36" t="s">
        <v>400</v>
      </c>
      <c r="G791" s="36" t="s">
        <v>400</v>
      </c>
      <c r="H791" s="15" t="s">
        <v>271</v>
      </c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70"/>
      <c r="AM791" s="70"/>
      <c r="AN791" s="70"/>
      <c r="AO791" s="70"/>
      <c r="AP791" s="70"/>
    </row>
    <row r="792" spans="1:42" ht="15.75" hidden="1">
      <c r="A792" s="35" t="s">
        <v>201</v>
      </c>
      <c r="B792" s="15" t="s">
        <v>357</v>
      </c>
      <c r="C792" s="14">
        <f>C633</f>
        <v>19024</v>
      </c>
      <c r="D792" s="14">
        <f>D633</f>
        <v>25307</v>
      </c>
      <c r="E792" s="14">
        <f>E633</f>
        <v>28351</v>
      </c>
      <c r="F792" s="14">
        <f>F633</f>
        <v>32740</v>
      </c>
      <c r="G792" s="14">
        <f>G633</f>
        <v>27330</v>
      </c>
      <c r="H792" s="15" t="s">
        <v>272</v>
      </c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70"/>
      <c r="AM792" s="70"/>
      <c r="AN792" s="70"/>
      <c r="AO792" s="70"/>
      <c r="AP792" s="70"/>
    </row>
    <row r="793" spans="1:42" ht="15.75">
      <c r="A793" s="14"/>
      <c r="B793" s="15" t="s">
        <v>357</v>
      </c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70"/>
      <c r="AM793" s="70"/>
      <c r="AN793" s="70"/>
      <c r="AO793" s="70"/>
      <c r="AP793" s="70"/>
    </row>
    <row r="794" spans="1:42" ht="15.75">
      <c r="A794" s="15" t="s">
        <v>132</v>
      </c>
      <c r="B794" s="15" t="s">
        <v>357</v>
      </c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70"/>
      <c r="AM794" s="70"/>
      <c r="AN794" s="70"/>
      <c r="AO794" s="70"/>
      <c r="AP794" s="70"/>
    </row>
    <row r="795" spans="1:42" ht="15.75">
      <c r="A795" s="35" t="s">
        <v>201</v>
      </c>
      <c r="B795" s="15" t="s">
        <v>357</v>
      </c>
      <c r="C795" s="14">
        <f aca="true" t="shared" si="537" ref="C795:I795">C76</f>
        <v>0</v>
      </c>
      <c r="D795" s="14">
        <f t="shared" si="537"/>
        <v>0</v>
      </c>
      <c r="E795" s="14">
        <f t="shared" si="537"/>
        <v>0</v>
      </c>
      <c r="F795" s="14">
        <f t="shared" si="537"/>
        <v>0</v>
      </c>
      <c r="G795" s="14">
        <f t="shared" si="537"/>
        <v>0</v>
      </c>
      <c r="H795" s="14">
        <f t="shared" si="537"/>
        <v>0</v>
      </c>
      <c r="I795" s="14">
        <f t="shared" si="537"/>
        <v>0</v>
      </c>
      <c r="J795" s="14">
        <f aca="true" t="shared" si="538" ref="J795:U795">J75</f>
        <v>164625</v>
      </c>
      <c r="K795" s="14">
        <f t="shared" si="538"/>
        <v>161847</v>
      </c>
      <c r="L795" s="14">
        <f t="shared" si="538"/>
        <v>160029</v>
      </c>
      <c r="M795" s="14">
        <f t="shared" si="538"/>
        <v>161497</v>
      </c>
      <c r="N795" s="14">
        <f t="shared" si="538"/>
        <v>168717</v>
      </c>
      <c r="O795" s="14">
        <f t="shared" si="538"/>
        <v>170745</v>
      </c>
      <c r="P795" s="14">
        <f t="shared" si="538"/>
        <v>176042</v>
      </c>
      <c r="Q795" s="14">
        <f t="shared" si="538"/>
        <v>195993</v>
      </c>
      <c r="R795" s="14">
        <f t="shared" si="538"/>
        <v>204461</v>
      </c>
      <c r="S795" s="14">
        <f t="shared" si="538"/>
        <v>195339</v>
      </c>
      <c r="T795" s="14">
        <f t="shared" si="538"/>
        <v>193697</v>
      </c>
      <c r="U795" s="14">
        <f t="shared" si="538"/>
        <v>187297</v>
      </c>
      <c r="V795" s="14">
        <f aca="true" t="shared" si="539" ref="V795:AA795">(V75)</f>
        <v>182312</v>
      </c>
      <c r="W795" s="14">
        <f t="shared" si="539"/>
        <v>156955</v>
      </c>
      <c r="X795" s="14">
        <f t="shared" si="539"/>
        <v>144196</v>
      </c>
      <c r="Y795" s="14">
        <f t="shared" si="539"/>
        <v>118032</v>
      </c>
      <c r="Z795" s="14">
        <f t="shared" si="539"/>
        <v>110200</v>
      </c>
      <c r="AA795" s="14">
        <f t="shared" si="539"/>
        <v>133116</v>
      </c>
      <c r="AB795" s="14">
        <f aca="true" t="shared" si="540" ref="AB795:AL795">(AB75)</f>
        <v>150635</v>
      </c>
      <c r="AC795" s="14">
        <f t="shared" si="540"/>
        <v>164222</v>
      </c>
      <c r="AD795" s="14">
        <f t="shared" si="540"/>
        <v>164246.4</v>
      </c>
      <c r="AE795" s="14">
        <f t="shared" si="540"/>
        <v>164216</v>
      </c>
      <c r="AF795" s="14">
        <f t="shared" si="540"/>
        <v>163278.995</v>
      </c>
      <c r="AG795" s="14">
        <f t="shared" si="540"/>
        <v>163279</v>
      </c>
      <c r="AH795" s="14">
        <f t="shared" si="540"/>
        <v>171575</v>
      </c>
      <c r="AI795" s="14">
        <f t="shared" si="540"/>
        <v>166820</v>
      </c>
      <c r="AJ795" s="14">
        <f>(AJ75)</f>
        <v>170162</v>
      </c>
      <c r="AK795" s="14">
        <f>(AK75)</f>
        <v>179048</v>
      </c>
      <c r="AL795" s="70">
        <f t="shared" si="540"/>
        <v>148048</v>
      </c>
      <c r="AM795" s="70">
        <f>(AM75)</f>
        <v>156651</v>
      </c>
      <c r="AN795" s="70">
        <f>(AN75)</f>
        <v>151391</v>
      </c>
      <c r="AO795" s="70">
        <f>(AO75)</f>
        <v>152612</v>
      </c>
      <c r="AP795" s="70">
        <f>(AP75)</f>
        <v>155048</v>
      </c>
    </row>
    <row r="796" spans="1:42" ht="15.75">
      <c r="A796" s="35" t="s">
        <v>74</v>
      </c>
      <c r="B796" s="15" t="s">
        <v>357</v>
      </c>
      <c r="C796" s="14"/>
      <c r="D796" s="14"/>
      <c r="E796" s="14"/>
      <c r="F796" s="14"/>
      <c r="G796" s="14"/>
      <c r="H796" s="14"/>
      <c r="I796" s="14"/>
      <c r="J796" s="14"/>
      <c r="K796" s="48">
        <v>0</v>
      </c>
      <c r="L796" s="14"/>
      <c r="M796" s="14"/>
      <c r="N796" s="14"/>
      <c r="O796" s="14"/>
      <c r="P796" s="14"/>
      <c r="Q796" s="14"/>
      <c r="R796" s="14"/>
      <c r="S796" s="14">
        <f>S78</f>
        <v>5331</v>
      </c>
      <c r="T796" s="14">
        <f>T78</f>
        <v>5331</v>
      </c>
      <c r="U796" s="14">
        <f>U78</f>
        <v>6440</v>
      </c>
      <c r="V796" s="14">
        <f aca="true" t="shared" si="541" ref="V796:AA796">(V78)</f>
        <v>6440</v>
      </c>
      <c r="W796" s="14">
        <f t="shared" si="541"/>
        <v>6440</v>
      </c>
      <c r="X796" s="14">
        <f t="shared" si="541"/>
        <v>6118</v>
      </c>
      <c r="Y796" s="14">
        <f t="shared" si="541"/>
        <v>6118</v>
      </c>
      <c r="Z796" s="14">
        <f t="shared" si="541"/>
        <v>6118</v>
      </c>
      <c r="AA796" s="14">
        <f t="shared" si="541"/>
        <v>6105</v>
      </c>
      <c r="AB796" s="14">
        <f aca="true" t="shared" si="542" ref="AB796:AL796">(AB78)</f>
        <v>6105</v>
      </c>
      <c r="AC796" s="14">
        <f t="shared" si="542"/>
        <v>6105</v>
      </c>
      <c r="AD796" s="14">
        <f t="shared" si="542"/>
        <v>6065.4</v>
      </c>
      <c r="AE796" s="14">
        <f t="shared" si="542"/>
        <v>7105</v>
      </c>
      <c r="AF796" s="14">
        <f t="shared" si="542"/>
        <v>7017.453</v>
      </c>
      <c r="AG796" s="14">
        <f t="shared" si="542"/>
        <v>7017</v>
      </c>
      <c r="AH796" s="14">
        <f t="shared" si="542"/>
        <v>7105</v>
      </c>
      <c r="AI796" s="14">
        <f t="shared" si="542"/>
        <v>7006</v>
      </c>
      <c r="AJ796" s="14">
        <f>(AJ78)</f>
        <v>7006</v>
      </c>
      <c r="AK796" s="14">
        <f>(AK78)</f>
        <v>6903</v>
      </c>
      <c r="AL796" s="70">
        <f t="shared" si="542"/>
        <v>6903</v>
      </c>
      <c r="AM796" s="70">
        <f>(AM78)</f>
        <v>6903</v>
      </c>
      <c r="AN796" s="70">
        <f>(AN78)</f>
        <v>6903</v>
      </c>
      <c r="AO796" s="70">
        <f>(AO78)</f>
        <v>6903</v>
      </c>
      <c r="AP796" s="70">
        <f>(AP78)</f>
        <v>6403</v>
      </c>
    </row>
    <row r="797" spans="1:42" ht="15.75">
      <c r="A797" s="35" t="s">
        <v>269</v>
      </c>
      <c r="B797" s="15" t="s">
        <v>357</v>
      </c>
      <c r="C797" s="16">
        <f aca="true" t="shared" si="543" ref="C797:U797">C91</f>
        <v>0</v>
      </c>
      <c r="D797" s="16">
        <f t="shared" si="543"/>
        <v>0</v>
      </c>
      <c r="E797" s="16">
        <f t="shared" si="543"/>
        <v>0</v>
      </c>
      <c r="F797" s="16">
        <f t="shared" si="543"/>
        <v>0</v>
      </c>
      <c r="G797" s="16">
        <f t="shared" si="543"/>
        <v>0</v>
      </c>
      <c r="H797" s="16">
        <f t="shared" si="543"/>
        <v>0</v>
      </c>
      <c r="I797" s="16">
        <f t="shared" si="543"/>
        <v>0</v>
      </c>
      <c r="J797" s="16">
        <f t="shared" si="543"/>
        <v>735891</v>
      </c>
      <c r="K797" s="16">
        <f t="shared" si="543"/>
        <v>537523</v>
      </c>
      <c r="L797" s="16">
        <f t="shared" si="543"/>
        <v>422559</v>
      </c>
      <c r="M797" s="16">
        <f t="shared" si="543"/>
        <v>375439</v>
      </c>
      <c r="N797" s="16">
        <f t="shared" si="543"/>
        <v>396368</v>
      </c>
      <c r="O797" s="16">
        <f t="shared" si="543"/>
        <v>432363</v>
      </c>
      <c r="P797" s="16">
        <f t="shared" si="543"/>
        <v>451169</v>
      </c>
      <c r="Q797" s="16">
        <f t="shared" si="543"/>
        <v>480071</v>
      </c>
      <c r="R797" s="16">
        <f t="shared" si="543"/>
        <v>432164</v>
      </c>
      <c r="S797" s="16">
        <f t="shared" si="543"/>
        <v>466120</v>
      </c>
      <c r="T797" s="16">
        <f t="shared" si="543"/>
        <v>523093</v>
      </c>
      <c r="U797" s="16">
        <f t="shared" si="543"/>
        <v>477445</v>
      </c>
      <c r="V797" s="16">
        <f aca="true" t="shared" si="544" ref="V797:AA797">(V91)</f>
        <v>474007</v>
      </c>
      <c r="W797" s="16">
        <f t="shared" si="544"/>
        <v>568583</v>
      </c>
      <c r="X797" s="16">
        <f t="shared" si="544"/>
        <v>548679</v>
      </c>
      <c r="Y797" s="16">
        <f t="shared" si="544"/>
        <v>481714</v>
      </c>
      <c r="Z797" s="16">
        <f t="shared" si="544"/>
        <v>694263</v>
      </c>
      <c r="AA797" s="16">
        <f t="shared" si="544"/>
        <v>1050713</v>
      </c>
      <c r="AB797" s="16">
        <f aca="true" t="shared" si="545" ref="AB797:AL797">(AB91)</f>
        <v>688278</v>
      </c>
      <c r="AC797" s="16">
        <f t="shared" si="545"/>
        <v>890982</v>
      </c>
      <c r="AD797" s="16">
        <f t="shared" si="545"/>
        <v>954341.6</v>
      </c>
      <c r="AE797" s="16">
        <f t="shared" si="545"/>
        <v>888771</v>
      </c>
      <c r="AF797" s="16">
        <f t="shared" si="545"/>
        <v>1103818</v>
      </c>
      <c r="AG797" s="16">
        <f t="shared" si="545"/>
        <v>1169389</v>
      </c>
      <c r="AH797" s="16">
        <f t="shared" si="545"/>
        <v>1128662</v>
      </c>
      <c r="AI797" s="16">
        <f t="shared" si="545"/>
        <v>1827366</v>
      </c>
      <c r="AJ797" s="16">
        <f>(AJ91)</f>
        <v>1634012</v>
      </c>
      <c r="AK797" s="16">
        <f>(AK91)</f>
        <v>2130025</v>
      </c>
      <c r="AL797" s="104">
        <f t="shared" si="545"/>
        <v>2130025</v>
      </c>
      <c r="AM797" s="104">
        <f>(AM91)</f>
        <v>2481052</v>
      </c>
      <c r="AN797" s="104">
        <f>(AN91)</f>
        <v>2137691</v>
      </c>
      <c r="AO797" s="104">
        <f>(AO91)</f>
        <v>2137691</v>
      </c>
      <c r="AP797" s="104">
        <f>(AP91)</f>
        <v>2254140</v>
      </c>
    </row>
    <row r="798" spans="1:42" ht="15.75">
      <c r="A798" s="35" t="s">
        <v>217</v>
      </c>
      <c r="B798" s="15" t="s">
        <v>357</v>
      </c>
      <c r="C798" s="14">
        <f aca="true" t="shared" si="546" ref="C798:L798">SUM(C795:C797)</f>
        <v>0</v>
      </c>
      <c r="D798" s="14">
        <f t="shared" si="546"/>
        <v>0</v>
      </c>
      <c r="E798" s="14">
        <f t="shared" si="546"/>
        <v>0</v>
      </c>
      <c r="F798" s="14">
        <f t="shared" si="546"/>
        <v>0</v>
      </c>
      <c r="G798" s="14">
        <f t="shared" si="546"/>
        <v>0</v>
      </c>
      <c r="H798" s="14">
        <f t="shared" si="546"/>
        <v>0</v>
      </c>
      <c r="I798" s="14">
        <f t="shared" si="546"/>
        <v>0</v>
      </c>
      <c r="J798" s="14">
        <f t="shared" si="546"/>
        <v>900516</v>
      </c>
      <c r="K798" s="14">
        <f t="shared" si="546"/>
        <v>699370</v>
      </c>
      <c r="L798" s="14">
        <f t="shared" si="546"/>
        <v>582588</v>
      </c>
      <c r="M798" s="14">
        <f aca="true" t="shared" si="547" ref="M798:U798">SUM(M795:M797)</f>
        <v>536936</v>
      </c>
      <c r="N798" s="14">
        <f t="shared" si="547"/>
        <v>565085</v>
      </c>
      <c r="O798" s="14">
        <f t="shared" si="547"/>
        <v>603108</v>
      </c>
      <c r="P798" s="14">
        <f t="shared" si="547"/>
        <v>627211</v>
      </c>
      <c r="Q798" s="14">
        <f t="shared" si="547"/>
        <v>676064</v>
      </c>
      <c r="R798" s="14">
        <f t="shared" si="547"/>
        <v>636625</v>
      </c>
      <c r="S798" s="14">
        <f t="shared" si="547"/>
        <v>666790</v>
      </c>
      <c r="T798" s="14">
        <f t="shared" si="547"/>
        <v>722121</v>
      </c>
      <c r="U798" s="14">
        <f t="shared" si="547"/>
        <v>671182</v>
      </c>
      <c r="V798" s="14">
        <f aca="true" t="shared" si="548" ref="V798:AE798">(SUM(V795:V797))</f>
        <v>662759</v>
      </c>
      <c r="W798" s="14">
        <f t="shared" si="548"/>
        <v>731978</v>
      </c>
      <c r="X798" s="14">
        <f t="shared" si="548"/>
        <v>698993</v>
      </c>
      <c r="Y798" s="14">
        <f t="shared" si="548"/>
        <v>605864</v>
      </c>
      <c r="Z798" s="14">
        <f t="shared" si="548"/>
        <v>810581</v>
      </c>
      <c r="AA798" s="14">
        <f t="shared" si="548"/>
        <v>1189934</v>
      </c>
      <c r="AB798" s="14">
        <f t="shared" si="548"/>
        <v>845018</v>
      </c>
      <c r="AC798" s="14">
        <f t="shared" si="548"/>
        <v>1061309</v>
      </c>
      <c r="AD798" s="14">
        <f t="shared" si="548"/>
        <v>1124653.4</v>
      </c>
      <c r="AE798" s="14">
        <f t="shared" si="548"/>
        <v>1060092</v>
      </c>
      <c r="AF798" s="14">
        <f aca="true" t="shared" si="549" ref="AF798:AP798">(SUM(AF795:AF797))</f>
        <v>1274114.448</v>
      </c>
      <c r="AG798" s="14">
        <f t="shared" si="549"/>
        <v>1339685</v>
      </c>
      <c r="AH798" s="14">
        <f t="shared" si="549"/>
        <v>1307342</v>
      </c>
      <c r="AI798" s="14">
        <f t="shared" si="549"/>
        <v>2001192</v>
      </c>
      <c r="AJ798" s="14">
        <f t="shared" si="549"/>
        <v>1811180</v>
      </c>
      <c r="AK798" s="14">
        <f t="shared" si="549"/>
        <v>2315976</v>
      </c>
      <c r="AL798" s="70">
        <f t="shared" si="549"/>
        <v>2284976</v>
      </c>
      <c r="AM798" s="70">
        <f t="shared" si="549"/>
        <v>2644606</v>
      </c>
      <c r="AN798" s="70">
        <f t="shared" si="549"/>
        <v>2295985</v>
      </c>
      <c r="AO798" s="70">
        <f t="shared" si="549"/>
        <v>2297206</v>
      </c>
      <c r="AP798" s="70">
        <f t="shared" si="549"/>
        <v>2415591</v>
      </c>
    </row>
    <row r="799" spans="1:42" ht="6.75" customHeight="1">
      <c r="A799" s="14"/>
      <c r="B799" s="15" t="s">
        <v>357</v>
      </c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70"/>
      <c r="AM799" s="70"/>
      <c r="AN799" s="70"/>
      <c r="AO799" s="70"/>
      <c r="AP799" s="70"/>
    </row>
    <row r="800" spans="1:42" ht="15.75" hidden="1">
      <c r="A800" s="15" t="s">
        <v>282</v>
      </c>
      <c r="B800" s="15" t="s">
        <v>357</v>
      </c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70"/>
      <c r="AM800" s="70"/>
      <c r="AN800" s="70"/>
      <c r="AO800" s="70"/>
      <c r="AP800" s="70"/>
    </row>
    <row r="801" spans="1:42" ht="15.75" hidden="1">
      <c r="A801" s="14"/>
      <c r="B801" s="15" t="s">
        <v>357</v>
      </c>
      <c r="C801" s="36" t="s">
        <v>400</v>
      </c>
      <c r="D801" s="36" t="s">
        <v>400</v>
      </c>
      <c r="E801" s="15" t="s">
        <v>128</v>
      </c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70"/>
      <c r="AM801" s="70"/>
      <c r="AN801" s="70"/>
      <c r="AO801" s="70"/>
      <c r="AP801" s="70"/>
    </row>
    <row r="802" spans="1:42" ht="15.75" hidden="1">
      <c r="A802" s="35" t="s">
        <v>201</v>
      </c>
      <c r="B802" s="15" t="s">
        <v>357</v>
      </c>
      <c r="C802" s="14">
        <f>C651</f>
        <v>99301</v>
      </c>
      <c r="D802" s="14">
        <f>D651</f>
        <v>48825</v>
      </c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70"/>
      <c r="AM802" s="70"/>
      <c r="AN802" s="70"/>
      <c r="AO802" s="70"/>
      <c r="AP802" s="70"/>
    </row>
    <row r="803" spans="1:42" ht="15.75" hidden="1">
      <c r="A803" s="14"/>
      <c r="B803" s="15" t="s">
        <v>357</v>
      </c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70"/>
      <c r="AM803" s="70"/>
      <c r="AN803" s="70"/>
      <c r="AO803" s="70"/>
      <c r="AP803" s="70"/>
    </row>
    <row r="804" spans="1:42" ht="9" customHeight="1">
      <c r="A804" s="14"/>
      <c r="B804" s="15" t="s">
        <v>357</v>
      </c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70"/>
      <c r="AM804" s="70"/>
      <c r="AN804" s="70"/>
      <c r="AO804" s="70"/>
      <c r="AP804" s="70"/>
    </row>
    <row r="805" spans="1:42" ht="30.75" customHeight="1">
      <c r="A805" s="63" t="s">
        <v>129</v>
      </c>
      <c r="B805" s="15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70"/>
      <c r="AM805" s="70"/>
      <c r="AN805" s="70"/>
      <c r="AO805" s="70"/>
      <c r="AP805" s="70"/>
    </row>
    <row r="806" spans="1:42" ht="15.75">
      <c r="A806" s="35" t="s">
        <v>201</v>
      </c>
      <c r="B806" s="15" t="s">
        <v>357</v>
      </c>
      <c r="C806" s="14">
        <f aca="true" t="shared" si="550" ref="C806:U806">C107</f>
        <v>1000</v>
      </c>
      <c r="D806" s="14">
        <f t="shared" si="550"/>
        <v>67527</v>
      </c>
      <c r="E806" s="14">
        <f t="shared" si="550"/>
        <v>115390</v>
      </c>
      <c r="F806" s="14">
        <f t="shared" si="550"/>
        <v>179530</v>
      </c>
      <c r="G806" s="14">
        <f t="shared" si="550"/>
        <v>177964</v>
      </c>
      <c r="H806" s="14">
        <f t="shared" si="550"/>
        <v>173848</v>
      </c>
      <c r="I806" s="14">
        <f t="shared" si="550"/>
        <v>274062</v>
      </c>
      <c r="J806" s="14">
        <f t="shared" si="550"/>
        <v>341923</v>
      </c>
      <c r="K806" s="14">
        <f t="shared" si="550"/>
        <v>377288</v>
      </c>
      <c r="L806" s="14">
        <f t="shared" si="550"/>
        <v>278069</v>
      </c>
      <c r="M806" s="14">
        <f t="shared" si="550"/>
        <v>319098</v>
      </c>
      <c r="N806" s="14">
        <f t="shared" si="550"/>
        <v>309495</v>
      </c>
      <c r="O806" s="14">
        <f t="shared" si="550"/>
        <v>295332</v>
      </c>
      <c r="P806" s="14">
        <f t="shared" si="550"/>
        <v>294832</v>
      </c>
      <c r="Q806" s="14">
        <f t="shared" si="550"/>
        <v>309208</v>
      </c>
      <c r="R806" s="14">
        <f t="shared" si="550"/>
        <v>297978</v>
      </c>
      <c r="S806" s="14">
        <f t="shared" si="550"/>
        <v>299941</v>
      </c>
      <c r="T806" s="14">
        <f t="shared" si="550"/>
        <v>308378</v>
      </c>
      <c r="U806" s="14">
        <f t="shared" si="550"/>
        <v>292412</v>
      </c>
      <c r="V806" s="14">
        <f aca="true" t="shared" si="551" ref="V806:AA806">(V107)</f>
        <v>269565</v>
      </c>
      <c r="W806" s="14">
        <f t="shared" si="551"/>
        <v>271523</v>
      </c>
      <c r="X806" s="14">
        <f t="shared" si="551"/>
        <v>272704</v>
      </c>
      <c r="Y806" s="14">
        <f t="shared" si="551"/>
        <v>278523</v>
      </c>
      <c r="Z806" s="14">
        <f t="shared" si="551"/>
        <v>369313</v>
      </c>
      <c r="AA806" s="14">
        <f t="shared" si="551"/>
        <v>394059</v>
      </c>
      <c r="AB806" s="14">
        <f aca="true" t="shared" si="552" ref="AB806:AM806">(AB107)</f>
        <v>306230</v>
      </c>
      <c r="AC806" s="14">
        <f t="shared" si="552"/>
        <v>279402</v>
      </c>
      <c r="AD806" s="14">
        <f t="shared" si="552"/>
        <v>328781</v>
      </c>
      <c r="AE806" s="14">
        <f t="shared" si="552"/>
        <v>281168</v>
      </c>
      <c r="AF806" s="14">
        <f t="shared" si="552"/>
        <v>295975.525</v>
      </c>
      <c r="AG806" s="14">
        <f t="shared" si="552"/>
        <v>295778</v>
      </c>
      <c r="AH806" s="14">
        <f t="shared" si="552"/>
        <v>352768</v>
      </c>
      <c r="AI806" s="14">
        <f t="shared" si="552"/>
        <v>296573</v>
      </c>
      <c r="AJ806" s="14">
        <f t="shared" si="552"/>
        <v>296562</v>
      </c>
      <c r="AK806" s="14">
        <f>(AK107)</f>
        <v>294228</v>
      </c>
      <c r="AL806" s="14">
        <f t="shared" si="552"/>
        <v>294228</v>
      </c>
      <c r="AM806" s="14">
        <f t="shared" si="552"/>
        <v>298145</v>
      </c>
      <c r="AN806" s="14">
        <f>(AN107)</f>
        <v>291747</v>
      </c>
      <c r="AO806" s="70">
        <f>(AO107)</f>
        <v>294591</v>
      </c>
      <c r="AP806" s="14">
        <f>(AP107)</f>
        <v>168295</v>
      </c>
    </row>
    <row r="807" spans="1:42" ht="15.75">
      <c r="A807" s="35" t="s">
        <v>269</v>
      </c>
      <c r="B807" s="15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6"/>
      <c r="R807" s="16"/>
      <c r="S807" s="16"/>
      <c r="T807" s="16"/>
      <c r="U807" s="16"/>
      <c r="V807" s="16">
        <f aca="true" t="shared" si="553" ref="V807:AA807">V118</f>
        <v>47200</v>
      </c>
      <c r="W807" s="16">
        <f t="shared" si="553"/>
        <v>31000</v>
      </c>
      <c r="X807" s="16">
        <f t="shared" si="553"/>
        <v>33000</v>
      </c>
      <c r="Y807" s="16">
        <f t="shared" si="553"/>
        <v>81766</v>
      </c>
      <c r="Z807" s="16">
        <f t="shared" si="553"/>
        <v>41000</v>
      </c>
      <c r="AA807" s="16">
        <f t="shared" si="553"/>
        <v>102943</v>
      </c>
      <c r="AB807" s="16">
        <f>AB118</f>
        <v>113681</v>
      </c>
      <c r="AC807" s="16">
        <f>AC118</f>
        <v>56079</v>
      </c>
      <c r="AD807" s="16">
        <f>AD118</f>
        <v>56079</v>
      </c>
      <c r="AE807" s="16">
        <f>AE118</f>
        <v>55000</v>
      </c>
      <c r="AF807" s="16">
        <f aca="true" t="shared" si="554" ref="AF807:AM807">AF119</f>
        <v>14967</v>
      </c>
      <c r="AG807" s="16">
        <f t="shared" si="554"/>
        <v>14967</v>
      </c>
      <c r="AH807" s="16">
        <f t="shared" si="554"/>
        <v>34000</v>
      </c>
      <c r="AI807" s="16">
        <f t="shared" si="554"/>
        <v>67000</v>
      </c>
      <c r="AJ807" s="16">
        <f t="shared" si="554"/>
        <v>66533</v>
      </c>
      <c r="AK807" s="16">
        <f>AK119</f>
        <v>59004</v>
      </c>
      <c r="AL807" s="104">
        <f t="shared" si="554"/>
        <v>59004</v>
      </c>
      <c r="AM807" s="104">
        <f t="shared" si="554"/>
        <v>51000</v>
      </c>
      <c r="AN807" s="104">
        <f>AN119</f>
        <v>97000</v>
      </c>
      <c r="AO807" s="104">
        <f>AO119</f>
        <v>97000</v>
      </c>
      <c r="AP807" s="104">
        <f>AP119</f>
        <v>401400</v>
      </c>
    </row>
    <row r="808" spans="1:42" ht="15.75">
      <c r="A808" s="35" t="s">
        <v>217</v>
      </c>
      <c r="B808" s="15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>
        <f>SUM(Q806:Q807)</f>
        <v>309208</v>
      </c>
      <c r="R808" s="14">
        <f>SUM(R806:R807)</f>
        <v>297978</v>
      </c>
      <c r="S808" s="14">
        <f>SUM(S806:S807)</f>
        <v>299941</v>
      </c>
      <c r="T808" s="14">
        <f>SUM(T806:T807)</f>
        <v>308378</v>
      </c>
      <c r="U808" s="14">
        <f>SUM(U806:U807)</f>
        <v>292412</v>
      </c>
      <c r="V808" s="14">
        <f aca="true" t="shared" si="555" ref="V808:AG808">SUM(V806:V807)</f>
        <v>316765</v>
      </c>
      <c r="W808" s="14">
        <f t="shared" si="555"/>
        <v>302523</v>
      </c>
      <c r="X808" s="14">
        <f t="shared" si="555"/>
        <v>305704</v>
      </c>
      <c r="Y808" s="14">
        <f t="shared" si="555"/>
        <v>360289</v>
      </c>
      <c r="Z808" s="14">
        <f t="shared" si="555"/>
        <v>410313</v>
      </c>
      <c r="AA808" s="14">
        <f t="shared" si="555"/>
        <v>497002</v>
      </c>
      <c r="AB808" s="14">
        <f t="shared" si="555"/>
        <v>419911</v>
      </c>
      <c r="AC808" s="14">
        <f t="shared" si="555"/>
        <v>335481</v>
      </c>
      <c r="AD808" s="14">
        <f t="shared" si="555"/>
        <v>384860</v>
      </c>
      <c r="AE808" s="14">
        <f t="shared" si="555"/>
        <v>336168</v>
      </c>
      <c r="AF808" s="14">
        <f t="shared" si="555"/>
        <v>310942.525</v>
      </c>
      <c r="AG808" s="14">
        <f t="shared" si="555"/>
        <v>310745</v>
      </c>
      <c r="AH808" s="14">
        <f aca="true" t="shared" si="556" ref="AH808:AP808">SUM(AH806:AH807)</f>
        <v>386768</v>
      </c>
      <c r="AI808" s="14">
        <f t="shared" si="556"/>
        <v>363573</v>
      </c>
      <c r="AJ808" s="14">
        <f t="shared" si="556"/>
        <v>363095</v>
      </c>
      <c r="AK808" s="14">
        <f t="shared" si="556"/>
        <v>353232</v>
      </c>
      <c r="AL808" s="70">
        <f t="shared" si="556"/>
        <v>353232</v>
      </c>
      <c r="AM808" s="70">
        <f t="shared" si="556"/>
        <v>349145</v>
      </c>
      <c r="AN808" s="70">
        <f t="shared" si="556"/>
        <v>388747</v>
      </c>
      <c r="AO808" s="70">
        <f t="shared" si="556"/>
        <v>391591</v>
      </c>
      <c r="AP808" s="70">
        <f t="shared" si="556"/>
        <v>569695</v>
      </c>
    </row>
    <row r="809" spans="1:42" ht="15.75">
      <c r="A809" s="14"/>
      <c r="B809" s="15" t="s">
        <v>357</v>
      </c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70"/>
      <c r="AM809" s="70"/>
      <c r="AN809" s="70"/>
      <c r="AO809" s="70"/>
      <c r="AP809" s="70"/>
    </row>
    <row r="810" spans="1:42" ht="15.75">
      <c r="A810" s="15" t="s">
        <v>371</v>
      </c>
      <c r="B810" s="15" t="s">
        <v>357</v>
      </c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70"/>
      <c r="AM810" s="70"/>
      <c r="AN810" s="70"/>
      <c r="AO810" s="70"/>
      <c r="AP810" s="70"/>
    </row>
    <row r="811" spans="1:42" ht="15.75">
      <c r="A811" s="35" t="s">
        <v>201</v>
      </c>
      <c r="B811" s="15" t="s">
        <v>357</v>
      </c>
      <c r="C811" s="14">
        <f aca="true" t="shared" si="557" ref="C811:U811">C207</f>
        <v>320433</v>
      </c>
      <c r="D811" s="14">
        <f t="shared" si="557"/>
        <v>585440</v>
      </c>
      <c r="E811" s="14">
        <f t="shared" si="557"/>
        <v>649567</v>
      </c>
      <c r="F811" s="14">
        <f t="shared" si="557"/>
        <v>645489</v>
      </c>
      <c r="G811" s="14">
        <f t="shared" si="557"/>
        <v>623057</v>
      </c>
      <c r="H811" s="14">
        <f t="shared" si="557"/>
        <v>510042</v>
      </c>
      <c r="I811" s="14">
        <f t="shared" si="557"/>
        <v>378184</v>
      </c>
      <c r="J811" s="14">
        <f t="shared" si="557"/>
        <v>390672</v>
      </c>
      <c r="K811" s="14">
        <f t="shared" si="557"/>
        <v>416368</v>
      </c>
      <c r="L811" s="14">
        <f t="shared" si="557"/>
        <v>412306</v>
      </c>
      <c r="M811" s="14">
        <f t="shared" si="557"/>
        <v>430943</v>
      </c>
      <c r="N811" s="14">
        <f t="shared" si="557"/>
        <v>447747</v>
      </c>
      <c r="O811" s="14">
        <f t="shared" si="557"/>
        <v>451506</v>
      </c>
      <c r="P811" s="14">
        <f t="shared" si="557"/>
        <v>501402</v>
      </c>
      <c r="Q811" s="14">
        <f t="shared" si="557"/>
        <v>570690</v>
      </c>
      <c r="R811" s="14">
        <f t="shared" si="557"/>
        <v>584194</v>
      </c>
      <c r="S811" s="14">
        <f t="shared" si="557"/>
        <v>581087</v>
      </c>
      <c r="T811" s="14">
        <f t="shared" si="557"/>
        <v>596985</v>
      </c>
      <c r="U811" s="14">
        <f t="shared" si="557"/>
        <v>570507</v>
      </c>
      <c r="V811" s="14">
        <f aca="true" t="shared" si="558" ref="V811:AA811">(V207)</f>
        <v>731296</v>
      </c>
      <c r="W811" s="14">
        <f t="shared" si="558"/>
        <v>744701</v>
      </c>
      <c r="X811" s="14">
        <f t="shared" si="558"/>
        <v>760358</v>
      </c>
      <c r="Y811" s="14">
        <f t="shared" si="558"/>
        <v>797241</v>
      </c>
      <c r="Z811" s="14">
        <f t="shared" si="558"/>
        <v>814626</v>
      </c>
      <c r="AA811" s="14">
        <f t="shared" si="558"/>
        <v>883650</v>
      </c>
      <c r="AB811" s="14">
        <f aca="true" t="shared" si="559" ref="AB811:AL811">(AB207)</f>
        <v>913913</v>
      </c>
      <c r="AC811" s="14">
        <f t="shared" si="559"/>
        <v>867338</v>
      </c>
      <c r="AD811" s="14">
        <f t="shared" si="559"/>
        <v>919273</v>
      </c>
      <c r="AE811" s="14">
        <f t="shared" si="559"/>
        <v>895505</v>
      </c>
      <c r="AF811" s="14">
        <f t="shared" si="559"/>
        <v>937984.077</v>
      </c>
      <c r="AG811" s="14">
        <f t="shared" si="559"/>
        <v>937984</v>
      </c>
      <c r="AH811" s="14">
        <f t="shared" si="559"/>
        <v>919788</v>
      </c>
      <c r="AI811" s="14">
        <f t="shared" si="559"/>
        <v>935464</v>
      </c>
      <c r="AJ811" s="14">
        <f>(AJ207)</f>
        <v>948564</v>
      </c>
      <c r="AK811" s="14">
        <f>(AK207)</f>
        <v>976845</v>
      </c>
      <c r="AL811" s="70">
        <f t="shared" si="559"/>
        <v>961345</v>
      </c>
      <c r="AM811" s="70">
        <f>(AM207)</f>
        <v>944760</v>
      </c>
      <c r="AN811" s="70">
        <f>(AN207)</f>
        <v>962676</v>
      </c>
      <c r="AO811" s="70">
        <f>(AO207)</f>
        <v>988050</v>
      </c>
      <c r="AP811" s="70">
        <f>(AP207)</f>
        <v>974952</v>
      </c>
    </row>
    <row r="812" spans="1:42" ht="15.75">
      <c r="A812" s="35" t="s">
        <v>269</v>
      </c>
      <c r="B812" s="15" t="s">
        <v>357</v>
      </c>
      <c r="C812" s="14">
        <f aca="true" t="shared" si="560" ref="C812:U812">C221</f>
        <v>2</v>
      </c>
      <c r="D812" s="14">
        <f t="shared" si="560"/>
        <v>3</v>
      </c>
      <c r="E812" s="14">
        <f t="shared" si="560"/>
        <v>3</v>
      </c>
      <c r="F812" s="14">
        <f t="shared" si="560"/>
        <v>3</v>
      </c>
      <c r="G812" s="14">
        <f t="shared" si="560"/>
        <v>2</v>
      </c>
      <c r="H812" s="14">
        <f t="shared" si="560"/>
        <v>0</v>
      </c>
      <c r="I812" s="14">
        <f t="shared" si="560"/>
        <v>0</v>
      </c>
      <c r="J812" s="14">
        <f t="shared" si="560"/>
        <v>0</v>
      </c>
      <c r="K812" s="14">
        <f t="shared" si="560"/>
        <v>0</v>
      </c>
      <c r="L812" s="14">
        <f t="shared" si="560"/>
        <v>0</v>
      </c>
      <c r="M812" s="14">
        <f t="shared" si="560"/>
        <v>250</v>
      </c>
      <c r="N812" s="14">
        <f t="shared" si="560"/>
        <v>42</v>
      </c>
      <c r="O812" s="14">
        <f t="shared" si="560"/>
        <v>308</v>
      </c>
      <c r="P812" s="14">
        <f t="shared" si="560"/>
        <v>378</v>
      </c>
      <c r="Q812" s="14">
        <f t="shared" si="560"/>
        <v>91</v>
      </c>
      <c r="R812" s="14">
        <f t="shared" si="560"/>
        <v>44</v>
      </c>
      <c r="S812" s="14">
        <f t="shared" si="560"/>
        <v>1838</v>
      </c>
      <c r="T812" s="14">
        <f t="shared" si="560"/>
        <v>25</v>
      </c>
      <c r="U812" s="14">
        <f t="shared" si="560"/>
        <v>17</v>
      </c>
      <c r="V812" s="14">
        <f aca="true" t="shared" si="561" ref="V812:AA812">(V221)</f>
        <v>95</v>
      </c>
      <c r="W812" s="14">
        <f t="shared" si="561"/>
        <v>63</v>
      </c>
      <c r="X812" s="14">
        <f t="shared" si="561"/>
        <v>81</v>
      </c>
      <c r="Y812" s="14">
        <f t="shared" si="561"/>
        <v>96</v>
      </c>
      <c r="Z812" s="14">
        <f t="shared" si="561"/>
        <v>102</v>
      </c>
      <c r="AA812" s="14">
        <f t="shared" si="561"/>
        <v>72</v>
      </c>
      <c r="AB812" s="14">
        <f aca="true" t="shared" si="562" ref="AB812:AL812">(AB221)</f>
        <v>81</v>
      </c>
      <c r="AC812" s="14">
        <f t="shared" si="562"/>
        <v>50</v>
      </c>
      <c r="AD812" s="14">
        <f t="shared" si="562"/>
        <v>50</v>
      </c>
      <c r="AE812" s="14">
        <f t="shared" si="562"/>
        <v>48</v>
      </c>
      <c r="AF812" s="14">
        <f t="shared" si="562"/>
        <v>48</v>
      </c>
      <c r="AG812" s="14">
        <f t="shared" si="562"/>
        <v>66</v>
      </c>
      <c r="AH812" s="14">
        <f t="shared" si="562"/>
        <v>48</v>
      </c>
      <c r="AI812" s="14">
        <f t="shared" si="562"/>
        <v>55</v>
      </c>
      <c r="AJ812" s="14">
        <f>(AJ221)</f>
        <v>81</v>
      </c>
      <c r="AK812" s="14">
        <f>(AK221)</f>
        <v>88</v>
      </c>
      <c r="AL812" s="70">
        <f t="shared" si="562"/>
        <v>88</v>
      </c>
      <c r="AM812" s="70">
        <f>(AM221)</f>
        <v>6209</v>
      </c>
      <c r="AN812" s="70">
        <f>(AN221)</f>
        <v>6220</v>
      </c>
      <c r="AO812" s="70">
        <f>(AO221)</f>
        <v>6220</v>
      </c>
      <c r="AP812" s="70">
        <f>(AP221)</f>
        <v>51</v>
      </c>
    </row>
    <row r="813" spans="1:42" ht="15.75">
      <c r="A813" s="35" t="s">
        <v>270</v>
      </c>
      <c r="B813" s="15" t="s">
        <v>357</v>
      </c>
      <c r="C813" s="16">
        <f aca="true" t="shared" si="563" ref="C813:U813">C227</f>
        <v>0</v>
      </c>
      <c r="D813" s="16">
        <f t="shared" si="563"/>
        <v>0</v>
      </c>
      <c r="E813" s="16">
        <f t="shared" si="563"/>
        <v>0</v>
      </c>
      <c r="F813" s="16">
        <f t="shared" si="563"/>
        <v>0</v>
      </c>
      <c r="G813" s="16">
        <f t="shared" si="563"/>
        <v>0</v>
      </c>
      <c r="H813" s="16">
        <f t="shared" si="563"/>
        <v>0</v>
      </c>
      <c r="I813" s="16">
        <f t="shared" si="563"/>
        <v>0</v>
      </c>
      <c r="J813" s="16">
        <f t="shared" si="563"/>
        <v>0</v>
      </c>
      <c r="K813" s="16">
        <f t="shared" si="563"/>
        <v>50</v>
      </c>
      <c r="L813" s="16">
        <f t="shared" si="563"/>
        <v>0</v>
      </c>
      <c r="M813" s="16">
        <f t="shared" si="563"/>
        <v>261</v>
      </c>
      <c r="N813" s="16">
        <f t="shared" si="563"/>
        <v>73</v>
      </c>
      <c r="O813" s="16">
        <f t="shared" si="563"/>
        <v>140</v>
      </c>
      <c r="P813" s="16">
        <f t="shared" si="563"/>
        <v>99</v>
      </c>
      <c r="Q813" s="16">
        <f t="shared" si="563"/>
        <v>162</v>
      </c>
      <c r="R813" s="16">
        <f t="shared" si="563"/>
        <v>185</v>
      </c>
      <c r="S813" s="16">
        <f t="shared" si="563"/>
        <v>24</v>
      </c>
      <c r="T813" s="16">
        <f t="shared" si="563"/>
        <v>165</v>
      </c>
      <c r="U813" s="16">
        <f t="shared" si="563"/>
        <v>311</v>
      </c>
      <c r="V813" s="16">
        <f aca="true" t="shared" si="564" ref="V813:AA813">(V227)</f>
        <v>604</v>
      </c>
      <c r="W813" s="16">
        <f t="shared" si="564"/>
        <v>2000</v>
      </c>
      <c r="X813" s="16">
        <f t="shared" si="564"/>
        <v>1028</v>
      </c>
      <c r="Y813" s="16">
        <f t="shared" si="564"/>
        <v>317</v>
      </c>
      <c r="Z813" s="16">
        <f t="shared" si="564"/>
        <v>776</v>
      </c>
      <c r="AA813" s="16">
        <f t="shared" si="564"/>
        <v>1233</v>
      </c>
      <c r="AB813" s="16">
        <f aca="true" t="shared" si="565" ref="AB813:AL813">(AB227)</f>
        <v>666</v>
      </c>
      <c r="AC813" s="16">
        <f t="shared" si="565"/>
        <v>738</v>
      </c>
      <c r="AD813" s="16">
        <f t="shared" si="565"/>
        <v>738</v>
      </c>
      <c r="AE813" s="16">
        <f t="shared" si="565"/>
        <v>737</v>
      </c>
      <c r="AF813" s="16">
        <f t="shared" si="565"/>
        <v>737</v>
      </c>
      <c r="AG813" s="16">
        <f t="shared" si="565"/>
        <v>1629</v>
      </c>
      <c r="AH813" s="16">
        <f t="shared" si="565"/>
        <v>737</v>
      </c>
      <c r="AI813" s="16">
        <f t="shared" si="565"/>
        <v>750</v>
      </c>
      <c r="AJ813" s="16">
        <f>(AJ227)</f>
        <v>2272</v>
      </c>
      <c r="AK813" s="16">
        <f>(AK227)</f>
        <v>2399</v>
      </c>
      <c r="AL813" s="104">
        <f t="shared" si="565"/>
        <v>2399</v>
      </c>
      <c r="AM813" s="104">
        <f>(AM227)</f>
        <v>1394</v>
      </c>
      <c r="AN813" s="104">
        <f>(AN227)</f>
        <v>1408</v>
      </c>
      <c r="AO813" s="104">
        <f>(AO227)</f>
        <v>1408</v>
      </c>
      <c r="AP813" s="104">
        <f>(AP227)</f>
        <v>1045</v>
      </c>
    </row>
    <row r="814" spans="1:42" ht="15.75">
      <c r="A814" s="35" t="s">
        <v>217</v>
      </c>
      <c r="B814" s="15" t="s">
        <v>357</v>
      </c>
      <c r="C814" s="14">
        <f aca="true" t="shared" si="566" ref="C814:L814">SUM(C811:C813)</f>
        <v>320435</v>
      </c>
      <c r="D814" s="14">
        <f t="shared" si="566"/>
        <v>585443</v>
      </c>
      <c r="E814" s="14">
        <f t="shared" si="566"/>
        <v>649570</v>
      </c>
      <c r="F814" s="14">
        <f t="shared" si="566"/>
        <v>645492</v>
      </c>
      <c r="G814" s="14">
        <f t="shared" si="566"/>
        <v>623059</v>
      </c>
      <c r="H814" s="14">
        <f t="shared" si="566"/>
        <v>510042</v>
      </c>
      <c r="I814" s="14">
        <f t="shared" si="566"/>
        <v>378184</v>
      </c>
      <c r="J814" s="14">
        <f t="shared" si="566"/>
        <v>390672</v>
      </c>
      <c r="K814" s="14">
        <f t="shared" si="566"/>
        <v>416418</v>
      </c>
      <c r="L814" s="14">
        <f t="shared" si="566"/>
        <v>412306</v>
      </c>
      <c r="M814" s="14">
        <f aca="true" t="shared" si="567" ref="M814:U814">SUM(M811:M813)</f>
        <v>431454</v>
      </c>
      <c r="N814" s="14">
        <f t="shared" si="567"/>
        <v>447862</v>
      </c>
      <c r="O814" s="14">
        <f t="shared" si="567"/>
        <v>451954</v>
      </c>
      <c r="P814" s="14">
        <f t="shared" si="567"/>
        <v>501879</v>
      </c>
      <c r="Q814" s="14">
        <f t="shared" si="567"/>
        <v>570943</v>
      </c>
      <c r="R814" s="14">
        <f t="shared" si="567"/>
        <v>584423</v>
      </c>
      <c r="S814" s="14">
        <f t="shared" si="567"/>
        <v>582949</v>
      </c>
      <c r="T814" s="14">
        <f t="shared" si="567"/>
        <v>597175</v>
      </c>
      <c r="U814" s="14">
        <f t="shared" si="567"/>
        <v>570835</v>
      </c>
      <c r="V814" s="14">
        <f aca="true" t="shared" si="568" ref="V814:AE814">(SUM(V811:V813))</f>
        <v>731995</v>
      </c>
      <c r="W814" s="14">
        <f t="shared" si="568"/>
        <v>746764</v>
      </c>
      <c r="X814" s="14">
        <f t="shared" si="568"/>
        <v>761467</v>
      </c>
      <c r="Y814" s="14">
        <f t="shared" si="568"/>
        <v>797654</v>
      </c>
      <c r="Z814" s="14">
        <f t="shared" si="568"/>
        <v>815504</v>
      </c>
      <c r="AA814" s="14">
        <f t="shared" si="568"/>
        <v>884955</v>
      </c>
      <c r="AB814" s="14">
        <f t="shared" si="568"/>
        <v>914660</v>
      </c>
      <c r="AC814" s="14">
        <f t="shared" si="568"/>
        <v>868126</v>
      </c>
      <c r="AD814" s="14">
        <f t="shared" si="568"/>
        <v>920061</v>
      </c>
      <c r="AE814" s="14">
        <f t="shared" si="568"/>
        <v>896290</v>
      </c>
      <c r="AF814" s="14">
        <f aca="true" t="shared" si="569" ref="AF814:AP814">(SUM(AF811:AF813))</f>
        <v>938769.077</v>
      </c>
      <c r="AG814" s="14">
        <f t="shared" si="569"/>
        <v>939679</v>
      </c>
      <c r="AH814" s="14">
        <f t="shared" si="569"/>
        <v>920573</v>
      </c>
      <c r="AI814" s="14">
        <f t="shared" si="569"/>
        <v>936269</v>
      </c>
      <c r="AJ814" s="14">
        <f t="shared" si="569"/>
        <v>950917</v>
      </c>
      <c r="AK814" s="14">
        <f t="shared" si="569"/>
        <v>979332</v>
      </c>
      <c r="AL814" s="70">
        <f t="shared" si="569"/>
        <v>963832</v>
      </c>
      <c r="AM814" s="70">
        <f t="shared" si="569"/>
        <v>952363</v>
      </c>
      <c r="AN814" s="70">
        <f t="shared" si="569"/>
        <v>970304</v>
      </c>
      <c r="AO814" s="70">
        <f t="shared" si="569"/>
        <v>995678</v>
      </c>
      <c r="AP814" s="70">
        <f t="shared" si="569"/>
        <v>976048</v>
      </c>
    </row>
    <row r="815" spans="1:33" ht="9.75" customHeight="1">
      <c r="A815" s="14"/>
      <c r="B815" s="15" t="s">
        <v>357</v>
      </c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</row>
    <row r="816" spans="1:33" ht="15.75">
      <c r="A816" s="15" t="s">
        <v>21</v>
      </c>
      <c r="B816" s="15" t="s">
        <v>357</v>
      </c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</row>
    <row r="817" spans="1:33" ht="15.75">
      <c r="A817" s="35" t="s">
        <v>130</v>
      </c>
      <c r="B817" s="15" t="s">
        <v>357</v>
      </c>
      <c r="C817" s="14">
        <f aca="true" t="shared" si="570" ref="C817:U817">C239</f>
        <v>133611</v>
      </c>
      <c r="D817" s="14">
        <f t="shared" si="570"/>
        <v>138200</v>
      </c>
      <c r="E817" s="14">
        <f t="shared" si="570"/>
        <v>148476</v>
      </c>
      <c r="F817" s="14">
        <f t="shared" si="570"/>
        <v>134033</v>
      </c>
      <c r="G817" s="14">
        <f t="shared" si="570"/>
        <v>142319</v>
      </c>
      <c r="H817" s="14">
        <f t="shared" si="570"/>
        <v>150602</v>
      </c>
      <c r="I817" s="14">
        <f t="shared" si="570"/>
        <v>144568</v>
      </c>
      <c r="J817" s="14">
        <f t="shared" si="570"/>
        <v>136855</v>
      </c>
      <c r="K817" s="14">
        <f t="shared" si="570"/>
        <v>135959</v>
      </c>
      <c r="L817" s="14">
        <f t="shared" si="570"/>
        <v>127711</v>
      </c>
      <c r="M817" s="14">
        <f t="shared" si="570"/>
        <v>140412</v>
      </c>
      <c r="N817" s="14">
        <f t="shared" si="570"/>
        <v>146398</v>
      </c>
      <c r="O817" s="14">
        <f t="shared" si="570"/>
        <v>159208</v>
      </c>
      <c r="P817" s="14">
        <f t="shared" si="570"/>
        <v>178443</v>
      </c>
      <c r="Q817" s="14">
        <f t="shared" si="570"/>
        <v>175225</v>
      </c>
      <c r="R817" s="14">
        <f t="shared" si="570"/>
        <v>173477</v>
      </c>
      <c r="S817" s="14">
        <f t="shared" si="570"/>
        <v>174235</v>
      </c>
      <c r="T817" s="14">
        <f t="shared" si="570"/>
        <v>169436</v>
      </c>
      <c r="U817" s="14">
        <f t="shared" si="570"/>
        <v>152138</v>
      </c>
      <c r="V817" s="14">
        <f>(V239)</f>
        <v>63911</v>
      </c>
      <c r="W817" s="14">
        <f>(W239)</f>
        <v>0</v>
      </c>
      <c r="X817" s="14">
        <f>(X239)</f>
        <v>-1605</v>
      </c>
      <c r="Y817" s="14"/>
      <c r="Z817" s="14"/>
      <c r="AA817" s="14"/>
      <c r="AB817" s="14"/>
      <c r="AC817" s="14"/>
      <c r="AD817" s="14"/>
      <c r="AE817" s="14"/>
      <c r="AF817" s="14"/>
      <c r="AG817" s="14"/>
    </row>
    <row r="818" spans="1:42" ht="15.75">
      <c r="A818" s="35" t="s">
        <v>270</v>
      </c>
      <c r="B818" s="15" t="s">
        <v>357</v>
      </c>
      <c r="C818" s="16">
        <f aca="true" t="shared" si="571" ref="C818:U818">C247</f>
        <v>452</v>
      </c>
      <c r="D818" s="16">
        <f t="shared" si="571"/>
        <v>731</v>
      </c>
      <c r="E818" s="16">
        <f t="shared" si="571"/>
        <v>625</v>
      </c>
      <c r="F818" s="16">
        <f t="shared" si="571"/>
        <v>506</v>
      </c>
      <c r="G818" s="16">
        <f t="shared" si="571"/>
        <v>692</v>
      </c>
      <c r="H818" s="16">
        <f t="shared" si="571"/>
        <v>243</v>
      </c>
      <c r="I818" s="16">
        <f t="shared" si="571"/>
        <v>639</v>
      </c>
      <c r="J818" s="16">
        <f t="shared" si="571"/>
        <v>433</v>
      </c>
      <c r="K818" s="16">
        <f t="shared" si="571"/>
        <v>495</v>
      </c>
      <c r="L818" s="16">
        <f t="shared" si="571"/>
        <v>669</v>
      </c>
      <c r="M818" s="16">
        <f t="shared" si="571"/>
        <v>713</v>
      </c>
      <c r="N818" s="16">
        <f t="shared" si="571"/>
        <v>440</v>
      </c>
      <c r="O818" s="16">
        <f t="shared" si="571"/>
        <v>736</v>
      </c>
      <c r="P818" s="16">
        <f t="shared" si="571"/>
        <v>508</v>
      </c>
      <c r="Q818" s="16">
        <f t="shared" si="571"/>
        <v>902</v>
      </c>
      <c r="R818" s="16">
        <f t="shared" si="571"/>
        <v>887</v>
      </c>
      <c r="S818" s="16">
        <f t="shared" si="571"/>
        <v>1584</v>
      </c>
      <c r="T818" s="16">
        <f t="shared" si="571"/>
        <v>1369</v>
      </c>
      <c r="U818" s="16">
        <f t="shared" si="571"/>
        <v>2521</v>
      </c>
      <c r="V818" s="16">
        <f>(V247)</f>
        <v>1486</v>
      </c>
      <c r="W818" s="16">
        <f>(W247)</f>
        <v>0</v>
      </c>
      <c r="X818" s="16">
        <f>(X247)</f>
        <v>0</v>
      </c>
      <c r="Y818" s="16"/>
      <c r="Z818" s="16"/>
      <c r="AA818" s="16"/>
      <c r="AB818" s="16"/>
      <c r="AC818" s="16"/>
      <c r="AD818" s="16"/>
      <c r="AE818" s="16"/>
      <c r="AF818" s="16"/>
      <c r="AG818" s="16"/>
      <c r="AH818" s="83"/>
      <c r="AI818" s="83"/>
      <c r="AJ818" s="83"/>
      <c r="AK818" s="83"/>
      <c r="AL818" s="111"/>
      <c r="AM818" s="111"/>
      <c r="AN818" s="111"/>
      <c r="AO818" s="111"/>
      <c r="AP818" s="111"/>
    </row>
    <row r="819" spans="1:42" ht="15.75" outlineLevel="1">
      <c r="A819" s="35" t="s">
        <v>217</v>
      </c>
      <c r="B819" s="15" t="s">
        <v>357</v>
      </c>
      <c r="C819" s="14">
        <f aca="true" t="shared" si="572" ref="C819:L819">SUM(C817:C818)</f>
        <v>134063</v>
      </c>
      <c r="D819" s="14">
        <f t="shared" si="572"/>
        <v>138931</v>
      </c>
      <c r="E819" s="14">
        <f t="shared" si="572"/>
        <v>149101</v>
      </c>
      <c r="F819" s="14">
        <f t="shared" si="572"/>
        <v>134539</v>
      </c>
      <c r="G819" s="14">
        <f t="shared" si="572"/>
        <v>143011</v>
      </c>
      <c r="H819" s="14">
        <f t="shared" si="572"/>
        <v>150845</v>
      </c>
      <c r="I819" s="14">
        <f t="shared" si="572"/>
        <v>145207</v>
      </c>
      <c r="J819" s="14">
        <f t="shared" si="572"/>
        <v>137288</v>
      </c>
      <c r="K819" s="14">
        <f t="shared" si="572"/>
        <v>136454</v>
      </c>
      <c r="L819" s="14">
        <f t="shared" si="572"/>
        <v>128380</v>
      </c>
      <c r="M819" s="14">
        <f aca="true" t="shared" si="573" ref="M819:U819">SUM(M817:M818)</f>
        <v>141125</v>
      </c>
      <c r="N819" s="14">
        <f t="shared" si="573"/>
        <v>146838</v>
      </c>
      <c r="O819" s="14">
        <f t="shared" si="573"/>
        <v>159944</v>
      </c>
      <c r="P819" s="14">
        <f t="shared" si="573"/>
        <v>178951</v>
      </c>
      <c r="Q819" s="14">
        <f t="shared" si="573"/>
        <v>176127</v>
      </c>
      <c r="R819" s="14">
        <f t="shared" si="573"/>
        <v>174364</v>
      </c>
      <c r="S819" s="14">
        <f t="shared" si="573"/>
        <v>175819</v>
      </c>
      <c r="T819" s="14">
        <f t="shared" si="573"/>
        <v>170805</v>
      </c>
      <c r="U819" s="14">
        <f t="shared" si="573"/>
        <v>154659</v>
      </c>
      <c r="V819" s="14">
        <f aca="true" t="shared" si="574" ref="V819:AG819">(SUM(V817:V818))</f>
        <v>65397</v>
      </c>
      <c r="W819" s="14">
        <f t="shared" si="574"/>
        <v>0</v>
      </c>
      <c r="X819" s="14">
        <f t="shared" si="574"/>
        <v>-1605</v>
      </c>
      <c r="Y819" s="14">
        <f t="shared" si="574"/>
        <v>0</v>
      </c>
      <c r="Z819" s="14">
        <f t="shared" si="574"/>
        <v>0</v>
      </c>
      <c r="AA819" s="14">
        <f t="shared" si="574"/>
        <v>0</v>
      </c>
      <c r="AB819" s="14">
        <f t="shared" si="574"/>
        <v>0</v>
      </c>
      <c r="AC819" s="14">
        <f t="shared" si="574"/>
        <v>0</v>
      </c>
      <c r="AD819" s="14">
        <f t="shared" si="574"/>
        <v>0</v>
      </c>
      <c r="AE819" s="14">
        <f t="shared" si="574"/>
        <v>0</v>
      </c>
      <c r="AF819" s="14">
        <f t="shared" si="574"/>
        <v>0</v>
      </c>
      <c r="AG819" s="14">
        <f t="shared" si="574"/>
        <v>0</v>
      </c>
      <c r="AH819" s="14">
        <f aca="true" t="shared" si="575" ref="AH819:AP819">(SUM(AH817:AH818))</f>
        <v>0</v>
      </c>
      <c r="AI819" s="14">
        <f t="shared" si="575"/>
        <v>0</v>
      </c>
      <c r="AJ819" s="14">
        <f t="shared" si="575"/>
        <v>0</v>
      </c>
      <c r="AK819" s="14">
        <f t="shared" si="575"/>
        <v>0</v>
      </c>
      <c r="AL819" s="70">
        <f t="shared" si="575"/>
        <v>0</v>
      </c>
      <c r="AM819" s="70">
        <f t="shared" si="575"/>
        <v>0</v>
      </c>
      <c r="AN819" s="70">
        <f t="shared" si="575"/>
        <v>0</v>
      </c>
      <c r="AO819" s="70">
        <f t="shared" si="575"/>
        <v>0</v>
      </c>
      <c r="AP819" s="70">
        <f t="shared" si="575"/>
        <v>0</v>
      </c>
    </row>
    <row r="820" spans="1:42" ht="15.75" outlineLevel="1">
      <c r="A820" s="14"/>
      <c r="B820" s="15" t="s">
        <v>357</v>
      </c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70"/>
      <c r="AM820" s="70"/>
      <c r="AN820" s="70"/>
      <c r="AO820" s="70"/>
      <c r="AP820" s="70"/>
    </row>
    <row r="821" spans="1:42" ht="15.75" outlineLevel="1">
      <c r="A821" s="15" t="s">
        <v>131</v>
      </c>
      <c r="B821" s="15" t="s">
        <v>357</v>
      </c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70"/>
      <c r="AM821" s="70"/>
      <c r="AN821" s="70"/>
      <c r="AO821" s="70"/>
      <c r="AP821" s="70"/>
    </row>
    <row r="822" spans="1:42" ht="15.75" outlineLevel="1">
      <c r="A822" s="35" t="s">
        <v>201</v>
      </c>
      <c r="B822" s="15" t="s">
        <v>357</v>
      </c>
      <c r="C822" s="14">
        <f aca="true" t="shared" si="576" ref="C822:U822">C279</f>
        <v>186717</v>
      </c>
      <c r="D822" s="14">
        <f t="shared" si="576"/>
        <v>255892</v>
      </c>
      <c r="E822" s="14">
        <f t="shared" si="576"/>
        <v>308403</v>
      </c>
      <c r="F822" s="14">
        <f t="shared" si="576"/>
        <v>287256</v>
      </c>
      <c r="G822" s="14">
        <f t="shared" si="576"/>
        <v>278330</v>
      </c>
      <c r="H822" s="14">
        <f t="shared" si="576"/>
        <v>260856</v>
      </c>
      <c r="I822" s="14">
        <f t="shared" si="576"/>
        <v>325292</v>
      </c>
      <c r="J822" s="14">
        <f t="shared" si="576"/>
        <v>374372</v>
      </c>
      <c r="K822" s="14">
        <f t="shared" si="576"/>
        <v>433825</v>
      </c>
      <c r="L822" s="14">
        <f t="shared" si="576"/>
        <v>367541</v>
      </c>
      <c r="M822" s="14">
        <f t="shared" si="576"/>
        <v>446286</v>
      </c>
      <c r="N822" s="14">
        <f t="shared" si="576"/>
        <v>423434</v>
      </c>
      <c r="O822" s="14">
        <f t="shared" si="576"/>
        <v>480019</v>
      </c>
      <c r="P822" s="14">
        <f t="shared" si="576"/>
        <v>588900</v>
      </c>
      <c r="Q822" s="14">
        <f t="shared" si="576"/>
        <v>692961</v>
      </c>
      <c r="R822" s="14">
        <f t="shared" si="576"/>
        <v>761234</v>
      </c>
      <c r="S822" s="14">
        <f t="shared" si="576"/>
        <v>750288</v>
      </c>
      <c r="T822" s="14">
        <f t="shared" si="576"/>
        <v>706540</v>
      </c>
      <c r="U822" s="14">
        <f t="shared" si="576"/>
        <v>657258</v>
      </c>
      <c r="V822" s="14">
        <f aca="true" t="shared" si="577" ref="V822:AA822">(V279)</f>
        <v>653615</v>
      </c>
      <c r="W822" s="14">
        <f t="shared" si="577"/>
        <v>773896</v>
      </c>
      <c r="X822" s="14">
        <f t="shared" si="577"/>
        <v>867232</v>
      </c>
      <c r="Y822" s="14">
        <f t="shared" si="577"/>
        <v>838438</v>
      </c>
      <c r="Z822" s="14">
        <f t="shared" si="577"/>
        <v>886518</v>
      </c>
      <c r="AA822" s="14">
        <f t="shared" si="577"/>
        <v>1276900</v>
      </c>
      <c r="AB822" s="14">
        <f aca="true" t="shared" si="578" ref="AB822:AL822">(AB279)</f>
        <v>1259128</v>
      </c>
      <c r="AC822" s="14">
        <f t="shared" si="578"/>
        <v>1281264</v>
      </c>
      <c r="AD822" s="14">
        <f t="shared" si="578"/>
        <v>1263617.312</v>
      </c>
      <c r="AE822" s="14">
        <f t="shared" si="578"/>
        <v>1285227</v>
      </c>
      <c r="AF822" s="14">
        <f t="shared" si="578"/>
        <v>1303433.3650000002</v>
      </c>
      <c r="AG822" s="14">
        <f t="shared" si="578"/>
        <v>1318929</v>
      </c>
      <c r="AH822" s="14">
        <f t="shared" si="578"/>
        <v>1326053</v>
      </c>
      <c r="AI822" s="14">
        <f t="shared" si="578"/>
        <v>1292039</v>
      </c>
      <c r="AJ822" s="14">
        <f>(AJ279)</f>
        <v>1332174</v>
      </c>
      <c r="AK822" s="14">
        <f>(AK279)</f>
        <v>1470527</v>
      </c>
      <c r="AL822" s="70">
        <f t="shared" si="578"/>
        <v>1318127</v>
      </c>
      <c r="AM822" s="70">
        <f>(AM279)</f>
        <v>1291536</v>
      </c>
      <c r="AN822" s="70">
        <f>(AN279)</f>
        <v>1270493</v>
      </c>
      <c r="AO822" s="70">
        <f>(AO279)</f>
        <v>1338109</v>
      </c>
      <c r="AP822" s="70">
        <f>(AP279)</f>
        <v>1286769</v>
      </c>
    </row>
    <row r="823" spans="1:42" ht="15.75" outlineLevel="1">
      <c r="A823" s="35" t="s">
        <v>269</v>
      </c>
      <c r="B823" s="15" t="s">
        <v>357</v>
      </c>
      <c r="C823" s="14">
        <f aca="true" t="shared" si="579" ref="C823:U823">C299</f>
        <v>132242</v>
      </c>
      <c r="D823" s="14">
        <f t="shared" si="579"/>
        <v>109616</v>
      </c>
      <c r="E823" s="14">
        <f t="shared" si="579"/>
        <v>130485</v>
      </c>
      <c r="F823" s="14">
        <f t="shared" si="579"/>
        <v>145729</v>
      </c>
      <c r="G823" s="14">
        <f t="shared" si="579"/>
        <v>145895</v>
      </c>
      <c r="H823" s="14">
        <f t="shared" si="579"/>
        <v>177397</v>
      </c>
      <c r="I823" s="14">
        <f t="shared" si="579"/>
        <v>167381</v>
      </c>
      <c r="J823" s="14">
        <f t="shared" si="579"/>
        <v>148746</v>
      </c>
      <c r="K823" s="14">
        <f t="shared" si="579"/>
        <v>147591</v>
      </c>
      <c r="L823" s="14">
        <f t="shared" si="579"/>
        <v>142341</v>
      </c>
      <c r="M823" s="14">
        <f t="shared" si="579"/>
        <v>131524</v>
      </c>
      <c r="N823" s="14">
        <f t="shared" si="579"/>
        <v>154047</v>
      </c>
      <c r="O823" s="14">
        <f t="shared" si="579"/>
        <v>163034</v>
      </c>
      <c r="P823" s="14">
        <f t="shared" si="579"/>
        <v>170194</v>
      </c>
      <c r="Q823" s="14">
        <f t="shared" si="579"/>
        <v>212236</v>
      </c>
      <c r="R823" s="14">
        <f t="shared" si="579"/>
        <v>232157</v>
      </c>
      <c r="S823" s="14">
        <f t="shared" si="579"/>
        <v>328420</v>
      </c>
      <c r="T823" s="14">
        <f t="shared" si="579"/>
        <v>286652</v>
      </c>
      <c r="U823" s="14">
        <f t="shared" si="579"/>
        <v>375294</v>
      </c>
      <c r="V823" s="14">
        <f aca="true" t="shared" si="580" ref="V823:AA823">(V299)</f>
        <v>347505</v>
      </c>
      <c r="W823" s="14">
        <f t="shared" si="580"/>
        <v>335821</v>
      </c>
      <c r="X823" s="14">
        <f t="shared" si="580"/>
        <v>278415</v>
      </c>
      <c r="Y823" s="14">
        <f t="shared" si="580"/>
        <v>307948</v>
      </c>
      <c r="Z823" s="14">
        <f t="shared" si="580"/>
        <v>316531</v>
      </c>
      <c r="AA823" s="14">
        <f t="shared" si="580"/>
        <v>327420</v>
      </c>
      <c r="AB823" s="14">
        <f aca="true" t="shared" si="581" ref="AB823:AL823">(AB299)</f>
        <v>304135</v>
      </c>
      <c r="AC823" s="14">
        <f t="shared" si="581"/>
        <v>327225</v>
      </c>
      <c r="AD823" s="14">
        <f t="shared" si="581"/>
        <v>328298</v>
      </c>
      <c r="AE823" s="14">
        <f t="shared" si="581"/>
        <v>329496</v>
      </c>
      <c r="AF823" s="14">
        <f t="shared" si="581"/>
        <v>318588</v>
      </c>
      <c r="AG823" s="14">
        <f t="shared" si="581"/>
        <v>316750</v>
      </c>
      <c r="AH823" s="14">
        <f t="shared" si="581"/>
        <v>331909</v>
      </c>
      <c r="AI823" s="14">
        <f t="shared" si="581"/>
        <v>350879</v>
      </c>
      <c r="AJ823" s="14">
        <f>(AJ299)</f>
        <v>353463</v>
      </c>
      <c r="AK823" s="14">
        <f>(AK299)</f>
        <v>364133</v>
      </c>
      <c r="AL823" s="70">
        <f t="shared" si="581"/>
        <v>364133</v>
      </c>
      <c r="AM823" s="70">
        <f>(AM299)</f>
        <v>380737</v>
      </c>
      <c r="AN823" s="70">
        <f>(AN299)</f>
        <v>394621</v>
      </c>
      <c r="AO823" s="70">
        <f>(AO299)</f>
        <v>394621</v>
      </c>
      <c r="AP823" s="70">
        <f>(AP299)</f>
        <v>404204</v>
      </c>
    </row>
    <row r="824" spans="1:42" ht="15.75" outlineLevel="1">
      <c r="A824" s="35" t="s">
        <v>270</v>
      </c>
      <c r="B824" s="15" t="s">
        <v>357</v>
      </c>
      <c r="C824" s="16">
        <f aca="true" t="shared" si="582" ref="C824:U824">C305</f>
        <v>2176</v>
      </c>
      <c r="D824" s="16">
        <f t="shared" si="582"/>
        <v>2324</v>
      </c>
      <c r="E824" s="16">
        <f t="shared" si="582"/>
        <v>2551</v>
      </c>
      <c r="F824" s="16">
        <f t="shared" si="582"/>
        <v>2361</v>
      </c>
      <c r="G824" s="16">
        <f t="shared" si="582"/>
        <v>3327</v>
      </c>
      <c r="H824" s="16">
        <f t="shared" si="582"/>
        <v>3210</v>
      </c>
      <c r="I824" s="16">
        <f t="shared" si="582"/>
        <v>3738</v>
      </c>
      <c r="J824" s="16">
        <f t="shared" si="582"/>
        <v>3537</v>
      </c>
      <c r="K824" s="16">
        <f t="shared" si="582"/>
        <v>4075</v>
      </c>
      <c r="L824" s="16">
        <f t="shared" si="582"/>
        <v>127715</v>
      </c>
      <c r="M824" s="16">
        <f t="shared" si="582"/>
        <v>144685</v>
      </c>
      <c r="N824" s="16">
        <f t="shared" si="582"/>
        <v>168360</v>
      </c>
      <c r="O824" s="16">
        <f t="shared" si="582"/>
        <v>190899</v>
      </c>
      <c r="P824" s="16">
        <f t="shared" si="582"/>
        <v>195825</v>
      </c>
      <c r="Q824" s="16">
        <f t="shared" si="582"/>
        <v>195609</v>
      </c>
      <c r="R824" s="16">
        <f t="shared" si="582"/>
        <v>232125</v>
      </c>
      <c r="S824" s="16">
        <f t="shared" si="582"/>
        <v>228723</v>
      </c>
      <c r="T824" s="16">
        <f t="shared" si="582"/>
        <v>212807</v>
      </c>
      <c r="U824" s="16">
        <f t="shared" si="582"/>
        <v>238656</v>
      </c>
      <c r="V824" s="16">
        <f aca="true" t="shared" si="583" ref="V824:AA824">(V305)</f>
        <v>238262</v>
      </c>
      <c r="W824" s="16">
        <f t="shared" si="583"/>
        <v>319086</v>
      </c>
      <c r="X824" s="16">
        <f t="shared" si="583"/>
        <v>315131</v>
      </c>
      <c r="Y824" s="16">
        <f t="shared" si="583"/>
        <v>266770</v>
      </c>
      <c r="Z824" s="16">
        <f t="shared" si="583"/>
        <v>303884</v>
      </c>
      <c r="AA824" s="16">
        <f t="shared" si="583"/>
        <v>306281</v>
      </c>
      <c r="AB824" s="16">
        <f aca="true" t="shared" si="584" ref="AB824:AL824">(AB305)</f>
        <v>359302</v>
      </c>
      <c r="AC824" s="16">
        <f t="shared" si="584"/>
        <v>334294</v>
      </c>
      <c r="AD824" s="16">
        <f t="shared" si="584"/>
        <v>332290</v>
      </c>
      <c r="AE824" s="16">
        <f t="shared" si="584"/>
        <v>341576</v>
      </c>
      <c r="AF824" s="16">
        <f t="shared" si="584"/>
        <v>349515</v>
      </c>
      <c r="AG824" s="16">
        <f t="shared" si="584"/>
        <v>348859</v>
      </c>
      <c r="AH824" s="16">
        <f t="shared" si="584"/>
        <v>373955</v>
      </c>
      <c r="AI824" s="16">
        <f t="shared" si="584"/>
        <v>342797</v>
      </c>
      <c r="AJ824" s="16">
        <f>(AJ305)</f>
        <v>342117</v>
      </c>
      <c r="AK824" s="16">
        <f>(AK305)</f>
        <v>367066</v>
      </c>
      <c r="AL824" s="104">
        <f t="shared" si="584"/>
        <v>367066</v>
      </c>
      <c r="AM824" s="104">
        <f>(AM305)</f>
        <v>427409</v>
      </c>
      <c r="AN824" s="104">
        <f>(AN305)</f>
        <v>435592</v>
      </c>
      <c r="AO824" s="104">
        <f>(AO305)</f>
        <v>435592</v>
      </c>
      <c r="AP824" s="104">
        <f>(AP305)</f>
        <v>455207</v>
      </c>
    </row>
    <row r="825" spans="1:42" ht="15.75" outlineLevel="1">
      <c r="A825" s="35" t="s">
        <v>217</v>
      </c>
      <c r="B825" s="15" t="s">
        <v>357</v>
      </c>
      <c r="C825" s="14">
        <f aca="true" t="shared" si="585" ref="C825:L825">SUM(C822:C824)</f>
        <v>321135</v>
      </c>
      <c r="D825" s="14">
        <f t="shared" si="585"/>
        <v>367832</v>
      </c>
      <c r="E825" s="14">
        <f t="shared" si="585"/>
        <v>441439</v>
      </c>
      <c r="F825" s="14">
        <f t="shared" si="585"/>
        <v>435346</v>
      </c>
      <c r="G825" s="14">
        <f t="shared" si="585"/>
        <v>427552</v>
      </c>
      <c r="H825" s="14">
        <f t="shared" si="585"/>
        <v>441463</v>
      </c>
      <c r="I825" s="14">
        <f t="shared" si="585"/>
        <v>496411</v>
      </c>
      <c r="J825" s="14">
        <f t="shared" si="585"/>
        <v>526655</v>
      </c>
      <c r="K825" s="14">
        <f t="shared" si="585"/>
        <v>585491</v>
      </c>
      <c r="L825" s="14">
        <f t="shared" si="585"/>
        <v>637597</v>
      </c>
      <c r="M825" s="14">
        <f aca="true" t="shared" si="586" ref="M825:U825">SUM(M822:M824)</f>
        <v>722495</v>
      </c>
      <c r="N825" s="14">
        <f t="shared" si="586"/>
        <v>745841</v>
      </c>
      <c r="O825" s="14">
        <f t="shared" si="586"/>
        <v>833952</v>
      </c>
      <c r="P825" s="14">
        <f t="shared" si="586"/>
        <v>954919</v>
      </c>
      <c r="Q825" s="14">
        <f t="shared" si="586"/>
        <v>1100806</v>
      </c>
      <c r="R825" s="14">
        <f t="shared" si="586"/>
        <v>1225516</v>
      </c>
      <c r="S825" s="14">
        <f t="shared" si="586"/>
        <v>1307431</v>
      </c>
      <c r="T825" s="14">
        <f t="shared" si="586"/>
        <v>1205999</v>
      </c>
      <c r="U825" s="14">
        <f t="shared" si="586"/>
        <v>1271208</v>
      </c>
      <c r="V825" s="14">
        <f aca="true" t="shared" si="587" ref="V825:AE825">(SUM(V822:V824))</f>
        <v>1239382</v>
      </c>
      <c r="W825" s="14">
        <f t="shared" si="587"/>
        <v>1428803</v>
      </c>
      <c r="X825" s="14">
        <f t="shared" si="587"/>
        <v>1460778</v>
      </c>
      <c r="Y825" s="14">
        <f t="shared" si="587"/>
        <v>1413156</v>
      </c>
      <c r="Z825" s="14">
        <f t="shared" si="587"/>
        <v>1506933</v>
      </c>
      <c r="AA825" s="14">
        <f t="shared" si="587"/>
        <v>1910601</v>
      </c>
      <c r="AB825" s="14">
        <f t="shared" si="587"/>
        <v>1922565</v>
      </c>
      <c r="AC825" s="14">
        <f t="shared" si="587"/>
        <v>1942783</v>
      </c>
      <c r="AD825" s="14">
        <f t="shared" si="587"/>
        <v>1924205.312</v>
      </c>
      <c r="AE825" s="14">
        <f t="shared" si="587"/>
        <v>1956299</v>
      </c>
      <c r="AF825" s="14">
        <f aca="true" t="shared" si="588" ref="AF825:AP825">(SUM(AF822:AF824))</f>
        <v>1971536.3650000002</v>
      </c>
      <c r="AG825" s="14">
        <f t="shared" si="588"/>
        <v>1984538</v>
      </c>
      <c r="AH825" s="14">
        <f t="shared" si="588"/>
        <v>2031917</v>
      </c>
      <c r="AI825" s="14">
        <f t="shared" si="588"/>
        <v>1985715</v>
      </c>
      <c r="AJ825" s="14">
        <f t="shared" si="588"/>
        <v>2027754</v>
      </c>
      <c r="AK825" s="14">
        <f t="shared" si="588"/>
        <v>2201726</v>
      </c>
      <c r="AL825" s="70">
        <f t="shared" si="588"/>
        <v>2049326</v>
      </c>
      <c r="AM825" s="70">
        <f t="shared" si="588"/>
        <v>2099682</v>
      </c>
      <c r="AN825" s="70">
        <f t="shared" si="588"/>
        <v>2100706</v>
      </c>
      <c r="AO825" s="70">
        <f t="shared" si="588"/>
        <v>2168322</v>
      </c>
      <c r="AP825" s="70">
        <f t="shared" si="588"/>
        <v>2146180</v>
      </c>
    </row>
    <row r="826" spans="1:42" ht="15.75" outlineLevel="1">
      <c r="A826" s="14"/>
      <c r="B826" s="15" t="s">
        <v>357</v>
      </c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70"/>
      <c r="AM826" s="70"/>
      <c r="AN826" s="70"/>
      <c r="AO826" s="70"/>
      <c r="AP826" s="70"/>
    </row>
    <row r="827" spans="1:42" ht="15.75" hidden="1" collapsed="1">
      <c r="A827" s="15" t="s">
        <v>228</v>
      </c>
      <c r="B827" s="15" t="s">
        <v>357</v>
      </c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70"/>
      <c r="AM827" s="70"/>
      <c r="AN827" s="70"/>
      <c r="AO827" s="70"/>
      <c r="AP827" s="70"/>
    </row>
    <row r="828" spans="1:42" ht="15.75" hidden="1">
      <c r="A828" s="35" t="s">
        <v>201</v>
      </c>
      <c r="B828" s="15" t="s">
        <v>357</v>
      </c>
      <c r="C828" s="14"/>
      <c r="D828" s="14"/>
      <c r="E828" s="14"/>
      <c r="F828" s="14"/>
      <c r="G828" s="14"/>
      <c r="H828" s="14"/>
      <c r="I828" s="14"/>
      <c r="J828" s="14"/>
      <c r="K828" s="48">
        <v>0</v>
      </c>
      <c r="L828" s="14"/>
      <c r="M828" s="14"/>
      <c r="N828" s="14"/>
      <c r="O828" s="14"/>
      <c r="P828" s="14"/>
      <c r="Q828" s="14"/>
      <c r="R828" s="14"/>
      <c r="S828" s="14"/>
      <c r="T828" s="14">
        <f>T318</f>
        <v>164249</v>
      </c>
      <c r="U828" s="14">
        <f>U318</f>
        <v>152109</v>
      </c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70"/>
      <c r="AM828" s="70"/>
      <c r="AN828" s="70"/>
      <c r="AO828" s="70"/>
      <c r="AP828" s="70"/>
    </row>
    <row r="829" spans="1:42" ht="15.75" hidden="1">
      <c r="A829" s="35" t="s">
        <v>269</v>
      </c>
      <c r="B829" s="15" t="s">
        <v>357</v>
      </c>
      <c r="C829" s="14"/>
      <c r="D829" s="14"/>
      <c r="E829" s="14"/>
      <c r="F829" s="14"/>
      <c r="G829" s="14"/>
      <c r="H829" s="14"/>
      <c r="I829" s="14"/>
      <c r="J829" s="14"/>
      <c r="K829" s="48" t="s">
        <v>357</v>
      </c>
      <c r="L829" s="14"/>
      <c r="M829" s="14"/>
      <c r="N829" s="14"/>
      <c r="O829" s="14"/>
      <c r="P829" s="14"/>
      <c r="Q829" s="14"/>
      <c r="R829" s="14"/>
      <c r="S829" s="14"/>
      <c r="T829" s="39">
        <f>T328</f>
        <v>75</v>
      </c>
      <c r="U829" s="39">
        <f>U328</f>
        <v>132</v>
      </c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105"/>
      <c r="AM829" s="105"/>
      <c r="AN829" s="105"/>
      <c r="AO829" s="105"/>
      <c r="AP829" s="105"/>
    </row>
    <row r="830" spans="1:42" ht="15.75" hidden="1">
      <c r="A830" s="35" t="s">
        <v>270</v>
      </c>
      <c r="B830" s="15" t="s">
        <v>357</v>
      </c>
      <c r="C830" s="14"/>
      <c r="D830" s="14"/>
      <c r="E830" s="14"/>
      <c r="F830" s="14"/>
      <c r="G830" s="14"/>
      <c r="H830" s="14"/>
      <c r="I830" s="14"/>
      <c r="J830" s="14"/>
      <c r="K830" s="48"/>
      <c r="L830" s="14"/>
      <c r="M830" s="14"/>
      <c r="N830" s="14"/>
      <c r="O830" s="14"/>
      <c r="P830" s="14"/>
      <c r="Q830" s="14"/>
      <c r="R830" s="14"/>
      <c r="S830" s="14"/>
      <c r="T830" s="16">
        <f>T326</f>
        <v>75</v>
      </c>
      <c r="U830" s="16">
        <f>U326</f>
        <v>50</v>
      </c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04"/>
      <c r="AM830" s="104"/>
      <c r="AN830" s="104"/>
      <c r="AO830" s="104"/>
      <c r="AP830" s="104"/>
    </row>
    <row r="831" spans="1:42" ht="15.75" hidden="1">
      <c r="A831" s="35" t="s">
        <v>217</v>
      </c>
      <c r="B831" s="15" t="s">
        <v>357</v>
      </c>
      <c r="C831" s="14"/>
      <c r="D831" s="14"/>
      <c r="E831" s="14"/>
      <c r="F831" s="14"/>
      <c r="G831" s="14"/>
      <c r="H831" s="14"/>
      <c r="I831" s="14"/>
      <c r="J831" s="14"/>
      <c r="K831" s="48" t="s">
        <v>357</v>
      </c>
      <c r="L831" s="14"/>
      <c r="M831" s="14"/>
      <c r="N831" s="14"/>
      <c r="O831" s="14"/>
      <c r="P831" s="14"/>
      <c r="Q831" s="14"/>
      <c r="R831" s="14"/>
      <c r="S831" s="14"/>
      <c r="T831" s="14">
        <f aca="true" t="shared" si="589" ref="T831:AG831">SUM(T828:T830)</f>
        <v>164399</v>
      </c>
      <c r="U831" s="14">
        <f t="shared" si="589"/>
        <v>152291</v>
      </c>
      <c r="V831" s="14">
        <f t="shared" si="589"/>
        <v>0</v>
      </c>
      <c r="W831" s="14">
        <f t="shared" si="589"/>
        <v>0</v>
      </c>
      <c r="X831" s="14">
        <f t="shared" si="589"/>
        <v>0</v>
      </c>
      <c r="Y831" s="14">
        <f t="shared" si="589"/>
        <v>0</v>
      </c>
      <c r="Z831" s="14">
        <f t="shared" si="589"/>
        <v>0</v>
      </c>
      <c r="AA831" s="14">
        <f t="shared" si="589"/>
        <v>0</v>
      </c>
      <c r="AB831" s="14">
        <f t="shared" si="589"/>
        <v>0</v>
      </c>
      <c r="AC831" s="14">
        <f t="shared" si="589"/>
        <v>0</v>
      </c>
      <c r="AD831" s="14">
        <f t="shared" si="589"/>
        <v>0</v>
      </c>
      <c r="AE831" s="14">
        <f t="shared" si="589"/>
        <v>0</v>
      </c>
      <c r="AF831" s="14">
        <f t="shared" si="589"/>
        <v>0</v>
      </c>
      <c r="AG831" s="14">
        <f t="shared" si="589"/>
        <v>0</v>
      </c>
      <c r="AH831" s="14">
        <f aca="true" t="shared" si="590" ref="AH831:AP831">SUM(AH828:AH830)</f>
        <v>0</v>
      </c>
      <c r="AI831" s="14">
        <f t="shared" si="590"/>
        <v>0</v>
      </c>
      <c r="AJ831" s="14">
        <f t="shared" si="590"/>
        <v>0</v>
      </c>
      <c r="AK831" s="14">
        <f t="shared" si="590"/>
        <v>0</v>
      </c>
      <c r="AL831" s="70">
        <f t="shared" si="590"/>
        <v>0</v>
      </c>
      <c r="AM831" s="70">
        <f t="shared" si="590"/>
        <v>0</v>
      </c>
      <c r="AN831" s="70">
        <f t="shared" si="590"/>
        <v>0</v>
      </c>
      <c r="AO831" s="70">
        <f t="shared" si="590"/>
        <v>0</v>
      </c>
      <c r="AP831" s="70">
        <f t="shared" si="590"/>
        <v>0</v>
      </c>
    </row>
    <row r="832" spans="1:42" ht="15.75" hidden="1">
      <c r="A832" s="35"/>
      <c r="B832" s="15" t="s">
        <v>357</v>
      </c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70"/>
      <c r="AM832" s="70"/>
      <c r="AN832" s="70"/>
      <c r="AO832" s="70"/>
      <c r="AP832" s="70"/>
    </row>
    <row r="833" spans="1:42" ht="15.75">
      <c r="A833" s="15" t="s">
        <v>364</v>
      </c>
      <c r="B833" s="15" t="s">
        <v>357</v>
      </c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70"/>
      <c r="AM833" s="70"/>
      <c r="AN833" s="70"/>
      <c r="AO833" s="70"/>
      <c r="AP833" s="70"/>
    </row>
    <row r="834" spans="1:42" ht="15.75">
      <c r="A834" s="35" t="s">
        <v>201</v>
      </c>
      <c r="B834" s="15" t="s">
        <v>357</v>
      </c>
      <c r="C834" s="14">
        <f aca="true" t="shared" si="591" ref="C834:U834">C357</f>
        <v>470208</v>
      </c>
      <c r="D834" s="14">
        <f t="shared" si="591"/>
        <v>520616</v>
      </c>
      <c r="E834" s="14">
        <f t="shared" si="591"/>
        <v>525747</v>
      </c>
      <c r="F834" s="14">
        <f t="shared" si="591"/>
        <v>513938</v>
      </c>
      <c r="G834" s="14">
        <f t="shared" si="591"/>
        <v>838522</v>
      </c>
      <c r="H834" s="14">
        <f t="shared" si="591"/>
        <v>800781</v>
      </c>
      <c r="I834" s="14">
        <f t="shared" si="591"/>
        <v>1077271</v>
      </c>
      <c r="J834" s="14">
        <f t="shared" si="591"/>
        <v>942829</v>
      </c>
      <c r="K834" s="14">
        <f t="shared" si="591"/>
        <v>984345</v>
      </c>
      <c r="L834" s="14">
        <f t="shared" si="591"/>
        <v>836935</v>
      </c>
      <c r="M834" s="14">
        <f t="shared" si="591"/>
        <v>945577</v>
      </c>
      <c r="N834" s="14">
        <f t="shared" si="591"/>
        <v>942171</v>
      </c>
      <c r="O834" s="14">
        <f t="shared" si="591"/>
        <v>1078230</v>
      </c>
      <c r="P834" s="14">
        <f t="shared" si="591"/>
        <v>1252782</v>
      </c>
      <c r="Q834" s="14">
        <f t="shared" si="591"/>
        <v>1372830</v>
      </c>
      <c r="R834" s="14">
        <f t="shared" si="591"/>
        <v>1470685</v>
      </c>
      <c r="S834" s="14">
        <f t="shared" si="591"/>
        <v>1413173</v>
      </c>
      <c r="T834" s="14">
        <f t="shared" si="591"/>
        <v>1520349</v>
      </c>
      <c r="U834" s="14">
        <f t="shared" si="591"/>
        <v>1403153</v>
      </c>
      <c r="V834" s="14">
        <f aca="true" t="shared" si="592" ref="V834:AA834">(V357)</f>
        <v>1391050</v>
      </c>
      <c r="W834" s="14">
        <f t="shared" si="592"/>
        <v>1623337</v>
      </c>
      <c r="X834" s="14">
        <f t="shared" si="592"/>
        <v>1824539</v>
      </c>
      <c r="Y834" s="14">
        <f t="shared" si="592"/>
        <v>1791756</v>
      </c>
      <c r="Z834" s="14">
        <f t="shared" si="592"/>
        <v>1914189</v>
      </c>
      <c r="AA834" s="14">
        <f t="shared" si="592"/>
        <v>2223491</v>
      </c>
      <c r="AB834" s="14">
        <f aca="true" t="shared" si="593" ref="AB834:AL834">(AB357)</f>
        <v>2409472</v>
      </c>
      <c r="AC834" s="14">
        <f t="shared" si="593"/>
        <v>2383561</v>
      </c>
      <c r="AD834" s="14">
        <f t="shared" si="593"/>
        <v>2271926.284</v>
      </c>
      <c r="AE834" s="14">
        <f t="shared" si="593"/>
        <v>2391873</v>
      </c>
      <c r="AF834" s="14">
        <f t="shared" si="593"/>
        <v>2288580.1900000004</v>
      </c>
      <c r="AG834" s="14">
        <f t="shared" si="593"/>
        <v>2296852</v>
      </c>
      <c r="AH834" s="14">
        <f t="shared" si="593"/>
        <v>2390544</v>
      </c>
      <c r="AI834" s="14">
        <f t="shared" si="593"/>
        <v>2344881</v>
      </c>
      <c r="AJ834" s="14">
        <f>(AJ357)</f>
        <v>2391616</v>
      </c>
      <c r="AK834" s="14">
        <f>(AK357)</f>
        <v>2346344</v>
      </c>
      <c r="AL834" s="70">
        <f t="shared" si="593"/>
        <v>2287944</v>
      </c>
      <c r="AM834" s="70">
        <f>(AM357)</f>
        <v>2185823</v>
      </c>
      <c r="AN834" s="70">
        <f>(AN357)</f>
        <v>2132611</v>
      </c>
      <c r="AO834" s="70">
        <f>(AO357)</f>
        <v>2329960</v>
      </c>
      <c r="AP834" s="70">
        <f>(AP357)</f>
        <v>2393784</v>
      </c>
    </row>
    <row r="835" spans="1:42" ht="15.75">
      <c r="A835" s="35" t="s">
        <v>320</v>
      </c>
      <c r="B835" s="15" t="s">
        <v>357</v>
      </c>
      <c r="C835" s="14">
        <f aca="true" t="shared" si="594" ref="C835:U835">C360</f>
        <v>0</v>
      </c>
      <c r="D835" s="14">
        <f t="shared" si="594"/>
        <v>0</v>
      </c>
      <c r="E835" s="14">
        <f t="shared" si="594"/>
        <v>0</v>
      </c>
      <c r="F835" s="14">
        <f t="shared" si="594"/>
        <v>15500</v>
      </c>
      <c r="G835" s="14">
        <f t="shared" si="594"/>
        <v>-12000</v>
      </c>
      <c r="H835" s="14">
        <f t="shared" si="594"/>
        <v>0</v>
      </c>
      <c r="I835" s="14">
        <f t="shared" si="594"/>
        <v>0</v>
      </c>
      <c r="J835" s="14">
        <f t="shared" si="594"/>
        <v>0</v>
      </c>
      <c r="K835" s="14">
        <f t="shared" si="594"/>
        <v>0</v>
      </c>
      <c r="L835" s="14">
        <f t="shared" si="594"/>
        <v>0</v>
      </c>
      <c r="M835" s="14">
        <f t="shared" si="594"/>
        <v>0</v>
      </c>
      <c r="N835" s="14">
        <f t="shared" si="594"/>
        <v>0</v>
      </c>
      <c r="O835" s="14">
        <f t="shared" si="594"/>
        <v>0</v>
      </c>
      <c r="P835" s="14">
        <f t="shared" si="594"/>
        <v>0</v>
      </c>
      <c r="Q835" s="14">
        <f t="shared" si="594"/>
        <v>0</v>
      </c>
      <c r="R835" s="14">
        <f t="shared" si="594"/>
        <v>0</v>
      </c>
      <c r="S835" s="14">
        <f t="shared" si="594"/>
        <v>0</v>
      </c>
      <c r="T835" s="14">
        <f t="shared" si="594"/>
        <v>0</v>
      </c>
      <c r="U835" s="14">
        <f t="shared" si="594"/>
        <v>0</v>
      </c>
      <c r="V835" s="14">
        <f aca="true" t="shared" si="595" ref="V835:AA835">(V360)</f>
        <v>0</v>
      </c>
      <c r="W835" s="14">
        <f t="shared" si="595"/>
        <v>0</v>
      </c>
      <c r="X835" s="14">
        <f t="shared" si="595"/>
        <v>0</v>
      </c>
      <c r="Y835" s="14">
        <f t="shared" si="595"/>
        <v>0</v>
      </c>
      <c r="Z835" s="14">
        <f t="shared" si="595"/>
        <v>0</v>
      </c>
      <c r="AA835" s="14">
        <f t="shared" si="595"/>
        <v>0</v>
      </c>
      <c r="AB835" s="14">
        <f>(AB360)</f>
        <v>0</v>
      </c>
      <c r="AC835" s="14">
        <f>(AC360)</f>
        <v>0</v>
      </c>
      <c r="AD835" s="14">
        <f>(AD360)</f>
        <v>0</v>
      </c>
      <c r="AE835" s="14">
        <f>(AE360)</f>
        <v>0</v>
      </c>
      <c r="AF835" s="14">
        <f aca="true" t="shared" si="596" ref="AF835:AM835">(AF361)</f>
        <v>0</v>
      </c>
      <c r="AG835" s="14">
        <f t="shared" si="596"/>
        <v>0</v>
      </c>
      <c r="AH835" s="14">
        <f t="shared" si="596"/>
        <v>0</v>
      </c>
      <c r="AI835" s="14">
        <f t="shared" si="596"/>
        <v>0</v>
      </c>
      <c r="AJ835" s="14">
        <f t="shared" si="596"/>
        <v>0</v>
      </c>
      <c r="AK835" s="14">
        <f>(AK361)</f>
        <v>0</v>
      </c>
      <c r="AL835" s="70">
        <f t="shared" si="596"/>
        <v>0</v>
      </c>
      <c r="AM835" s="70">
        <f t="shared" si="596"/>
        <v>0</v>
      </c>
      <c r="AN835" s="70">
        <f>(AN361)</f>
        <v>0</v>
      </c>
      <c r="AO835" s="70">
        <f>(AO361)</f>
        <v>0</v>
      </c>
      <c r="AP835" s="70">
        <f>(AP361)</f>
        <v>0</v>
      </c>
    </row>
    <row r="836" spans="1:42" ht="15.75">
      <c r="A836" s="35" t="s">
        <v>269</v>
      </c>
      <c r="B836" s="15" t="s">
        <v>357</v>
      </c>
      <c r="C836" s="14">
        <f aca="true" t="shared" si="597" ref="C836:U836">C388</f>
        <v>5186</v>
      </c>
      <c r="D836" s="14">
        <f t="shared" si="597"/>
        <v>698</v>
      </c>
      <c r="E836" s="14">
        <f t="shared" si="597"/>
        <v>404</v>
      </c>
      <c r="F836" s="14">
        <f t="shared" si="597"/>
        <v>409</v>
      </c>
      <c r="G836" s="14">
        <f t="shared" si="597"/>
        <v>437</v>
      </c>
      <c r="H836" s="14">
        <f t="shared" si="597"/>
        <v>411</v>
      </c>
      <c r="I836" s="14">
        <f t="shared" si="597"/>
        <v>466</v>
      </c>
      <c r="J836" s="14">
        <f t="shared" si="597"/>
        <v>994</v>
      </c>
      <c r="K836" s="14">
        <f t="shared" si="597"/>
        <v>9062</v>
      </c>
      <c r="L836" s="14">
        <f t="shared" si="597"/>
        <v>9928</v>
      </c>
      <c r="M836" s="14">
        <f t="shared" si="597"/>
        <v>9766</v>
      </c>
      <c r="N836" s="14">
        <f t="shared" si="597"/>
        <v>9620</v>
      </c>
      <c r="O836" s="14">
        <f t="shared" si="597"/>
        <v>9697</v>
      </c>
      <c r="P836" s="14">
        <f t="shared" si="597"/>
        <v>10355</v>
      </c>
      <c r="Q836" s="14">
        <f t="shared" si="597"/>
        <v>12682</v>
      </c>
      <c r="R836" s="14">
        <f t="shared" si="597"/>
        <v>11193</v>
      </c>
      <c r="S836" s="14">
        <f t="shared" si="597"/>
        <v>11747</v>
      </c>
      <c r="T836" s="14">
        <f t="shared" si="597"/>
        <v>22832</v>
      </c>
      <c r="U836" s="14">
        <f t="shared" si="597"/>
        <v>38433</v>
      </c>
      <c r="V836" s="14">
        <f aca="true" t="shared" si="598" ref="V836:AA836">(V388)</f>
        <v>50318</v>
      </c>
      <c r="W836" s="14">
        <f t="shared" si="598"/>
        <v>100372</v>
      </c>
      <c r="X836" s="14">
        <f t="shared" si="598"/>
        <v>180364</v>
      </c>
      <c r="Y836" s="14">
        <f t="shared" si="598"/>
        <v>194056</v>
      </c>
      <c r="Z836" s="14">
        <f t="shared" si="598"/>
        <v>214466</v>
      </c>
      <c r="AA836" s="14">
        <f t="shared" si="598"/>
        <v>218722</v>
      </c>
      <c r="AB836" s="14">
        <f aca="true" t="shared" si="599" ref="AB836:AH836">(AB388)</f>
        <v>229161</v>
      </c>
      <c r="AC836" s="14">
        <f t="shared" si="599"/>
        <v>230854</v>
      </c>
      <c r="AD836" s="14">
        <f t="shared" si="599"/>
        <v>244656</v>
      </c>
      <c r="AE836" s="14">
        <f t="shared" si="599"/>
        <v>239940</v>
      </c>
      <c r="AF836" s="14">
        <f t="shared" si="599"/>
        <v>251494</v>
      </c>
      <c r="AG836" s="14">
        <f>(AG388)</f>
        <v>244045</v>
      </c>
      <c r="AH836" s="14">
        <f t="shared" si="599"/>
        <v>266443</v>
      </c>
      <c r="AI836" s="14">
        <f aca="true" t="shared" si="600" ref="AI836:AP836">(AI388)</f>
        <v>254045</v>
      </c>
      <c r="AJ836" s="14">
        <f t="shared" si="600"/>
        <v>258710</v>
      </c>
      <c r="AK836" s="14">
        <f>(AK388)</f>
        <v>280625</v>
      </c>
      <c r="AL836" s="70">
        <f t="shared" si="600"/>
        <v>280625</v>
      </c>
      <c r="AM836" s="70">
        <f t="shared" si="600"/>
        <v>300146</v>
      </c>
      <c r="AN836" s="70">
        <f t="shared" si="600"/>
        <v>305615</v>
      </c>
      <c r="AO836" s="70">
        <f>(AO388)</f>
        <v>305615</v>
      </c>
      <c r="AP836" s="70">
        <f t="shared" si="600"/>
        <v>399001</v>
      </c>
    </row>
    <row r="837" spans="1:42" ht="15.75">
      <c r="A837" s="35" t="s">
        <v>270</v>
      </c>
      <c r="B837" s="15" t="s">
        <v>357</v>
      </c>
      <c r="C837" s="14">
        <f aca="true" t="shared" si="601" ref="C837:U837">C392</f>
        <v>2604</v>
      </c>
      <c r="D837" s="14">
        <f t="shared" si="601"/>
        <v>927</v>
      </c>
      <c r="E837" s="14">
        <f t="shared" si="601"/>
        <v>1233</v>
      </c>
      <c r="F837" s="14">
        <f t="shared" si="601"/>
        <v>1406</v>
      </c>
      <c r="G837" s="14">
        <f t="shared" si="601"/>
        <v>821</v>
      </c>
      <c r="H837" s="14">
        <f t="shared" si="601"/>
        <v>1163</v>
      </c>
      <c r="I837" s="14">
        <f t="shared" si="601"/>
        <v>2409</v>
      </c>
      <c r="J837" s="14">
        <f t="shared" si="601"/>
        <v>6567</v>
      </c>
      <c r="K837" s="14">
        <f t="shared" si="601"/>
        <v>11920</v>
      </c>
      <c r="L837" s="14">
        <f t="shared" si="601"/>
        <v>10808</v>
      </c>
      <c r="M837" s="14">
        <f t="shared" si="601"/>
        <v>8471</v>
      </c>
      <c r="N837" s="14">
        <f t="shared" si="601"/>
        <v>4725</v>
      </c>
      <c r="O837" s="14">
        <f t="shared" si="601"/>
        <v>13300</v>
      </c>
      <c r="P837" s="14">
        <f t="shared" si="601"/>
        <v>11319</v>
      </c>
      <c r="Q837" s="14">
        <f t="shared" si="601"/>
        <v>7732</v>
      </c>
      <c r="R837" s="14">
        <f t="shared" si="601"/>
        <v>10013</v>
      </c>
      <c r="S837" s="14">
        <f t="shared" si="601"/>
        <v>9754</v>
      </c>
      <c r="T837" s="14">
        <f t="shared" si="601"/>
        <v>9233</v>
      </c>
      <c r="U837" s="14">
        <f t="shared" si="601"/>
        <v>12164</v>
      </c>
      <c r="V837" s="14">
        <f aca="true" t="shared" si="602" ref="V837:AA837">(V392)</f>
        <v>15748</v>
      </c>
      <c r="W837" s="14">
        <f t="shared" si="602"/>
        <v>14790</v>
      </c>
      <c r="X837" s="14">
        <f t="shared" si="602"/>
        <v>14476</v>
      </c>
      <c r="Y837" s="14">
        <f t="shared" si="602"/>
        <v>14523</v>
      </c>
      <c r="Z837" s="14">
        <f t="shared" si="602"/>
        <v>18418</v>
      </c>
      <c r="AA837" s="14">
        <f t="shared" si="602"/>
        <v>27537</v>
      </c>
      <c r="AB837" s="14">
        <f aca="true" t="shared" si="603" ref="AB837:AH837">(AB392)</f>
        <v>15297</v>
      </c>
      <c r="AC837" s="14">
        <f t="shared" si="603"/>
        <v>15316</v>
      </c>
      <c r="AD837" s="14">
        <f t="shared" si="603"/>
        <v>28974</v>
      </c>
      <c r="AE837" s="14">
        <f t="shared" si="603"/>
        <v>15308</v>
      </c>
      <c r="AF837" s="14">
        <f t="shared" si="603"/>
        <v>15308</v>
      </c>
      <c r="AG837" s="14">
        <f>(AG392)</f>
        <v>19418</v>
      </c>
      <c r="AH837" s="14">
        <f t="shared" si="603"/>
        <v>15308</v>
      </c>
      <c r="AI837" s="14">
        <f aca="true" t="shared" si="604" ref="AI837:AP837">(AI392)</f>
        <v>15008</v>
      </c>
      <c r="AJ837" s="14">
        <f t="shared" si="604"/>
        <v>27609</v>
      </c>
      <c r="AK837" s="14">
        <f>(AK392)</f>
        <v>26990</v>
      </c>
      <c r="AL837" s="70">
        <f t="shared" si="604"/>
        <v>26990</v>
      </c>
      <c r="AM837" s="70">
        <f t="shared" si="604"/>
        <v>20008</v>
      </c>
      <c r="AN837" s="70">
        <f t="shared" si="604"/>
        <v>27006</v>
      </c>
      <c r="AO837" s="70">
        <f>(AO392)</f>
        <v>27006</v>
      </c>
      <c r="AP837" s="70">
        <f t="shared" si="604"/>
        <v>127006</v>
      </c>
    </row>
    <row r="838" spans="1:42" ht="15.75">
      <c r="A838" s="35" t="s">
        <v>395</v>
      </c>
      <c r="B838" s="15" t="s">
        <v>357</v>
      </c>
      <c r="C838" s="14">
        <f aca="true" t="shared" si="605" ref="C838:U838">C366</f>
        <v>-133995</v>
      </c>
      <c r="D838" s="14">
        <f t="shared" si="605"/>
        <v>0</v>
      </c>
      <c r="E838" s="14">
        <f t="shared" si="605"/>
        <v>0</v>
      </c>
      <c r="F838" s="14">
        <f t="shared" si="605"/>
        <v>0</v>
      </c>
      <c r="G838" s="14">
        <f t="shared" si="605"/>
        <v>0</v>
      </c>
      <c r="H838" s="14">
        <f t="shared" si="605"/>
        <v>0</v>
      </c>
      <c r="I838" s="14">
        <f t="shared" si="605"/>
        <v>0</v>
      </c>
      <c r="J838" s="14">
        <f t="shared" si="605"/>
        <v>0</v>
      </c>
      <c r="K838" s="14">
        <f t="shared" si="605"/>
        <v>0</v>
      </c>
      <c r="L838" s="14">
        <f t="shared" si="605"/>
        <v>0</v>
      </c>
      <c r="M838" s="14">
        <f t="shared" si="605"/>
        <v>0</v>
      </c>
      <c r="N838" s="14">
        <f t="shared" si="605"/>
        <v>0</v>
      </c>
      <c r="O838" s="14">
        <f t="shared" si="605"/>
        <v>0</v>
      </c>
      <c r="P838" s="14">
        <f t="shared" si="605"/>
        <v>0</v>
      </c>
      <c r="Q838" s="14">
        <f t="shared" si="605"/>
        <v>-30000</v>
      </c>
      <c r="R838" s="14">
        <f t="shared" si="605"/>
        <v>-30000</v>
      </c>
      <c r="S838" s="14">
        <f t="shared" si="605"/>
        <v>-30000</v>
      </c>
      <c r="T838" s="14">
        <f t="shared" si="605"/>
        <v>-30000</v>
      </c>
      <c r="U838" s="14">
        <f t="shared" si="605"/>
        <v>-30000</v>
      </c>
      <c r="V838" s="14">
        <f aca="true" t="shared" si="606" ref="V838:AA838">(V366)</f>
        <v>-30000</v>
      </c>
      <c r="W838" s="14">
        <f t="shared" si="606"/>
        <v>-30000</v>
      </c>
      <c r="X838" s="14">
        <f t="shared" si="606"/>
        <v>-30000</v>
      </c>
      <c r="Y838" s="14">
        <f t="shared" si="606"/>
        <v>-30000</v>
      </c>
      <c r="Z838" s="14">
        <f t="shared" si="606"/>
        <v>-30000</v>
      </c>
      <c r="AA838" s="14">
        <f t="shared" si="606"/>
        <v>-30000</v>
      </c>
      <c r="AB838" s="14">
        <f>(AB366)</f>
        <v>-30000</v>
      </c>
      <c r="AC838" s="14">
        <f>(AC366)</f>
        <v>-30000</v>
      </c>
      <c r="AD838" s="14">
        <f>(AD366)</f>
        <v>-30000</v>
      </c>
      <c r="AE838" s="14">
        <f>(AE366)</f>
        <v>-30000</v>
      </c>
      <c r="AF838" s="14">
        <f>(AF365)</f>
        <v>-30000</v>
      </c>
      <c r="AG838" s="14">
        <f>(AG365)</f>
        <v>-30000</v>
      </c>
      <c r="AH838" s="14">
        <f>(AH367)</f>
        <v>2360544</v>
      </c>
      <c r="AI838" s="14">
        <f aca="true" t="shared" si="607" ref="AI838:AP838">(AI365)</f>
        <v>-30000</v>
      </c>
      <c r="AJ838" s="14">
        <f t="shared" si="607"/>
        <v>-30000</v>
      </c>
      <c r="AK838" s="14">
        <f>(AK365)</f>
        <v>-30000</v>
      </c>
      <c r="AL838" s="70">
        <f t="shared" si="607"/>
        <v>-30000</v>
      </c>
      <c r="AM838" s="70">
        <f t="shared" si="607"/>
        <v>-30000</v>
      </c>
      <c r="AN838" s="70">
        <f t="shared" si="607"/>
        <v>-30000</v>
      </c>
      <c r="AO838" s="70">
        <f>(AO365)</f>
        <v>-30000</v>
      </c>
      <c r="AP838" s="70">
        <f t="shared" si="607"/>
        <v>-30000</v>
      </c>
    </row>
    <row r="839" spans="1:42" ht="15.75">
      <c r="A839" s="35" t="s">
        <v>54</v>
      </c>
      <c r="B839" s="15" t="s">
        <v>357</v>
      </c>
      <c r="C839" s="16">
        <f aca="true" t="shared" si="608" ref="C839:U839">C396</f>
        <v>0</v>
      </c>
      <c r="D839" s="16">
        <f t="shared" si="608"/>
        <v>0</v>
      </c>
      <c r="E839" s="16">
        <f t="shared" si="608"/>
        <v>0</v>
      </c>
      <c r="F839" s="16">
        <f t="shared" si="608"/>
        <v>0</v>
      </c>
      <c r="G839" s="16">
        <f t="shared" si="608"/>
        <v>30000</v>
      </c>
      <c r="H839" s="16">
        <f t="shared" si="608"/>
        <v>0</v>
      </c>
      <c r="I839" s="16">
        <f t="shared" si="608"/>
        <v>0</v>
      </c>
      <c r="J839" s="16">
        <f t="shared" si="608"/>
        <v>0</v>
      </c>
      <c r="K839" s="16">
        <f t="shared" si="608"/>
        <v>0</v>
      </c>
      <c r="L839" s="16">
        <f t="shared" si="608"/>
        <v>0</v>
      </c>
      <c r="M839" s="16">
        <f t="shared" si="608"/>
        <v>0</v>
      </c>
      <c r="N839" s="16">
        <f t="shared" si="608"/>
        <v>0</v>
      </c>
      <c r="O839" s="16">
        <f t="shared" si="608"/>
        <v>0</v>
      </c>
      <c r="P839" s="16">
        <f t="shared" si="608"/>
        <v>0</v>
      </c>
      <c r="Q839" s="16">
        <f t="shared" si="608"/>
        <v>30000</v>
      </c>
      <c r="R839" s="16">
        <f t="shared" si="608"/>
        <v>30000</v>
      </c>
      <c r="S839" s="16">
        <f t="shared" si="608"/>
        <v>30000</v>
      </c>
      <c r="T839" s="16">
        <f t="shared" si="608"/>
        <v>30000</v>
      </c>
      <c r="U839" s="16">
        <f t="shared" si="608"/>
        <v>30000</v>
      </c>
      <c r="V839" s="16">
        <f aca="true" t="shared" si="609" ref="V839:AA839">(V396)</f>
        <v>30000</v>
      </c>
      <c r="W839" s="16">
        <f t="shared" si="609"/>
        <v>30000</v>
      </c>
      <c r="X839" s="16">
        <f t="shared" si="609"/>
        <v>30000</v>
      </c>
      <c r="Y839" s="16">
        <f t="shared" si="609"/>
        <v>30000</v>
      </c>
      <c r="Z839" s="16">
        <f t="shared" si="609"/>
        <v>30000</v>
      </c>
      <c r="AA839" s="16">
        <f t="shared" si="609"/>
        <v>30000</v>
      </c>
      <c r="AB839" s="16">
        <f aca="true" t="shared" si="610" ref="AB839:AH839">(AB396)</f>
        <v>30000</v>
      </c>
      <c r="AC839" s="16">
        <f t="shared" si="610"/>
        <v>30000</v>
      </c>
      <c r="AD839" s="16">
        <f t="shared" si="610"/>
        <v>30000</v>
      </c>
      <c r="AE839" s="16">
        <f t="shared" si="610"/>
        <v>30000</v>
      </c>
      <c r="AF839" s="16">
        <f t="shared" si="610"/>
        <v>30000</v>
      </c>
      <c r="AG839" s="16">
        <f>(AG396)</f>
        <v>30000</v>
      </c>
      <c r="AH839" s="16">
        <f t="shared" si="610"/>
        <v>30000</v>
      </c>
      <c r="AI839" s="16">
        <f aca="true" t="shared" si="611" ref="AI839:AP839">(AI396)</f>
        <v>30000</v>
      </c>
      <c r="AJ839" s="16">
        <f t="shared" si="611"/>
        <v>30000</v>
      </c>
      <c r="AK839" s="16">
        <f>(AK396)</f>
        <v>30000</v>
      </c>
      <c r="AL839" s="104">
        <f t="shared" si="611"/>
        <v>30000</v>
      </c>
      <c r="AM839" s="104">
        <f t="shared" si="611"/>
        <v>30000</v>
      </c>
      <c r="AN839" s="104">
        <f t="shared" si="611"/>
        <v>30000</v>
      </c>
      <c r="AO839" s="104">
        <f>(AO396)</f>
        <v>30000</v>
      </c>
      <c r="AP839" s="104">
        <f t="shared" si="611"/>
        <v>30000</v>
      </c>
    </row>
    <row r="840" spans="1:42" ht="15.75">
      <c r="A840" s="35" t="s">
        <v>217</v>
      </c>
      <c r="B840" s="15" t="s">
        <v>357</v>
      </c>
      <c r="C840" s="14">
        <f aca="true" t="shared" si="612" ref="C840:L840">SUM(C834:C839)</f>
        <v>344003</v>
      </c>
      <c r="D840" s="14">
        <f t="shared" si="612"/>
        <v>522241</v>
      </c>
      <c r="E840" s="14">
        <f t="shared" si="612"/>
        <v>527384</v>
      </c>
      <c r="F840" s="14">
        <f t="shared" si="612"/>
        <v>531253</v>
      </c>
      <c r="G840" s="14">
        <f t="shared" si="612"/>
        <v>857780</v>
      </c>
      <c r="H840" s="14">
        <f t="shared" si="612"/>
        <v>802355</v>
      </c>
      <c r="I840" s="14">
        <f t="shared" si="612"/>
        <v>1080146</v>
      </c>
      <c r="J840" s="14">
        <f t="shared" si="612"/>
        <v>950390</v>
      </c>
      <c r="K840" s="14">
        <f t="shared" si="612"/>
        <v>1005327</v>
      </c>
      <c r="L840" s="14">
        <f t="shared" si="612"/>
        <v>857671</v>
      </c>
      <c r="M840" s="14">
        <f aca="true" t="shared" si="613" ref="M840:U840">SUM(M834:M839)</f>
        <v>963814</v>
      </c>
      <c r="N840" s="14">
        <f t="shared" si="613"/>
        <v>956516</v>
      </c>
      <c r="O840" s="14">
        <f t="shared" si="613"/>
        <v>1101227</v>
      </c>
      <c r="P840" s="14">
        <f t="shared" si="613"/>
        <v>1274456</v>
      </c>
      <c r="Q840" s="14">
        <f t="shared" si="613"/>
        <v>1393244</v>
      </c>
      <c r="R840" s="14">
        <f t="shared" si="613"/>
        <v>1491891</v>
      </c>
      <c r="S840" s="14">
        <f t="shared" si="613"/>
        <v>1434674</v>
      </c>
      <c r="T840" s="14">
        <f t="shared" si="613"/>
        <v>1552414</v>
      </c>
      <c r="U840" s="14">
        <f t="shared" si="613"/>
        <v>1453750</v>
      </c>
      <c r="V840" s="14">
        <f aca="true" t="shared" si="614" ref="V840:AG840">(SUM(V834:V839))</f>
        <v>1457116</v>
      </c>
      <c r="W840" s="14">
        <f t="shared" si="614"/>
        <v>1738499</v>
      </c>
      <c r="X840" s="14">
        <f t="shared" si="614"/>
        <v>2019379</v>
      </c>
      <c r="Y840" s="14">
        <f t="shared" si="614"/>
        <v>2000335</v>
      </c>
      <c r="Z840" s="14">
        <f t="shared" si="614"/>
        <v>2147073</v>
      </c>
      <c r="AA840" s="14">
        <f t="shared" si="614"/>
        <v>2469750</v>
      </c>
      <c r="AB840" s="14">
        <f t="shared" si="614"/>
        <v>2653930</v>
      </c>
      <c r="AC840" s="14">
        <f t="shared" si="614"/>
        <v>2629731</v>
      </c>
      <c r="AD840" s="14">
        <f t="shared" si="614"/>
        <v>2545556.284</v>
      </c>
      <c r="AE840" s="14">
        <f t="shared" si="614"/>
        <v>2647121</v>
      </c>
      <c r="AF840" s="14">
        <f t="shared" si="614"/>
        <v>2555382.1900000004</v>
      </c>
      <c r="AG840" s="14">
        <f t="shared" si="614"/>
        <v>2560315</v>
      </c>
      <c r="AH840" s="14">
        <f aca="true" t="shared" si="615" ref="AH840:AP840">(SUM(AH834:AH839))</f>
        <v>5062839</v>
      </c>
      <c r="AI840" s="14">
        <f t="shared" si="615"/>
        <v>2613934</v>
      </c>
      <c r="AJ840" s="14">
        <f t="shared" si="615"/>
        <v>2677935</v>
      </c>
      <c r="AK840" s="14">
        <f t="shared" si="615"/>
        <v>2653959</v>
      </c>
      <c r="AL840" s="70">
        <f t="shared" si="615"/>
        <v>2595559</v>
      </c>
      <c r="AM840" s="70">
        <f t="shared" si="615"/>
        <v>2505977</v>
      </c>
      <c r="AN840" s="70">
        <f t="shared" si="615"/>
        <v>2465232</v>
      </c>
      <c r="AO840" s="70">
        <f t="shared" si="615"/>
        <v>2662581</v>
      </c>
      <c r="AP840" s="70">
        <f t="shared" si="615"/>
        <v>2919791</v>
      </c>
    </row>
    <row r="841" spans="1:33" ht="15.75">
      <c r="A841" s="14"/>
      <c r="B841" s="15" t="s">
        <v>357</v>
      </c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</row>
    <row r="842" spans="1:33" ht="15.75" hidden="1">
      <c r="A842" s="15" t="s">
        <v>415</v>
      </c>
      <c r="B842" s="15" t="s">
        <v>357</v>
      </c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</row>
    <row r="843" spans="1:33" ht="15.75" hidden="1">
      <c r="A843" s="14"/>
      <c r="B843" s="15" t="s">
        <v>357</v>
      </c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</row>
    <row r="844" spans="1:33" ht="15.75" hidden="1">
      <c r="A844" s="35" t="s">
        <v>201</v>
      </c>
      <c r="B844" s="15" t="s">
        <v>357</v>
      </c>
      <c r="C844" s="14">
        <f>C667</f>
        <v>537776</v>
      </c>
      <c r="D844" s="14">
        <f>D667</f>
        <v>894154</v>
      </c>
      <c r="E844" s="14">
        <f>E667</f>
        <v>832196</v>
      </c>
      <c r="F844" s="14">
        <f>F667</f>
        <v>689226</v>
      </c>
      <c r="G844" s="15" t="s">
        <v>416</v>
      </c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</row>
    <row r="845" spans="1:33" ht="15.75" hidden="1">
      <c r="A845" s="35" t="s">
        <v>270</v>
      </c>
      <c r="B845" s="15" t="s">
        <v>357</v>
      </c>
      <c r="C845" s="14">
        <f>C677</f>
        <v>0</v>
      </c>
      <c r="D845" s="14">
        <f>D677</f>
        <v>5</v>
      </c>
      <c r="E845" s="14">
        <f>E677</f>
        <v>0</v>
      </c>
      <c r="F845" s="14">
        <f>F677</f>
        <v>0</v>
      </c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</row>
    <row r="846" spans="1:33" ht="15.75" hidden="1">
      <c r="A846" s="35" t="s">
        <v>54</v>
      </c>
      <c r="B846" s="15" t="s">
        <v>357</v>
      </c>
      <c r="C846" s="14">
        <f>C682</f>
        <v>30000</v>
      </c>
      <c r="D846" s="14">
        <f>D682</f>
        <v>30000</v>
      </c>
      <c r="E846" s="14">
        <f>E682</f>
        <v>30000</v>
      </c>
      <c r="F846" s="14">
        <f>F682</f>
        <v>30000</v>
      </c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</row>
    <row r="847" spans="1:33" ht="15.75" hidden="1">
      <c r="A847" s="14"/>
      <c r="B847" s="15" t="s">
        <v>357</v>
      </c>
      <c r="C847" s="36" t="s">
        <v>400</v>
      </c>
      <c r="D847" s="36" t="s">
        <v>400</v>
      </c>
      <c r="E847" s="36" t="s">
        <v>400</v>
      </c>
      <c r="F847" s="36" t="s">
        <v>400</v>
      </c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</row>
    <row r="848" spans="1:33" ht="15.75" hidden="1">
      <c r="A848" s="35" t="s">
        <v>217</v>
      </c>
      <c r="B848" s="15" t="s">
        <v>357</v>
      </c>
      <c r="C848" s="14">
        <f>SUM(C844:C847)</f>
        <v>567776</v>
      </c>
      <c r="D848" s="14">
        <f>SUM(D844:D847)</f>
        <v>924159</v>
      </c>
      <c r="E848" s="14">
        <f>SUM(E844:E847)</f>
        <v>862196</v>
      </c>
      <c r="F848" s="14">
        <f>SUM(F844:F847)</f>
        <v>719226</v>
      </c>
      <c r="G848" s="15" t="s">
        <v>297</v>
      </c>
      <c r="H848" s="15" t="s">
        <v>362</v>
      </c>
      <c r="I848" s="15" t="s">
        <v>362</v>
      </c>
      <c r="J848" s="15" t="s">
        <v>362</v>
      </c>
      <c r="K848" s="15" t="s">
        <v>362</v>
      </c>
      <c r="L848" s="15" t="s">
        <v>362</v>
      </c>
      <c r="M848" s="15" t="s">
        <v>362</v>
      </c>
      <c r="N848" s="15" t="s">
        <v>362</v>
      </c>
      <c r="O848" s="15" t="s">
        <v>362</v>
      </c>
      <c r="P848" s="15" t="s">
        <v>362</v>
      </c>
      <c r="Q848" s="15" t="s">
        <v>362</v>
      </c>
      <c r="R848" s="15" t="s">
        <v>362</v>
      </c>
      <c r="S848" s="15" t="s">
        <v>362</v>
      </c>
      <c r="T848" s="15" t="s">
        <v>362</v>
      </c>
      <c r="U848" s="15" t="s">
        <v>362</v>
      </c>
      <c r="V848" s="15" t="s">
        <v>362</v>
      </c>
      <c r="W848" s="15" t="s">
        <v>362</v>
      </c>
      <c r="X848" s="15" t="s">
        <v>362</v>
      </c>
      <c r="Y848" s="15" t="s">
        <v>362</v>
      </c>
      <c r="Z848" s="15" t="s">
        <v>362</v>
      </c>
      <c r="AA848" s="15" t="s">
        <v>362</v>
      </c>
      <c r="AB848" s="15" t="s">
        <v>362</v>
      </c>
      <c r="AC848" s="15" t="s">
        <v>362</v>
      </c>
      <c r="AD848" s="15" t="s">
        <v>362</v>
      </c>
      <c r="AE848" s="15" t="s">
        <v>362</v>
      </c>
      <c r="AF848" s="15" t="s">
        <v>362</v>
      </c>
      <c r="AG848" s="15" t="s">
        <v>362</v>
      </c>
    </row>
    <row r="849" spans="1:33" ht="15.75" hidden="1">
      <c r="A849" s="14"/>
      <c r="B849" s="15" t="s">
        <v>357</v>
      </c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</row>
    <row r="850" spans="1:33" ht="15.75">
      <c r="A850" s="15" t="s">
        <v>409</v>
      </c>
      <c r="B850" s="15" t="s">
        <v>357</v>
      </c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</row>
    <row r="851" spans="1:42" ht="15.75">
      <c r="A851" s="35" t="s">
        <v>201</v>
      </c>
      <c r="B851" s="15" t="s">
        <v>357</v>
      </c>
      <c r="C851" s="14">
        <f aca="true" t="shared" si="616" ref="C851:U851">C423</f>
        <v>757359</v>
      </c>
      <c r="D851" s="14">
        <f t="shared" si="616"/>
        <v>897740</v>
      </c>
      <c r="E851" s="14">
        <f t="shared" si="616"/>
        <v>1031195</v>
      </c>
      <c r="F851" s="14">
        <f t="shared" si="616"/>
        <v>994254</v>
      </c>
      <c r="G851" s="14">
        <f t="shared" si="616"/>
        <v>1098447</v>
      </c>
      <c r="H851" s="14">
        <f t="shared" si="616"/>
        <v>970360</v>
      </c>
      <c r="I851" s="14">
        <f t="shared" si="616"/>
        <v>1149902</v>
      </c>
      <c r="J851" s="14">
        <f t="shared" si="616"/>
        <v>968693</v>
      </c>
      <c r="K851" s="14">
        <f t="shared" si="616"/>
        <v>1032261</v>
      </c>
      <c r="L851" s="14">
        <f t="shared" si="616"/>
        <v>1000793</v>
      </c>
      <c r="M851" s="14">
        <f t="shared" si="616"/>
        <v>1026253</v>
      </c>
      <c r="N851" s="14">
        <f t="shared" si="616"/>
        <v>1092086</v>
      </c>
      <c r="O851" s="14">
        <f t="shared" si="616"/>
        <v>1090486</v>
      </c>
      <c r="P851" s="14">
        <f t="shared" si="616"/>
        <v>1394951</v>
      </c>
      <c r="Q851" s="14">
        <f t="shared" si="616"/>
        <v>1558520</v>
      </c>
      <c r="R851" s="14">
        <f t="shared" si="616"/>
        <v>1529309</v>
      </c>
      <c r="S851" s="14">
        <f t="shared" si="616"/>
        <v>1569993</v>
      </c>
      <c r="T851" s="14">
        <f t="shared" si="616"/>
        <v>1791016</v>
      </c>
      <c r="U851" s="14">
        <f t="shared" si="616"/>
        <v>1729396.734</v>
      </c>
      <c r="V851" s="14">
        <f aca="true" t="shared" si="617" ref="V851:AA851">(V423)</f>
        <v>1592023</v>
      </c>
      <c r="W851" s="14">
        <f t="shared" si="617"/>
        <v>1645997</v>
      </c>
      <c r="X851" s="14">
        <f t="shared" si="617"/>
        <v>1703269</v>
      </c>
      <c r="Y851" s="14">
        <f t="shared" si="617"/>
        <v>1747857</v>
      </c>
      <c r="Z851" s="14">
        <f t="shared" si="617"/>
        <v>1878064</v>
      </c>
      <c r="AA851" s="14">
        <f t="shared" si="617"/>
        <v>2187617</v>
      </c>
      <c r="AB851" s="14">
        <f aca="true" t="shared" si="618" ref="AB851:AH851">(AB423)</f>
        <v>2221548</v>
      </c>
      <c r="AC851" s="14">
        <f t="shared" si="618"/>
        <v>2243804</v>
      </c>
      <c r="AD851" s="14">
        <f t="shared" si="618"/>
        <v>2266934</v>
      </c>
      <c r="AE851" s="14">
        <f t="shared" si="618"/>
        <v>2313741</v>
      </c>
      <c r="AF851" s="14">
        <f t="shared" si="618"/>
        <v>2305814.6029999997</v>
      </c>
      <c r="AG851" s="14">
        <f>(AG423)</f>
        <v>2306401</v>
      </c>
      <c r="AH851" s="14">
        <f t="shared" si="618"/>
        <v>2253795</v>
      </c>
      <c r="AI851" s="14">
        <f aca="true" t="shared" si="619" ref="AI851:AP851">(AI423)</f>
        <v>2295702</v>
      </c>
      <c r="AJ851" s="14">
        <f t="shared" si="619"/>
        <v>2292859</v>
      </c>
      <c r="AK851" s="14">
        <f>(AK423)</f>
        <v>2256613</v>
      </c>
      <c r="AL851" s="70">
        <f t="shared" si="619"/>
        <v>2278613</v>
      </c>
      <c r="AM851" s="70">
        <f t="shared" si="619"/>
        <v>2221851</v>
      </c>
      <c r="AN851" s="70">
        <f t="shared" si="619"/>
        <v>2229896</v>
      </c>
      <c r="AO851" s="70">
        <f>(AO423)</f>
        <v>2308304</v>
      </c>
      <c r="AP851" s="70">
        <f t="shared" si="619"/>
        <v>2228890</v>
      </c>
    </row>
    <row r="852" spans="1:42" ht="15.75">
      <c r="A852" s="35" t="s">
        <v>320</v>
      </c>
      <c r="B852" s="15" t="s">
        <v>357</v>
      </c>
      <c r="C852" s="14">
        <f aca="true" t="shared" si="620" ref="C852:U852">C428</f>
        <v>31610</v>
      </c>
      <c r="D852" s="14">
        <f t="shared" si="620"/>
        <v>26887</v>
      </c>
      <c r="E852" s="14">
        <f t="shared" si="620"/>
        <v>40000</v>
      </c>
      <c r="F852" s="14">
        <f t="shared" si="620"/>
        <v>31504</v>
      </c>
      <c r="G852" s="14">
        <f t="shared" si="620"/>
        <v>48807</v>
      </c>
      <c r="H852" s="14">
        <f t="shared" si="620"/>
        <v>55291</v>
      </c>
      <c r="I852" s="14">
        <f t="shared" si="620"/>
        <v>60149</v>
      </c>
      <c r="J852" s="14">
        <f t="shared" si="620"/>
        <v>51044</v>
      </c>
      <c r="K852" s="14">
        <f t="shared" si="620"/>
        <v>460</v>
      </c>
      <c r="L852" s="14">
        <f t="shared" si="620"/>
        <v>974</v>
      </c>
      <c r="M852" s="14">
        <f t="shared" si="620"/>
        <v>969</v>
      </c>
      <c r="N852" s="14">
        <f t="shared" si="620"/>
        <v>1319</v>
      </c>
      <c r="O852" s="14">
        <f t="shared" si="620"/>
        <v>0</v>
      </c>
      <c r="P852" s="14">
        <f t="shared" si="620"/>
        <v>0</v>
      </c>
      <c r="Q852" s="14">
        <f t="shared" si="620"/>
        <v>0</v>
      </c>
      <c r="R852" s="14">
        <f t="shared" si="620"/>
        <v>0</v>
      </c>
      <c r="S852" s="14">
        <f t="shared" si="620"/>
        <v>0</v>
      </c>
      <c r="T852" s="14">
        <f t="shared" si="620"/>
        <v>0</v>
      </c>
      <c r="U852" s="14">
        <f t="shared" si="620"/>
        <v>0</v>
      </c>
      <c r="V852" s="14">
        <f aca="true" t="shared" si="621" ref="V852:AB852">(V428)</f>
        <v>0</v>
      </c>
      <c r="W852" s="14">
        <f t="shared" si="621"/>
        <v>0</v>
      </c>
      <c r="X852" s="14">
        <f t="shared" si="621"/>
        <v>0</v>
      </c>
      <c r="Y852" s="14">
        <f t="shared" si="621"/>
        <v>0</v>
      </c>
      <c r="Z852" s="14">
        <f t="shared" si="621"/>
        <v>0</v>
      </c>
      <c r="AA852" s="14">
        <f t="shared" si="621"/>
        <v>0</v>
      </c>
      <c r="AB852" s="14">
        <f t="shared" si="621"/>
        <v>0</v>
      </c>
      <c r="AC852" s="14">
        <f aca="true" t="shared" si="622" ref="AC852:AL852">(AC428)</f>
        <v>0</v>
      </c>
      <c r="AD852" s="14">
        <f t="shared" si="622"/>
        <v>0</v>
      </c>
      <c r="AE852" s="14">
        <f t="shared" si="622"/>
        <v>0</v>
      </c>
      <c r="AF852" s="14">
        <f t="shared" si="622"/>
        <v>0</v>
      </c>
      <c r="AG852" s="14">
        <f t="shared" si="622"/>
        <v>0</v>
      </c>
      <c r="AH852" s="14">
        <f t="shared" si="622"/>
        <v>0</v>
      </c>
      <c r="AI852" s="14">
        <f t="shared" si="622"/>
        <v>0</v>
      </c>
      <c r="AJ852" s="14">
        <f>(AJ428)</f>
        <v>0</v>
      </c>
      <c r="AK852" s="14">
        <f>(AK428)</f>
        <v>0</v>
      </c>
      <c r="AL852" s="70">
        <f t="shared" si="622"/>
        <v>0</v>
      </c>
      <c r="AM852" s="70">
        <f>(AM428)</f>
        <v>0</v>
      </c>
      <c r="AN852" s="70">
        <f>(AN428)</f>
        <v>0</v>
      </c>
      <c r="AO852" s="70">
        <f>(AO428)</f>
        <v>0</v>
      </c>
      <c r="AP852" s="70">
        <f>(AP428)</f>
        <v>0</v>
      </c>
    </row>
    <row r="853" spans="1:42" ht="15.75">
      <c r="A853" s="35" t="s">
        <v>269</v>
      </c>
      <c r="B853" s="15" t="s">
        <v>357</v>
      </c>
      <c r="C853" s="14">
        <f aca="true" t="shared" si="623" ref="C853:U853">C446</f>
        <v>47289</v>
      </c>
      <c r="D853" s="14">
        <f t="shared" si="623"/>
        <v>21768</v>
      </c>
      <c r="E853" s="14">
        <f t="shared" si="623"/>
        <v>22495</v>
      </c>
      <c r="F853" s="14">
        <f t="shared" si="623"/>
        <v>28553</v>
      </c>
      <c r="G853" s="14">
        <f t="shared" si="623"/>
        <v>30133</v>
      </c>
      <c r="H853" s="14">
        <f t="shared" si="623"/>
        <v>34377</v>
      </c>
      <c r="I853" s="14">
        <f t="shared" si="623"/>
        <v>36931</v>
      </c>
      <c r="J853" s="14">
        <f t="shared" si="623"/>
        <v>45632</v>
      </c>
      <c r="K853" s="14">
        <f t="shared" si="623"/>
        <v>54588</v>
      </c>
      <c r="L853" s="14">
        <f t="shared" si="623"/>
        <v>57955</v>
      </c>
      <c r="M853" s="14">
        <f t="shared" si="623"/>
        <v>53402</v>
      </c>
      <c r="N853" s="14">
        <f t="shared" si="623"/>
        <v>55937</v>
      </c>
      <c r="O853" s="14">
        <f t="shared" si="623"/>
        <v>59853</v>
      </c>
      <c r="P853" s="14">
        <f t="shared" si="623"/>
        <v>70101</v>
      </c>
      <c r="Q853" s="14">
        <f t="shared" si="623"/>
        <v>65031</v>
      </c>
      <c r="R853" s="14">
        <f t="shared" si="623"/>
        <v>114959</v>
      </c>
      <c r="S853" s="14">
        <f t="shared" si="623"/>
        <v>151995</v>
      </c>
      <c r="T853" s="14">
        <f t="shared" si="623"/>
        <v>259544</v>
      </c>
      <c r="U853" s="14">
        <f t="shared" si="623"/>
        <v>243489</v>
      </c>
      <c r="V853" s="14">
        <f aca="true" t="shared" si="624" ref="V853:AA853">(V446)</f>
        <v>132155</v>
      </c>
      <c r="W853" s="14">
        <f t="shared" si="624"/>
        <v>149697</v>
      </c>
      <c r="X853" s="14">
        <f t="shared" si="624"/>
        <v>94796</v>
      </c>
      <c r="Y853" s="14">
        <f t="shared" si="624"/>
        <v>81610</v>
      </c>
      <c r="Z853" s="14">
        <f t="shared" si="624"/>
        <v>83299</v>
      </c>
      <c r="AA853" s="14">
        <f t="shared" si="624"/>
        <v>88708</v>
      </c>
      <c r="AB853" s="14">
        <f aca="true" t="shared" si="625" ref="AB853:AH853">(AB446)</f>
        <v>84005</v>
      </c>
      <c r="AC853" s="14">
        <f t="shared" si="625"/>
        <v>88729</v>
      </c>
      <c r="AD853" s="14">
        <f t="shared" si="625"/>
        <v>87345</v>
      </c>
      <c r="AE853" s="14">
        <f t="shared" si="625"/>
        <v>89401</v>
      </c>
      <c r="AF853" s="14">
        <f t="shared" si="625"/>
        <v>90550</v>
      </c>
      <c r="AG853" s="14">
        <f>(AG446)</f>
        <v>89250</v>
      </c>
      <c r="AH853" s="14">
        <f t="shared" si="625"/>
        <v>90935</v>
      </c>
      <c r="AI853" s="14">
        <f aca="true" t="shared" si="626" ref="AI853:AP853">(AI446)</f>
        <v>91045</v>
      </c>
      <c r="AJ853" s="14">
        <f t="shared" si="626"/>
        <v>95056</v>
      </c>
      <c r="AK853" s="14">
        <f>(AK446)</f>
        <v>123248</v>
      </c>
      <c r="AL853" s="70">
        <f t="shared" si="626"/>
        <v>123474</v>
      </c>
      <c r="AM853" s="70">
        <f t="shared" si="626"/>
        <v>107593</v>
      </c>
      <c r="AN853" s="70">
        <f t="shared" si="626"/>
        <v>109891</v>
      </c>
      <c r="AO853" s="70">
        <f>(AO446)</f>
        <v>109891</v>
      </c>
      <c r="AP853" s="70">
        <f t="shared" si="626"/>
        <v>95776</v>
      </c>
    </row>
    <row r="854" spans="1:42" ht="15.75">
      <c r="A854" s="35" t="s">
        <v>270</v>
      </c>
      <c r="B854" s="15" t="s">
        <v>357</v>
      </c>
      <c r="C854" s="16">
        <f aca="true" t="shared" si="627" ref="C854:U854">C451</f>
        <v>241696</v>
      </c>
      <c r="D854" s="16">
        <f t="shared" si="627"/>
        <v>284290</v>
      </c>
      <c r="E854" s="16">
        <f t="shared" si="627"/>
        <v>380013</v>
      </c>
      <c r="F854" s="16">
        <f t="shared" si="627"/>
        <v>937448</v>
      </c>
      <c r="G854" s="16">
        <f t="shared" si="627"/>
        <v>599114</v>
      </c>
      <c r="H854" s="16">
        <f t="shared" si="627"/>
        <v>455911</v>
      </c>
      <c r="I854" s="16">
        <f t="shared" si="627"/>
        <v>379545</v>
      </c>
      <c r="J854" s="16">
        <f t="shared" si="627"/>
        <v>334239</v>
      </c>
      <c r="K854" s="16">
        <f t="shared" si="627"/>
        <v>429671</v>
      </c>
      <c r="L854" s="16">
        <f t="shared" si="627"/>
        <v>309531</v>
      </c>
      <c r="M854" s="16">
        <f t="shared" si="627"/>
        <v>307780</v>
      </c>
      <c r="N854" s="16">
        <f t="shared" si="627"/>
        <v>373071</v>
      </c>
      <c r="O854" s="16">
        <f t="shared" si="627"/>
        <v>465125</v>
      </c>
      <c r="P854" s="16">
        <f t="shared" si="627"/>
        <v>476438</v>
      </c>
      <c r="Q854" s="16">
        <f t="shared" si="627"/>
        <v>399613</v>
      </c>
      <c r="R854" s="16">
        <f t="shared" si="627"/>
        <v>439472</v>
      </c>
      <c r="S854" s="16">
        <f t="shared" si="627"/>
        <v>325489</v>
      </c>
      <c r="T854" s="16">
        <f t="shared" si="627"/>
        <v>364828</v>
      </c>
      <c r="U854" s="16">
        <f t="shared" si="627"/>
        <v>358776</v>
      </c>
      <c r="V854" s="16">
        <f aca="true" t="shared" si="628" ref="V854:AA854">(V451)</f>
        <v>327732</v>
      </c>
      <c r="W854" s="16">
        <f t="shared" si="628"/>
        <v>0</v>
      </c>
      <c r="X854" s="16">
        <f t="shared" si="628"/>
        <v>0</v>
      </c>
      <c r="Y854" s="16">
        <f t="shared" si="628"/>
        <v>0</v>
      </c>
      <c r="Z854" s="16">
        <f t="shared" si="628"/>
        <v>0</v>
      </c>
      <c r="AA854" s="16">
        <f t="shared" si="628"/>
        <v>0</v>
      </c>
      <c r="AB854" s="16">
        <f aca="true" t="shared" si="629" ref="AB854:AH854">(AB451)</f>
        <v>0</v>
      </c>
      <c r="AC854" s="16">
        <f t="shared" si="629"/>
        <v>0</v>
      </c>
      <c r="AD854" s="16">
        <f t="shared" si="629"/>
        <v>0</v>
      </c>
      <c r="AE854" s="16">
        <f t="shared" si="629"/>
        <v>0</v>
      </c>
      <c r="AF854" s="16">
        <f t="shared" si="629"/>
        <v>0</v>
      </c>
      <c r="AG854" s="16">
        <f>(AG451)</f>
        <v>0</v>
      </c>
      <c r="AH854" s="16">
        <f t="shared" si="629"/>
        <v>0</v>
      </c>
      <c r="AI854" s="16">
        <f aca="true" t="shared" si="630" ref="AI854:AP854">(AI451)</f>
        <v>0</v>
      </c>
      <c r="AJ854" s="16">
        <f t="shared" si="630"/>
        <v>0</v>
      </c>
      <c r="AK854" s="16">
        <f>(AK451)</f>
        <v>0</v>
      </c>
      <c r="AL854" s="104">
        <f t="shared" si="630"/>
        <v>0</v>
      </c>
      <c r="AM854" s="104">
        <f t="shared" si="630"/>
        <v>0</v>
      </c>
      <c r="AN854" s="104">
        <f t="shared" si="630"/>
        <v>0</v>
      </c>
      <c r="AO854" s="104">
        <f>(AO451)</f>
        <v>0</v>
      </c>
      <c r="AP854" s="104">
        <f t="shared" si="630"/>
        <v>0</v>
      </c>
    </row>
    <row r="855" spans="1:42" ht="15.75">
      <c r="A855" s="35" t="s">
        <v>217</v>
      </c>
      <c r="B855" s="15" t="s">
        <v>357</v>
      </c>
      <c r="C855" s="14">
        <f aca="true" t="shared" si="631" ref="C855:L855">SUM(C851:C854)</f>
        <v>1077954</v>
      </c>
      <c r="D855" s="14">
        <f t="shared" si="631"/>
        <v>1230685</v>
      </c>
      <c r="E855" s="14">
        <f t="shared" si="631"/>
        <v>1473703</v>
      </c>
      <c r="F855" s="14">
        <f t="shared" si="631"/>
        <v>1991759</v>
      </c>
      <c r="G855" s="14">
        <f t="shared" si="631"/>
        <v>1776501</v>
      </c>
      <c r="H855" s="14">
        <f t="shared" si="631"/>
        <v>1515939</v>
      </c>
      <c r="I855" s="14">
        <f t="shared" si="631"/>
        <v>1626527</v>
      </c>
      <c r="J855" s="14">
        <f t="shared" si="631"/>
        <v>1399608</v>
      </c>
      <c r="K855" s="14">
        <f t="shared" si="631"/>
        <v>1516980</v>
      </c>
      <c r="L855" s="14">
        <f t="shared" si="631"/>
        <v>1369253</v>
      </c>
      <c r="M855" s="14">
        <f aca="true" t="shared" si="632" ref="M855:U855">SUM(M851:M854)</f>
        <v>1388404</v>
      </c>
      <c r="N855" s="14">
        <f t="shared" si="632"/>
        <v>1522413</v>
      </c>
      <c r="O855" s="14">
        <f t="shared" si="632"/>
        <v>1615464</v>
      </c>
      <c r="P855" s="14">
        <f t="shared" si="632"/>
        <v>1941490</v>
      </c>
      <c r="Q855" s="14">
        <f t="shared" si="632"/>
        <v>2023164</v>
      </c>
      <c r="R855" s="14">
        <f t="shared" si="632"/>
        <v>2083740</v>
      </c>
      <c r="S855" s="14">
        <f t="shared" si="632"/>
        <v>2047477</v>
      </c>
      <c r="T855" s="14">
        <f t="shared" si="632"/>
        <v>2415388</v>
      </c>
      <c r="U855" s="14">
        <f t="shared" si="632"/>
        <v>2331661.734</v>
      </c>
      <c r="V855" s="14">
        <f aca="true" t="shared" si="633" ref="V855:AG855">(SUM(V851:V854))</f>
        <v>2051910</v>
      </c>
      <c r="W855" s="14">
        <f t="shared" si="633"/>
        <v>1795694</v>
      </c>
      <c r="X855" s="14">
        <f t="shared" si="633"/>
        <v>1798065</v>
      </c>
      <c r="Y855" s="14">
        <f t="shared" si="633"/>
        <v>1829467</v>
      </c>
      <c r="Z855" s="14">
        <f t="shared" si="633"/>
        <v>1961363</v>
      </c>
      <c r="AA855" s="14">
        <f t="shared" si="633"/>
        <v>2276325</v>
      </c>
      <c r="AB855" s="14">
        <f t="shared" si="633"/>
        <v>2305553</v>
      </c>
      <c r="AC855" s="14">
        <f t="shared" si="633"/>
        <v>2332533</v>
      </c>
      <c r="AD855" s="14">
        <f t="shared" si="633"/>
        <v>2354279</v>
      </c>
      <c r="AE855" s="14">
        <f t="shared" si="633"/>
        <v>2403142</v>
      </c>
      <c r="AF855" s="14">
        <f t="shared" si="633"/>
        <v>2396364.6029999997</v>
      </c>
      <c r="AG855" s="14">
        <f t="shared" si="633"/>
        <v>2395651</v>
      </c>
      <c r="AH855" s="14">
        <f aca="true" t="shared" si="634" ref="AH855:AP855">(SUM(AH851:AH854))</f>
        <v>2344730</v>
      </c>
      <c r="AI855" s="14">
        <f t="shared" si="634"/>
        <v>2386747</v>
      </c>
      <c r="AJ855" s="14">
        <f t="shared" si="634"/>
        <v>2387915</v>
      </c>
      <c r="AK855" s="14">
        <f t="shared" si="634"/>
        <v>2379861</v>
      </c>
      <c r="AL855" s="70">
        <f t="shared" si="634"/>
        <v>2402087</v>
      </c>
      <c r="AM855" s="70">
        <f t="shared" si="634"/>
        <v>2329444</v>
      </c>
      <c r="AN855" s="70">
        <f t="shared" si="634"/>
        <v>2339787</v>
      </c>
      <c r="AO855" s="70">
        <f t="shared" si="634"/>
        <v>2418195</v>
      </c>
      <c r="AP855" s="70">
        <f t="shared" si="634"/>
        <v>2324666</v>
      </c>
    </row>
    <row r="856" spans="1:42" ht="15.75">
      <c r="A856" s="14"/>
      <c r="B856" s="15" t="s">
        <v>357</v>
      </c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70"/>
      <c r="AM856" s="70"/>
      <c r="AN856" s="70"/>
      <c r="AO856" s="70"/>
      <c r="AP856" s="70"/>
    </row>
    <row r="857" spans="1:42" ht="15.75">
      <c r="A857" s="15" t="s">
        <v>387</v>
      </c>
      <c r="B857" s="15" t="s">
        <v>357</v>
      </c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70"/>
      <c r="AM857" s="70"/>
      <c r="AN857" s="70"/>
      <c r="AO857" s="70"/>
      <c r="AP857" s="70"/>
    </row>
    <row r="858" spans="1:42" ht="15.75">
      <c r="A858" s="35" t="s">
        <v>201</v>
      </c>
      <c r="B858" s="15" t="s">
        <v>357</v>
      </c>
      <c r="C858" s="14">
        <f aca="true" t="shared" si="635" ref="C858:U858">C478</f>
        <v>35005</v>
      </c>
      <c r="D858" s="14">
        <f t="shared" si="635"/>
        <v>40015</v>
      </c>
      <c r="E858" s="14">
        <f t="shared" si="635"/>
        <v>41222</v>
      </c>
      <c r="F858" s="14">
        <f t="shared" si="635"/>
        <v>54540</v>
      </c>
      <c r="G858" s="14">
        <f t="shared" si="635"/>
        <v>75897</v>
      </c>
      <c r="H858" s="14">
        <f t="shared" si="635"/>
        <v>45113</v>
      </c>
      <c r="I858" s="14">
        <f t="shared" si="635"/>
        <v>51601</v>
      </c>
      <c r="J858" s="14">
        <f t="shared" si="635"/>
        <v>45288</v>
      </c>
      <c r="K858" s="14">
        <f t="shared" si="635"/>
        <v>47328</v>
      </c>
      <c r="L858" s="14">
        <f t="shared" si="635"/>
        <v>42989</v>
      </c>
      <c r="M858" s="14">
        <f t="shared" si="635"/>
        <v>43567</v>
      </c>
      <c r="N858" s="14">
        <f t="shared" si="635"/>
        <v>49319</v>
      </c>
      <c r="O858" s="14">
        <f t="shared" si="635"/>
        <v>51890</v>
      </c>
      <c r="P858" s="14">
        <f t="shared" si="635"/>
        <v>53788</v>
      </c>
      <c r="Q858" s="14">
        <f t="shared" si="635"/>
        <v>61968</v>
      </c>
      <c r="R858" s="14">
        <f t="shared" si="635"/>
        <v>67907</v>
      </c>
      <c r="S858" s="14">
        <f t="shared" si="635"/>
        <v>65264</v>
      </c>
      <c r="T858" s="14">
        <f t="shared" si="635"/>
        <v>66105</v>
      </c>
      <c r="U858" s="14">
        <f t="shared" si="635"/>
        <v>64427</v>
      </c>
      <c r="V858" s="14">
        <f aca="true" t="shared" si="636" ref="V858:AA858">(V478)</f>
        <v>57338</v>
      </c>
      <c r="W858" s="14">
        <f t="shared" si="636"/>
        <v>59286</v>
      </c>
      <c r="X858" s="14">
        <f t="shared" si="636"/>
        <v>58286</v>
      </c>
      <c r="Y858" s="14">
        <f t="shared" si="636"/>
        <v>260166</v>
      </c>
      <c r="Z858" s="14">
        <f t="shared" si="636"/>
        <v>66025</v>
      </c>
      <c r="AA858" s="14">
        <f t="shared" si="636"/>
        <v>64177</v>
      </c>
      <c r="AB858" s="14">
        <f aca="true" t="shared" si="637" ref="AB858:AH858">(AB478)</f>
        <v>69850</v>
      </c>
      <c r="AC858" s="14">
        <f t="shared" si="637"/>
        <v>82164</v>
      </c>
      <c r="AD858" s="14">
        <f t="shared" si="637"/>
        <v>72520.134</v>
      </c>
      <c r="AE858" s="14">
        <f t="shared" si="637"/>
        <v>297140</v>
      </c>
      <c r="AF858" s="14">
        <f t="shared" si="637"/>
        <v>309105.96900000004</v>
      </c>
      <c r="AG858" s="14">
        <f>(AG478)</f>
        <v>307452</v>
      </c>
      <c r="AH858" s="14">
        <f t="shared" si="637"/>
        <v>325103</v>
      </c>
      <c r="AI858" s="14">
        <f aca="true" t="shared" si="638" ref="AI858:AP858">(AI478)</f>
        <v>318981</v>
      </c>
      <c r="AJ858" s="14">
        <f t="shared" si="638"/>
        <v>321981</v>
      </c>
      <c r="AK858" s="14">
        <f>(AK478)</f>
        <v>372476</v>
      </c>
      <c r="AL858" s="70">
        <f t="shared" si="638"/>
        <v>372476</v>
      </c>
      <c r="AM858" s="70">
        <f t="shared" si="638"/>
        <v>326768</v>
      </c>
      <c r="AN858" s="70">
        <f t="shared" si="638"/>
        <v>334318</v>
      </c>
      <c r="AO858" s="70">
        <f>(AO478)</f>
        <v>358818</v>
      </c>
      <c r="AP858" s="70">
        <f t="shared" si="638"/>
        <v>323639</v>
      </c>
    </row>
    <row r="859" spans="1:42" ht="15.75">
      <c r="A859" s="35" t="s">
        <v>269</v>
      </c>
      <c r="B859" s="15" t="s">
        <v>357</v>
      </c>
      <c r="C859" s="16">
        <f aca="true" t="shared" si="639" ref="C859:U859">C493</f>
        <v>2</v>
      </c>
      <c r="D859" s="16">
        <f t="shared" si="639"/>
        <v>0</v>
      </c>
      <c r="E859" s="16">
        <f t="shared" si="639"/>
        <v>0</v>
      </c>
      <c r="F859" s="16">
        <f t="shared" si="639"/>
        <v>0</v>
      </c>
      <c r="G859" s="16">
        <f t="shared" si="639"/>
        <v>0</v>
      </c>
      <c r="H859" s="16">
        <f t="shared" si="639"/>
        <v>0</v>
      </c>
      <c r="I859" s="16">
        <f t="shared" si="639"/>
        <v>0</v>
      </c>
      <c r="J859" s="16">
        <f t="shared" si="639"/>
        <v>0</v>
      </c>
      <c r="K859" s="16">
        <f t="shared" si="639"/>
        <v>14</v>
      </c>
      <c r="L859" s="16">
        <f t="shared" si="639"/>
        <v>0</v>
      </c>
      <c r="M859" s="16">
        <f t="shared" si="639"/>
        <v>0</v>
      </c>
      <c r="N859" s="16">
        <f t="shared" si="639"/>
        <v>0</v>
      </c>
      <c r="O859" s="16">
        <f t="shared" si="639"/>
        <v>0</v>
      </c>
      <c r="P859" s="16">
        <f t="shared" si="639"/>
        <v>0</v>
      </c>
      <c r="Q859" s="16">
        <f t="shared" si="639"/>
        <v>0</v>
      </c>
      <c r="R859" s="16">
        <f t="shared" si="639"/>
        <v>0</v>
      </c>
      <c r="S859" s="16">
        <f t="shared" si="639"/>
        <v>6</v>
      </c>
      <c r="T859" s="16">
        <f t="shared" si="639"/>
        <v>84</v>
      </c>
      <c r="U859" s="16">
        <f t="shared" si="639"/>
        <v>90</v>
      </c>
      <c r="V859" s="16">
        <f aca="true" t="shared" si="640" ref="V859:AA859">(V493)</f>
        <v>200000</v>
      </c>
      <c r="W859" s="16">
        <f t="shared" si="640"/>
        <v>189</v>
      </c>
      <c r="X859" s="16">
        <f t="shared" si="640"/>
        <v>0</v>
      </c>
      <c r="Y859" s="16">
        <f t="shared" si="640"/>
        <v>3817</v>
      </c>
      <c r="Z859" s="16">
        <f t="shared" si="640"/>
        <v>1252</v>
      </c>
      <c r="AA859" s="16">
        <f t="shared" si="640"/>
        <v>2179</v>
      </c>
      <c r="AB859" s="16">
        <f aca="true" t="shared" si="641" ref="AB859:AH859">(AB493)</f>
        <v>0</v>
      </c>
      <c r="AC859" s="16">
        <f t="shared" si="641"/>
        <v>0</v>
      </c>
      <c r="AD859" s="16">
        <f t="shared" si="641"/>
        <v>0</v>
      </c>
      <c r="AE859" s="16">
        <f t="shared" si="641"/>
        <v>0</v>
      </c>
      <c r="AF859" s="16">
        <f t="shared" si="641"/>
        <v>0</v>
      </c>
      <c r="AG859" s="16">
        <f>(AG493)</f>
        <v>0</v>
      </c>
      <c r="AH859" s="16">
        <f t="shared" si="641"/>
        <v>0</v>
      </c>
      <c r="AI859" s="16">
        <f aca="true" t="shared" si="642" ref="AI859:AP859">(AI493)</f>
        <v>51</v>
      </c>
      <c r="AJ859" s="16">
        <f t="shared" si="642"/>
        <v>47</v>
      </c>
      <c r="AK859" s="16">
        <f>(AK493)</f>
        <v>0</v>
      </c>
      <c r="AL859" s="104">
        <f t="shared" si="642"/>
        <v>0</v>
      </c>
      <c r="AM859" s="104">
        <f t="shared" si="642"/>
        <v>60</v>
      </c>
      <c r="AN859" s="104">
        <f t="shared" si="642"/>
        <v>115</v>
      </c>
      <c r="AO859" s="104">
        <f>(AO493)</f>
        <v>115</v>
      </c>
      <c r="AP859" s="104">
        <f t="shared" si="642"/>
        <v>115</v>
      </c>
    </row>
    <row r="860" spans="1:42" ht="15.75">
      <c r="A860" s="35" t="s">
        <v>217</v>
      </c>
      <c r="B860" s="15" t="s">
        <v>357</v>
      </c>
      <c r="C860" s="14">
        <f aca="true" t="shared" si="643" ref="C860:L860">SUM(C858:C859)</f>
        <v>35007</v>
      </c>
      <c r="D860" s="14">
        <f t="shared" si="643"/>
        <v>40015</v>
      </c>
      <c r="E860" s="14">
        <f t="shared" si="643"/>
        <v>41222</v>
      </c>
      <c r="F860" s="14">
        <f t="shared" si="643"/>
        <v>54540</v>
      </c>
      <c r="G860" s="14">
        <f t="shared" si="643"/>
        <v>75897</v>
      </c>
      <c r="H860" s="14">
        <f t="shared" si="643"/>
        <v>45113</v>
      </c>
      <c r="I860" s="14">
        <f t="shared" si="643"/>
        <v>51601</v>
      </c>
      <c r="J860" s="14">
        <f t="shared" si="643"/>
        <v>45288</v>
      </c>
      <c r="K860" s="14">
        <f t="shared" si="643"/>
        <v>47342</v>
      </c>
      <c r="L860" s="14">
        <f t="shared" si="643"/>
        <v>42989</v>
      </c>
      <c r="M860" s="14">
        <f aca="true" t="shared" si="644" ref="M860:U860">SUM(M858:M859)</f>
        <v>43567</v>
      </c>
      <c r="N860" s="14">
        <f t="shared" si="644"/>
        <v>49319</v>
      </c>
      <c r="O860" s="14">
        <f t="shared" si="644"/>
        <v>51890</v>
      </c>
      <c r="P860" s="14">
        <f t="shared" si="644"/>
        <v>53788</v>
      </c>
      <c r="Q860" s="14">
        <f t="shared" si="644"/>
        <v>61968</v>
      </c>
      <c r="R860" s="14">
        <f t="shared" si="644"/>
        <v>67907</v>
      </c>
      <c r="S860" s="14">
        <f t="shared" si="644"/>
        <v>65270</v>
      </c>
      <c r="T860" s="14">
        <f t="shared" si="644"/>
        <v>66189</v>
      </c>
      <c r="U860" s="14">
        <f t="shared" si="644"/>
        <v>64517</v>
      </c>
      <c r="V860" s="14">
        <f aca="true" t="shared" si="645" ref="V860:AG860">(SUM(V858:V859))</f>
        <v>257338</v>
      </c>
      <c r="W860" s="14">
        <f t="shared" si="645"/>
        <v>59475</v>
      </c>
      <c r="X860" s="14">
        <f t="shared" si="645"/>
        <v>58286</v>
      </c>
      <c r="Y860" s="14">
        <f t="shared" si="645"/>
        <v>263983</v>
      </c>
      <c r="Z860" s="14">
        <f t="shared" si="645"/>
        <v>67277</v>
      </c>
      <c r="AA860" s="14">
        <f t="shared" si="645"/>
        <v>66356</v>
      </c>
      <c r="AB860" s="14">
        <f t="shared" si="645"/>
        <v>69850</v>
      </c>
      <c r="AC860" s="14">
        <f t="shared" si="645"/>
        <v>82164</v>
      </c>
      <c r="AD860" s="14">
        <f t="shared" si="645"/>
        <v>72520.134</v>
      </c>
      <c r="AE860" s="14">
        <f t="shared" si="645"/>
        <v>297140</v>
      </c>
      <c r="AF860" s="14">
        <f t="shared" si="645"/>
        <v>309105.96900000004</v>
      </c>
      <c r="AG860" s="14">
        <f t="shared" si="645"/>
        <v>307452</v>
      </c>
      <c r="AH860" s="14">
        <f aca="true" t="shared" si="646" ref="AH860:AP860">(SUM(AH858:AH859))</f>
        <v>325103</v>
      </c>
      <c r="AI860" s="14">
        <f t="shared" si="646"/>
        <v>319032</v>
      </c>
      <c r="AJ860" s="14">
        <f t="shared" si="646"/>
        <v>322028</v>
      </c>
      <c r="AK860" s="14">
        <f t="shared" si="646"/>
        <v>372476</v>
      </c>
      <c r="AL860" s="70">
        <f t="shared" si="646"/>
        <v>372476</v>
      </c>
      <c r="AM860" s="70">
        <f t="shared" si="646"/>
        <v>326828</v>
      </c>
      <c r="AN860" s="70">
        <f t="shared" si="646"/>
        <v>334433</v>
      </c>
      <c r="AO860" s="70">
        <f t="shared" si="646"/>
        <v>358933</v>
      </c>
      <c r="AP860" s="70">
        <f t="shared" si="646"/>
        <v>323754</v>
      </c>
    </row>
    <row r="861" spans="1:42" ht="15.75">
      <c r="A861" s="35"/>
      <c r="B861" s="15" t="s">
        <v>357</v>
      </c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70"/>
      <c r="AM861" s="70"/>
      <c r="AN861" s="70"/>
      <c r="AO861" s="70"/>
      <c r="AP861" s="70"/>
    </row>
    <row r="862" spans="1:42" ht="15.75">
      <c r="A862" s="15" t="s">
        <v>76</v>
      </c>
      <c r="B862" s="15" t="s">
        <v>357</v>
      </c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70"/>
      <c r="AM862" s="70"/>
      <c r="AN862" s="70"/>
      <c r="AO862" s="70"/>
      <c r="AP862" s="70"/>
    </row>
    <row r="863" spans="1:42" ht="15.75">
      <c r="A863" s="35" t="s">
        <v>201</v>
      </c>
      <c r="B863" s="15" t="s">
        <v>357</v>
      </c>
      <c r="C863" s="14">
        <f aca="true" t="shared" si="647" ref="C863:U863">C507</f>
        <v>159789</v>
      </c>
      <c r="D863" s="14">
        <f t="shared" si="647"/>
        <v>189634</v>
      </c>
      <c r="E863" s="14">
        <f t="shared" si="647"/>
        <v>182716</v>
      </c>
      <c r="F863" s="14">
        <f t="shared" si="647"/>
        <v>251581</v>
      </c>
      <c r="G863" s="14">
        <f t="shared" si="647"/>
        <v>172437</v>
      </c>
      <c r="H863" s="14">
        <f t="shared" si="647"/>
        <v>191506</v>
      </c>
      <c r="I863" s="14">
        <f t="shared" si="647"/>
        <v>181829</v>
      </c>
      <c r="J863" s="14">
        <f t="shared" si="647"/>
        <v>195865</v>
      </c>
      <c r="K863" s="14">
        <f t="shared" si="647"/>
        <v>176239</v>
      </c>
      <c r="L863" s="14">
        <f t="shared" si="647"/>
        <v>363754</v>
      </c>
      <c r="M863" s="14">
        <f t="shared" si="647"/>
        <v>337361</v>
      </c>
      <c r="N863" s="14">
        <f t="shared" si="647"/>
        <v>153795</v>
      </c>
      <c r="O863" s="14">
        <f t="shared" si="647"/>
        <v>153561</v>
      </c>
      <c r="P863" s="14">
        <f t="shared" si="647"/>
        <v>132676</v>
      </c>
      <c r="Q863" s="14">
        <f t="shared" si="647"/>
        <v>178994</v>
      </c>
      <c r="R863" s="14">
        <f t="shared" si="647"/>
        <v>141629</v>
      </c>
      <c r="S863" s="14">
        <f t="shared" si="647"/>
        <v>124622</v>
      </c>
      <c r="T863" s="14">
        <f t="shared" si="647"/>
        <v>126147</v>
      </c>
      <c r="U863" s="14">
        <f t="shared" si="647"/>
        <v>94428</v>
      </c>
      <c r="V863" s="14">
        <f aca="true" t="shared" si="648" ref="V863:AA863">(V507)</f>
        <v>99551</v>
      </c>
      <c r="W863" s="14">
        <f t="shared" si="648"/>
        <v>88726</v>
      </c>
      <c r="X863" s="14">
        <f t="shared" si="648"/>
        <v>88059</v>
      </c>
      <c r="Y863" s="14">
        <f t="shared" si="648"/>
        <v>87105</v>
      </c>
      <c r="Z863" s="14">
        <f t="shared" si="648"/>
        <v>90482</v>
      </c>
      <c r="AA863" s="14">
        <f t="shared" si="648"/>
        <v>99189</v>
      </c>
      <c r="AB863" s="14">
        <f aca="true" t="shared" si="649" ref="AB863:AH863">(AB507)</f>
        <v>100293</v>
      </c>
      <c r="AC863" s="14">
        <f t="shared" si="649"/>
        <v>90962</v>
      </c>
      <c r="AD863" s="14">
        <f t="shared" si="649"/>
        <v>96829</v>
      </c>
      <c r="AE863" s="14">
        <f t="shared" si="649"/>
        <v>87468</v>
      </c>
      <c r="AF863" s="14">
        <f t="shared" si="649"/>
        <v>82122.988</v>
      </c>
      <c r="AG863" s="14">
        <f>(AG507)</f>
        <v>82122.988</v>
      </c>
      <c r="AH863" s="14">
        <f t="shared" si="649"/>
        <v>78876</v>
      </c>
      <c r="AI863" s="14">
        <f aca="true" t="shared" si="650" ref="AI863:AP863">(AI507)</f>
        <v>81031</v>
      </c>
      <c r="AJ863" s="14">
        <f t="shared" si="650"/>
        <v>81032</v>
      </c>
      <c r="AK863" s="14">
        <f>(AK507)</f>
        <v>81473</v>
      </c>
      <c r="AL863" s="70">
        <f t="shared" si="650"/>
        <v>81473</v>
      </c>
      <c r="AM863" s="70">
        <f t="shared" si="650"/>
        <v>79223</v>
      </c>
      <c r="AN863" s="70">
        <f t="shared" si="650"/>
        <v>80208</v>
      </c>
      <c r="AO863" s="70">
        <f>(AO507)</f>
        <v>81510</v>
      </c>
      <c r="AP863" s="70">
        <f t="shared" si="650"/>
        <v>79783</v>
      </c>
    </row>
    <row r="864" spans="1:42" ht="15.75">
      <c r="A864" s="35" t="s">
        <v>269</v>
      </c>
      <c r="B864" s="15" t="s">
        <v>357</v>
      </c>
      <c r="C864" s="16">
        <f aca="true" t="shared" si="651" ref="C864:U864">C518</f>
        <v>20298</v>
      </c>
      <c r="D864" s="16">
        <f t="shared" si="651"/>
        <v>24662</v>
      </c>
      <c r="E864" s="16">
        <f t="shared" si="651"/>
        <v>27131</v>
      </c>
      <c r="F864" s="16">
        <f t="shared" si="651"/>
        <v>50229</v>
      </c>
      <c r="G864" s="16">
        <f t="shared" si="651"/>
        <v>66366</v>
      </c>
      <c r="H864" s="16">
        <f t="shared" si="651"/>
        <v>66094</v>
      </c>
      <c r="I864" s="16">
        <f t="shared" si="651"/>
        <v>55563</v>
      </c>
      <c r="J864" s="16">
        <f t="shared" si="651"/>
        <v>65258</v>
      </c>
      <c r="K864" s="16">
        <f t="shared" si="651"/>
        <v>53351</v>
      </c>
      <c r="L864" s="16">
        <f t="shared" si="651"/>
        <v>89947</v>
      </c>
      <c r="M864" s="16">
        <f t="shared" si="651"/>
        <v>272306</v>
      </c>
      <c r="N864" s="16">
        <f t="shared" si="651"/>
        <v>198281</v>
      </c>
      <c r="O864" s="16">
        <f t="shared" si="651"/>
        <v>160610</v>
      </c>
      <c r="P864" s="16">
        <f t="shared" si="651"/>
        <v>186792</v>
      </c>
      <c r="Q864" s="16">
        <f t="shared" si="651"/>
        <v>226831</v>
      </c>
      <c r="R864" s="16">
        <f t="shared" si="651"/>
        <v>228752</v>
      </c>
      <c r="S864" s="16">
        <f t="shared" si="651"/>
        <v>246245</v>
      </c>
      <c r="T864" s="16">
        <f t="shared" si="651"/>
        <v>224334</v>
      </c>
      <c r="U864" s="16">
        <f t="shared" si="651"/>
        <v>442845</v>
      </c>
      <c r="V864" s="16">
        <f aca="true" t="shared" si="652" ref="V864:AA864">(V518)</f>
        <v>328392</v>
      </c>
      <c r="W864" s="16">
        <f t="shared" si="652"/>
        <v>305674</v>
      </c>
      <c r="X864" s="16">
        <f t="shared" si="652"/>
        <v>207655</v>
      </c>
      <c r="Y864" s="16">
        <f t="shared" si="652"/>
        <v>229090</v>
      </c>
      <c r="Z864" s="16">
        <f t="shared" si="652"/>
        <v>268667</v>
      </c>
      <c r="AA864" s="16">
        <f t="shared" si="652"/>
        <v>228100</v>
      </c>
      <c r="AB864" s="16">
        <f aca="true" t="shared" si="653" ref="AB864:AH864">(AB518)</f>
        <v>279409</v>
      </c>
      <c r="AC864" s="16">
        <f t="shared" si="653"/>
        <v>268355</v>
      </c>
      <c r="AD864" s="16">
        <f t="shared" si="653"/>
        <v>240307</v>
      </c>
      <c r="AE864" s="16">
        <f t="shared" si="653"/>
        <v>289543</v>
      </c>
      <c r="AF864" s="16">
        <f t="shared" si="653"/>
        <v>301443</v>
      </c>
      <c r="AG864" s="16">
        <f>(AG518)</f>
        <v>308998</v>
      </c>
      <c r="AH864" s="16">
        <f t="shared" si="653"/>
        <v>302968</v>
      </c>
      <c r="AI864" s="16">
        <f aca="true" t="shared" si="654" ref="AI864:AP864">(AI518)</f>
        <v>311021</v>
      </c>
      <c r="AJ864" s="16">
        <f t="shared" si="654"/>
        <v>340771</v>
      </c>
      <c r="AK864" s="16">
        <f>(AK518)</f>
        <v>330925</v>
      </c>
      <c r="AL864" s="104">
        <f t="shared" si="654"/>
        <v>330925</v>
      </c>
      <c r="AM864" s="104">
        <f t="shared" si="654"/>
        <v>347103</v>
      </c>
      <c r="AN864" s="104">
        <f t="shared" si="654"/>
        <v>321649</v>
      </c>
      <c r="AO864" s="104">
        <f>(AO518)</f>
        <v>321649</v>
      </c>
      <c r="AP864" s="104">
        <f t="shared" si="654"/>
        <v>324060</v>
      </c>
    </row>
    <row r="865" spans="1:42" ht="15.75">
      <c r="A865" s="35" t="s">
        <v>217</v>
      </c>
      <c r="B865" s="15" t="s">
        <v>357</v>
      </c>
      <c r="C865" s="14">
        <f aca="true" t="shared" si="655" ref="C865:L865">SUM(C863:C864)</f>
        <v>180087</v>
      </c>
      <c r="D865" s="14">
        <f t="shared" si="655"/>
        <v>214296</v>
      </c>
      <c r="E865" s="14">
        <f t="shared" si="655"/>
        <v>209847</v>
      </c>
      <c r="F865" s="14">
        <f t="shared" si="655"/>
        <v>301810</v>
      </c>
      <c r="G865" s="14">
        <f t="shared" si="655"/>
        <v>238803</v>
      </c>
      <c r="H865" s="14">
        <f t="shared" si="655"/>
        <v>257600</v>
      </c>
      <c r="I865" s="14">
        <f t="shared" si="655"/>
        <v>237392</v>
      </c>
      <c r="J865" s="14">
        <f t="shared" si="655"/>
        <v>261123</v>
      </c>
      <c r="K865" s="14">
        <f t="shared" si="655"/>
        <v>229590</v>
      </c>
      <c r="L865" s="14">
        <f t="shared" si="655"/>
        <v>453701</v>
      </c>
      <c r="M865" s="14">
        <f aca="true" t="shared" si="656" ref="M865:U865">SUM(M863:M864)</f>
        <v>609667</v>
      </c>
      <c r="N865" s="14">
        <f t="shared" si="656"/>
        <v>352076</v>
      </c>
      <c r="O865" s="14">
        <f t="shared" si="656"/>
        <v>314171</v>
      </c>
      <c r="P865" s="14">
        <f t="shared" si="656"/>
        <v>319468</v>
      </c>
      <c r="Q865" s="14">
        <f t="shared" si="656"/>
        <v>405825</v>
      </c>
      <c r="R865" s="14">
        <f t="shared" si="656"/>
        <v>370381</v>
      </c>
      <c r="S865" s="14">
        <f t="shared" si="656"/>
        <v>370867</v>
      </c>
      <c r="T865" s="14">
        <f t="shared" si="656"/>
        <v>350481</v>
      </c>
      <c r="U865" s="14">
        <f t="shared" si="656"/>
        <v>537273</v>
      </c>
      <c r="V865" s="14">
        <f aca="true" t="shared" si="657" ref="V865:AG865">(SUM(V863:V864))</f>
        <v>427943</v>
      </c>
      <c r="W865" s="14">
        <f t="shared" si="657"/>
        <v>394400</v>
      </c>
      <c r="X865" s="14">
        <f t="shared" si="657"/>
        <v>295714</v>
      </c>
      <c r="Y865" s="14">
        <f t="shared" si="657"/>
        <v>316195</v>
      </c>
      <c r="Z865" s="14">
        <f t="shared" si="657"/>
        <v>359149</v>
      </c>
      <c r="AA865" s="14">
        <f t="shared" si="657"/>
        <v>327289</v>
      </c>
      <c r="AB865" s="14">
        <f t="shared" si="657"/>
        <v>379702</v>
      </c>
      <c r="AC865" s="14">
        <f t="shared" si="657"/>
        <v>359317</v>
      </c>
      <c r="AD865" s="14">
        <f t="shared" si="657"/>
        <v>337136</v>
      </c>
      <c r="AE865" s="14">
        <f t="shared" si="657"/>
        <v>377011</v>
      </c>
      <c r="AF865" s="14">
        <f t="shared" si="657"/>
        <v>383565.988</v>
      </c>
      <c r="AG865" s="14">
        <f t="shared" si="657"/>
        <v>391120.988</v>
      </c>
      <c r="AH865" s="14">
        <f aca="true" t="shared" si="658" ref="AH865:AP865">(SUM(AH863:AH864))</f>
        <v>381844</v>
      </c>
      <c r="AI865" s="14">
        <f t="shared" si="658"/>
        <v>392052</v>
      </c>
      <c r="AJ865" s="14">
        <f t="shared" si="658"/>
        <v>421803</v>
      </c>
      <c r="AK865" s="14">
        <f t="shared" si="658"/>
        <v>412398</v>
      </c>
      <c r="AL865" s="70">
        <f t="shared" si="658"/>
        <v>412398</v>
      </c>
      <c r="AM865" s="70">
        <f t="shared" si="658"/>
        <v>426326</v>
      </c>
      <c r="AN865" s="70">
        <f t="shared" si="658"/>
        <v>401857</v>
      </c>
      <c r="AO865" s="70">
        <f t="shared" si="658"/>
        <v>403159</v>
      </c>
      <c r="AP865" s="70">
        <f t="shared" si="658"/>
        <v>403843</v>
      </c>
    </row>
    <row r="866" spans="1:42" ht="15.75">
      <c r="A866" s="14"/>
      <c r="B866" s="15" t="s">
        <v>357</v>
      </c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70"/>
      <c r="AM866" s="70"/>
      <c r="AN866" s="70"/>
      <c r="AO866" s="70"/>
      <c r="AP866" s="70"/>
    </row>
    <row r="867" spans="1:42" ht="15.75">
      <c r="A867" s="15" t="s">
        <v>423</v>
      </c>
      <c r="B867" s="15" t="s">
        <v>357</v>
      </c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70"/>
      <c r="AM867" s="70"/>
      <c r="AN867" s="70"/>
      <c r="AO867" s="70"/>
      <c r="AP867" s="70"/>
    </row>
    <row r="868" spans="1:42" ht="15.75">
      <c r="A868" s="35" t="s">
        <v>201</v>
      </c>
      <c r="B868" s="15" t="s">
        <v>357</v>
      </c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4">
        <f aca="true" t="shared" si="659" ref="X868:AC868">X532</f>
        <v>4228</v>
      </c>
      <c r="Y868" s="14">
        <f t="shared" si="659"/>
        <v>4492</v>
      </c>
      <c r="Z868" s="14">
        <f t="shared" si="659"/>
        <v>5374</v>
      </c>
      <c r="AA868" s="14">
        <f t="shared" si="659"/>
        <v>5391</v>
      </c>
      <c r="AB868" s="14">
        <f t="shared" si="659"/>
        <v>5497</v>
      </c>
      <c r="AC868" s="14">
        <f t="shared" si="659"/>
        <v>5538</v>
      </c>
      <c r="AD868" s="14">
        <f aca="true" t="shared" si="660" ref="AD868:AL868">AD532</f>
        <v>5502</v>
      </c>
      <c r="AE868" s="14">
        <f t="shared" si="660"/>
        <v>5633</v>
      </c>
      <c r="AF868" s="14">
        <f t="shared" si="660"/>
        <v>5563.591</v>
      </c>
      <c r="AG868" s="14">
        <f t="shared" si="660"/>
        <v>5563.591</v>
      </c>
      <c r="AH868" s="14">
        <f t="shared" si="660"/>
        <v>5818</v>
      </c>
      <c r="AI868" s="14">
        <f t="shared" si="660"/>
        <v>5737</v>
      </c>
      <c r="AJ868" s="14">
        <f>AJ532</f>
        <v>5737</v>
      </c>
      <c r="AK868" s="14">
        <f>AK532</f>
        <v>6016</v>
      </c>
      <c r="AL868" s="70">
        <f t="shared" si="660"/>
        <v>6016</v>
      </c>
      <c r="AM868" s="70">
        <f>AM532</f>
        <v>6109</v>
      </c>
      <c r="AN868" s="70">
        <f>AN532</f>
        <v>5464</v>
      </c>
      <c r="AO868" s="70">
        <f>AO532</f>
        <v>6043</v>
      </c>
      <c r="AP868" s="70">
        <f>AP532</f>
        <v>6224</v>
      </c>
    </row>
    <row r="869" spans="1:42" ht="15.75">
      <c r="A869" s="35" t="s">
        <v>269</v>
      </c>
      <c r="B869" s="15" t="s">
        <v>357</v>
      </c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6">
        <f aca="true" t="shared" si="661" ref="X869:AC869">(X540)</f>
        <v>25662</v>
      </c>
      <c r="Y869" s="16">
        <f t="shared" si="661"/>
        <v>33755</v>
      </c>
      <c r="Z869" s="16">
        <f t="shared" si="661"/>
        <v>21992</v>
      </c>
      <c r="AA869" s="16">
        <f t="shared" si="661"/>
        <v>93190</v>
      </c>
      <c r="AB869" s="16">
        <f t="shared" si="661"/>
        <v>15339</v>
      </c>
      <c r="AC869" s="16">
        <f t="shared" si="661"/>
        <v>44126</v>
      </c>
      <c r="AD869" s="16">
        <f aca="true" t="shared" si="662" ref="AD869:AL869">(AD540)</f>
        <v>25740</v>
      </c>
      <c r="AE869" s="16">
        <f t="shared" si="662"/>
        <v>49000</v>
      </c>
      <c r="AF869" s="16">
        <f t="shared" si="662"/>
        <v>38400</v>
      </c>
      <c r="AG869" s="16">
        <f t="shared" si="662"/>
        <v>35526</v>
      </c>
      <c r="AH869" s="16">
        <f t="shared" si="662"/>
        <v>35700</v>
      </c>
      <c r="AI869" s="16">
        <f t="shared" si="662"/>
        <v>30650</v>
      </c>
      <c r="AJ869" s="16">
        <f>(AJ540)</f>
        <v>37681</v>
      </c>
      <c r="AK869" s="16">
        <f>(AK540)</f>
        <v>73771</v>
      </c>
      <c r="AL869" s="104">
        <f t="shared" si="662"/>
        <v>73771</v>
      </c>
      <c r="AM869" s="104">
        <f>(AM540)</f>
        <v>29000</v>
      </c>
      <c r="AN869" s="104">
        <f>(AN540)</f>
        <v>64000</v>
      </c>
      <c r="AO869" s="104">
        <f>(AO540)</f>
        <v>64000</v>
      </c>
      <c r="AP869" s="104">
        <f>(AP540)</f>
        <v>39000</v>
      </c>
    </row>
    <row r="870" spans="1:42" ht="15.75">
      <c r="A870" s="35" t="s">
        <v>217</v>
      </c>
      <c r="B870" s="15" t="s">
        <v>357</v>
      </c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4">
        <f aca="true" t="shared" si="663" ref="X870:AG870">(X868+X869)</f>
        <v>29890</v>
      </c>
      <c r="Y870" s="14">
        <f t="shared" si="663"/>
        <v>38247</v>
      </c>
      <c r="Z870" s="14">
        <f t="shared" si="663"/>
        <v>27366</v>
      </c>
      <c r="AA870" s="14">
        <f t="shared" si="663"/>
        <v>98581</v>
      </c>
      <c r="AB870" s="14">
        <f t="shared" si="663"/>
        <v>20836</v>
      </c>
      <c r="AC870" s="14">
        <f t="shared" si="663"/>
        <v>49664</v>
      </c>
      <c r="AD870" s="14">
        <f t="shared" si="663"/>
        <v>31242</v>
      </c>
      <c r="AE870" s="14">
        <f t="shared" si="663"/>
        <v>54633</v>
      </c>
      <c r="AF870" s="14">
        <f t="shared" si="663"/>
        <v>43963.591</v>
      </c>
      <c r="AG870" s="14">
        <f t="shared" si="663"/>
        <v>41089.591</v>
      </c>
      <c r="AH870" s="14">
        <f aca="true" t="shared" si="664" ref="AH870:AP870">(AH868+AH869)</f>
        <v>41518</v>
      </c>
      <c r="AI870" s="14">
        <f t="shared" si="664"/>
        <v>36387</v>
      </c>
      <c r="AJ870" s="14">
        <f t="shared" si="664"/>
        <v>43418</v>
      </c>
      <c r="AK870" s="14">
        <f t="shared" si="664"/>
        <v>79787</v>
      </c>
      <c r="AL870" s="70">
        <f t="shared" si="664"/>
        <v>79787</v>
      </c>
      <c r="AM870" s="70">
        <f t="shared" si="664"/>
        <v>35109</v>
      </c>
      <c r="AN870" s="70">
        <f t="shared" si="664"/>
        <v>69464</v>
      </c>
      <c r="AO870" s="70">
        <f t="shared" si="664"/>
        <v>70043</v>
      </c>
      <c r="AP870" s="70">
        <f t="shared" si="664"/>
        <v>45224</v>
      </c>
    </row>
    <row r="871" spans="1:42" ht="15.75">
      <c r="A871" s="35"/>
      <c r="B871" s="15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70"/>
      <c r="AM871" s="70"/>
      <c r="AN871" s="70"/>
      <c r="AO871" s="70"/>
      <c r="AP871" s="70"/>
    </row>
    <row r="872" spans="1:42" ht="15.75">
      <c r="A872" s="15" t="s">
        <v>227</v>
      </c>
      <c r="B872" s="15" t="s">
        <v>357</v>
      </c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70"/>
      <c r="AM872" s="70"/>
      <c r="AN872" s="70"/>
      <c r="AO872" s="70"/>
      <c r="AP872" s="70"/>
    </row>
    <row r="873" spans="1:42" ht="15.75">
      <c r="A873" s="35" t="s">
        <v>201</v>
      </c>
      <c r="B873" s="15" t="s">
        <v>357</v>
      </c>
      <c r="C873" s="14">
        <f aca="true" t="shared" si="665" ref="C873:U873">C550</f>
        <v>12381</v>
      </c>
      <c r="D873" s="14">
        <f t="shared" si="665"/>
        <v>14407</v>
      </c>
      <c r="E873" s="14">
        <f t="shared" si="665"/>
        <v>15082</v>
      </c>
      <c r="F873" s="14">
        <f t="shared" si="665"/>
        <v>16466</v>
      </c>
      <c r="G873" s="14">
        <f t="shared" si="665"/>
        <v>17908</v>
      </c>
      <c r="H873" s="14">
        <f t="shared" si="665"/>
        <v>17750</v>
      </c>
      <c r="I873" s="14">
        <f t="shared" si="665"/>
        <v>19551</v>
      </c>
      <c r="J873" s="14">
        <f t="shared" si="665"/>
        <v>19542</v>
      </c>
      <c r="K873" s="14">
        <f t="shared" si="665"/>
        <v>20562</v>
      </c>
      <c r="L873" s="14">
        <f t="shared" si="665"/>
        <v>19385</v>
      </c>
      <c r="M873" s="14">
        <f t="shared" si="665"/>
        <v>21280</v>
      </c>
      <c r="N873" s="14">
        <f t="shared" si="665"/>
        <v>23053</v>
      </c>
      <c r="O873" s="14">
        <f t="shared" si="665"/>
        <v>24686</v>
      </c>
      <c r="P873" s="14">
        <f t="shared" si="665"/>
        <v>25305</v>
      </c>
      <c r="Q873" s="14">
        <f t="shared" si="665"/>
        <v>26742</v>
      </c>
      <c r="R873" s="14">
        <f t="shared" si="665"/>
        <v>31128</v>
      </c>
      <c r="S873" s="14">
        <f t="shared" si="665"/>
        <v>31457</v>
      </c>
      <c r="T873" s="14">
        <f t="shared" si="665"/>
        <v>33359</v>
      </c>
      <c r="U873" s="14">
        <f t="shared" si="665"/>
        <v>34586</v>
      </c>
      <c r="V873" s="14">
        <f aca="true" t="shared" si="666" ref="V873:AA873">(V550)</f>
        <v>34381</v>
      </c>
      <c r="W873" s="14">
        <f t="shared" si="666"/>
        <v>35443</v>
      </c>
      <c r="X873" s="14">
        <f t="shared" si="666"/>
        <v>35443</v>
      </c>
      <c r="Y873" s="14">
        <f t="shared" si="666"/>
        <v>37452</v>
      </c>
      <c r="Z873" s="14">
        <f t="shared" si="666"/>
        <v>40196</v>
      </c>
      <c r="AA873" s="14">
        <f t="shared" si="666"/>
        <v>40108</v>
      </c>
      <c r="AB873" s="14">
        <f aca="true" t="shared" si="667" ref="AB873:AH873">(AB550)</f>
        <v>44973</v>
      </c>
      <c r="AC873" s="14">
        <f t="shared" si="667"/>
        <v>47773</v>
      </c>
      <c r="AD873" s="14">
        <f t="shared" si="667"/>
        <v>47462</v>
      </c>
      <c r="AE873" s="14">
        <f t="shared" si="667"/>
        <v>50374</v>
      </c>
      <c r="AF873" s="14">
        <f t="shared" si="667"/>
        <v>49753.297</v>
      </c>
      <c r="AG873" s="14">
        <f>(AG550)</f>
        <v>49753.297</v>
      </c>
      <c r="AH873" s="14">
        <f t="shared" si="667"/>
        <v>53453</v>
      </c>
      <c r="AI873" s="14">
        <f aca="true" t="shared" si="668" ref="AI873:AP873">(AI550)</f>
        <v>51656</v>
      </c>
      <c r="AJ873" s="14">
        <f t="shared" si="668"/>
        <v>51662</v>
      </c>
      <c r="AK873" s="14">
        <f>(AK550)</f>
        <v>54624</v>
      </c>
      <c r="AL873" s="70">
        <f t="shared" si="668"/>
        <v>54624</v>
      </c>
      <c r="AM873" s="70">
        <f t="shared" si="668"/>
        <v>56755</v>
      </c>
      <c r="AN873" s="70">
        <f t="shared" si="668"/>
        <v>54624</v>
      </c>
      <c r="AO873" s="70">
        <f>(AO550)</f>
        <v>55018</v>
      </c>
      <c r="AP873" s="70">
        <f t="shared" si="668"/>
        <v>58949</v>
      </c>
    </row>
    <row r="874" spans="1:42" ht="15.75">
      <c r="A874" s="14"/>
      <c r="B874" s="15" t="s">
        <v>357</v>
      </c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70"/>
      <c r="AM874" s="70"/>
      <c r="AN874" s="70"/>
      <c r="AO874" s="70"/>
      <c r="AP874" s="70"/>
    </row>
    <row r="875" spans="1:42" ht="15.75">
      <c r="A875" s="15" t="s">
        <v>253</v>
      </c>
      <c r="B875" s="15" t="s">
        <v>357</v>
      </c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70"/>
      <c r="AM875" s="70"/>
      <c r="AN875" s="70"/>
      <c r="AO875" s="70"/>
      <c r="AP875" s="70"/>
    </row>
    <row r="876" spans="1:42" ht="15.75">
      <c r="A876" s="35" t="s">
        <v>201</v>
      </c>
      <c r="B876" s="15" t="s">
        <v>357</v>
      </c>
      <c r="C876" s="14">
        <f aca="true" t="shared" si="669" ref="C876:U876">C561</f>
        <v>0</v>
      </c>
      <c r="D876" s="14">
        <f t="shared" si="669"/>
        <v>0</v>
      </c>
      <c r="E876" s="14">
        <f t="shared" si="669"/>
        <v>0</v>
      </c>
      <c r="F876" s="14">
        <f t="shared" si="669"/>
        <v>0</v>
      </c>
      <c r="G876" s="14">
        <f t="shared" si="669"/>
        <v>9119</v>
      </c>
      <c r="H876" s="14">
        <f t="shared" si="669"/>
        <v>13369</v>
      </c>
      <c r="I876" s="14">
        <f t="shared" si="669"/>
        <v>21900</v>
      </c>
      <c r="J876" s="14">
        <f t="shared" si="669"/>
        <v>16814</v>
      </c>
      <c r="K876" s="14">
        <f t="shared" si="669"/>
        <v>16908</v>
      </c>
      <c r="L876" s="14">
        <f t="shared" si="669"/>
        <v>15424</v>
      </c>
      <c r="M876" s="14">
        <f t="shared" si="669"/>
        <v>16725</v>
      </c>
      <c r="N876" s="14">
        <f t="shared" si="669"/>
        <v>17757</v>
      </c>
      <c r="O876" s="14">
        <f t="shared" si="669"/>
        <v>18749</v>
      </c>
      <c r="P876" s="14">
        <f t="shared" si="669"/>
        <v>20464</v>
      </c>
      <c r="Q876" s="14">
        <f t="shared" si="669"/>
        <v>22040</v>
      </c>
      <c r="R876" s="14">
        <f t="shared" si="669"/>
        <v>23741</v>
      </c>
      <c r="S876" s="14">
        <f t="shared" si="669"/>
        <v>23539</v>
      </c>
      <c r="T876" s="14">
        <f t="shared" si="669"/>
        <v>24283</v>
      </c>
      <c r="U876" s="14">
        <f t="shared" si="669"/>
        <v>23898</v>
      </c>
      <c r="V876" s="14">
        <f aca="true" t="shared" si="670" ref="V876:AA876">(V561)</f>
        <v>23906</v>
      </c>
      <c r="W876" s="14">
        <f t="shared" si="670"/>
        <v>24439</v>
      </c>
      <c r="X876" s="14">
        <f t="shared" si="670"/>
        <v>24500</v>
      </c>
      <c r="Y876" s="14">
        <f t="shared" si="670"/>
        <v>25436</v>
      </c>
      <c r="Z876" s="14">
        <f t="shared" si="670"/>
        <v>26086</v>
      </c>
      <c r="AA876" s="14">
        <f t="shared" si="670"/>
        <v>27785</v>
      </c>
      <c r="AB876" s="14">
        <f aca="true" t="shared" si="671" ref="AB876:AH876">(AB561)</f>
        <v>34283</v>
      </c>
      <c r="AC876" s="14">
        <f t="shared" si="671"/>
        <v>36091</v>
      </c>
      <c r="AD876" s="14">
        <f t="shared" si="671"/>
        <v>35438.866</v>
      </c>
      <c r="AE876" s="14">
        <f t="shared" si="671"/>
        <v>39049</v>
      </c>
      <c r="AF876" s="14">
        <f t="shared" si="671"/>
        <v>38271.539</v>
      </c>
      <c r="AG876" s="14">
        <f>(AG561)</f>
        <v>38271.539</v>
      </c>
      <c r="AH876" s="14">
        <f t="shared" si="671"/>
        <v>39400</v>
      </c>
      <c r="AI876" s="14">
        <f aca="true" t="shared" si="672" ref="AI876:AP876">(AI561)</f>
        <v>37275</v>
      </c>
      <c r="AJ876" s="14">
        <f t="shared" si="672"/>
        <v>37275</v>
      </c>
      <c r="AK876" s="14">
        <f>(AK561)</f>
        <v>38541</v>
      </c>
      <c r="AL876" s="70">
        <f t="shared" si="672"/>
        <v>38541</v>
      </c>
      <c r="AM876" s="70">
        <f t="shared" si="672"/>
        <v>40699</v>
      </c>
      <c r="AN876" s="70">
        <f t="shared" si="672"/>
        <v>38541</v>
      </c>
      <c r="AO876" s="70">
        <f>(AO561)</f>
        <v>38823</v>
      </c>
      <c r="AP876" s="70">
        <f t="shared" si="672"/>
        <v>42322</v>
      </c>
    </row>
    <row r="877" spans="1:42" ht="15.75">
      <c r="A877" s="35" t="s">
        <v>269</v>
      </c>
      <c r="B877" s="15" t="s">
        <v>357</v>
      </c>
      <c r="C877" s="16">
        <f aca="true" t="shared" si="673" ref="C877:U877">C569</f>
        <v>0</v>
      </c>
      <c r="D877" s="16">
        <f t="shared" si="673"/>
        <v>0</v>
      </c>
      <c r="E877" s="16">
        <f t="shared" si="673"/>
        <v>0</v>
      </c>
      <c r="F877" s="16">
        <f t="shared" si="673"/>
        <v>0</v>
      </c>
      <c r="G877" s="16">
        <f t="shared" si="673"/>
        <v>0</v>
      </c>
      <c r="H877" s="16">
        <f t="shared" si="673"/>
        <v>0</v>
      </c>
      <c r="I877" s="16">
        <f t="shared" si="673"/>
        <v>0</v>
      </c>
      <c r="J877" s="16">
        <f t="shared" si="673"/>
        <v>0</v>
      </c>
      <c r="K877" s="16">
        <f t="shared" si="673"/>
        <v>0</v>
      </c>
      <c r="L877" s="16">
        <f t="shared" si="673"/>
        <v>31</v>
      </c>
      <c r="M877" s="16">
        <f t="shared" si="673"/>
        <v>36</v>
      </c>
      <c r="N877" s="16">
        <f t="shared" si="673"/>
        <v>16</v>
      </c>
      <c r="O877" s="16">
        <f t="shared" si="673"/>
        <v>12</v>
      </c>
      <c r="P877" s="16">
        <f t="shared" si="673"/>
        <v>-42</v>
      </c>
      <c r="Q877" s="16">
        <f t="shared" si="673"/>
        <v>0</v>
      </c>
      <c r="R877" s="16">
        <f t="shared" si="673"/>
        <v>0</v>
      </c>
      <c r="S877" s="16">
        <f t="shared" si="673"/>
        <v>0</v>
      </c>
      <c r="T877" s="16">
        <f t="shared" si="673"/>
        <v>0</v>
      </c>
      <c r="U877" s="16">
        <f t="shared" si="673"/>
        <v>0</v>
      </c>
      <c r="V877" s="16">
        <f aca="true" t="shared" si="674" ref="V877:AA877">(V569)</f>
        <v>0</v>
      </c>
      <c r="W877" s="16">
        <f t="shared" si="674"/>
        <v>0</v>
      </c>
      <c r="X877" s="16">
        <f t="shared" si="674"/>
        <v>0</v>
      </c>
      <c r="Y877" s="16">
        <f t="shared" si="674"/>
        <v>0</v>
      </c>
      <c r="Z877" s="16">
        <f t="shared" si="674"/>
        <v>0</v>
      </c>
      <c r="AA877" s="16">
        <f t="shared" si="674"/>
        <v>0</v>
      </c>
      <c r="AB877" s="16">
        <f aca="true" t="shared" si="675" ref="AB877:AH877">(AB569)</f>
        <v>0</v>
      </c>
      <c r="AC877" s="16">
        <f t="shared" si="675"/>
        <v>0</v>
      </c>
      <c r="AD877" s="16">
        <f t="shared" si="675"/>
        <v>0</v>
      </c>
      <c r="AE877" s="16">
        <f t="shared" si="675"/>
        <v>0</v>
      </c>
      <c r="AF877" s="16">
        <f t="shared" si="675"/>
        <v>0</v>
      </c>
      <c r="AG877" s="16">
        <f>(AG569)</f>
        <v>0</v>
      </c>
      <c r="AH877" s="16">
        <f t="shared" si="675"/>
        <v>0</v>
      </c>
      <c r="AI877" s="16">
        <f aca="true" t="shared" si="676" ref="AI877:AP877">(AI569)</f>
        <v>0</v>
      </c>
      <c r="AJ877" s="16">
        <f t="shared" si="676"/>
        <v>0</v>
      </c>
      <c r="AK877" s="16">
        <f>(AK569)</f>
        <v>0</v>
      </c>
      <c r="AL877" s="104">
        <f t="shared" si="676"/>
        <v>0</v>
      </c>
      <c r="AM877" s="104">
        <f t="shared" si="676"/>
        <v>0</v>
      </c>
      <c r="AN877" s="104">
        <f t="shared" si="676"/>
        <v>0</v>
      </c>
      <c r="AO877" s="104">
        <f>(AO569)</f>
        <v>0</v>
      </c>
      <c r="AP877" s="104">
        <f t="shared" si="676"/>
        <v>0</v>
      </c>
    </row>
    <row r="878" spans="1:42" ht="15.75">
      <c r="A878" s="35" t="s">
        <v>217</v>
      </c>
      <c r="B878" s="15" t="s">
        <v>357</v>
      </c>
      <c r="C878" s="14">
        <f aca="true" t="shared" si="677" ref="C878:L878">C876+C877</f>
        <v>0</v>
      </c>
      <c r="D878" s="14">
        <f t="shared" si="677"/>
        <v>0</v>
      </c>
      <c r="E878" s="14">
        <f t="shared" si="677"/>
        <v>0</v>
      </c>
      <c r="F878" s="14">
        <f t="shared" si="677"/>
        <v>0</v>
      </c>
      <c r="G878" s="14">
        <f t="shared" si="677"/>
        <v>9119</v>
      </c>
      <c r="H878" s="14">
        <f t="shared" si="677"/>
        <v>13369</v>
      </c>
      <c r="I878" s="14">
        <f t="shared" si="677"/>
        <v>21900</v>
      </c>
      <c r="J878" s="14">
        <f t="shared" si="677"/>
        <v>16814</v>
      </c>
      <c r="K878" s="14">
        <f t="shared" si="677"/>
        <v>16908</v>
      </c>
      <c r="L878" s="14">
        <f t="shared" si="677"/>
        <v>15455</v>
      </c>
      <c r="M878" s="14">
        <f aca="true" t="shared" si="678" ref="M878:U878">M876+M877</f>
        <v>16761</v>
      </c>
      <c r="N878" s="14">
        <f t="shared" si="678"/>
        <v>17773</v>
      </c>
      <c r="O878" s="14">
        <f t="shared" si="678"/>
        <v>18761</v>
      </c>
      <c r="P878" s="14">
        <f t="shared" si="678"/>
        <v>20422</v>
      </c>
      <c r="Q878" s="14">
        <f t="shared" si="678"/>
        <v>22040</v>
      </c>
      <c r="R878" s="14">
        <f t="shared" si="678"/>
        <v>23741</v>
      </c>
      <c r="S878" s="14">
        <f t="shared" si="678"/>
        <v>23539</v>
      </c>
      <c r="T878" s="14">
        <f t="shared" si="678"/>
        <v>24283</v>
      </c>
      <c r="U878" s="14">
        <f t="shared" si="678"/>
        <v>23898</v>
      </c>
      <c r="V878" s="14">
        <f aca="true" t="shared" si="679" ref="V878:AG878">(V876+V877)</f>
        <v>23906</v>
      </c>
      <c r="W878" s="14">
        <f t="shared" si="679"/>
        <v>24439</v>
      </c>
      <c r="X878" s="14">
        <f t="shared" si="679"/>
        <v>24500</v>
      </c>
      <c r="Y878" s="14">
        <f t="shared" si="679"/>
        <v>25436</v>
      </c>
      <c r="Z878" s="14">
        <f t="shared" si="679"/>
        <v>26086</v>
      </c>
      <c r="AA878" s="14">
        <f t="shared" si="679"/>
        <v>27785</v>
      </c>
      <c r="AB878" s="14">
        <f t="shared" si="679"/>
        <v>34283</v>
      </c>
      <c r="AC878" s="14">
        <f t="shared" si="679"/>
        <v>36091</v>
      </c>
      <c r="AD878" s="14">
        <f t="shared" si="679"/>
        <v>35438.866</v>
      </c>
      <c r="AE878" s="14">
        <f t="shared" si="679"/>
        <v>39049</v>
      </c>
      <c r="AF878" s="14">
        <f t="shared" si="679"/>
        <v>38271.539</v>
      </c>
      <c r="AG878" s="14">
        <f t="shared" si="679"/>
        <v>38271.539</v>
      </c>
      <c r="AH878" s="14">
        <f aca="true" t="shared" si="680" ref="AH878:AP878">(AH876+AH877)</f>
        <v>39400</v>
      </c>
      <c r="AI878" s="14">
        <f t="shared" si="680"/>
        <v>37275</v>
      </c>
      <c r="AJ878" s="14">
        <f t="shared" si="680"/>
        <v>37275</v>
      </c>
      <c r="AK878" s="14">
        <f t="shared" si="680"/>
        <v>38541</v>
      </c>
      <c r="AL878" s="70">
        <f t="shared" si="680"/>
        <v>38541</v>
      </c>
      <c r="AM878" s="70">
        <f t="shared" si="680"/>
        <v>40699</v>
      </c>
      <c r="AN878" s="70">
        <f t="shared" si="680"/>
        <v>38541</v>
      </c>
      <c r="AO878" s="70">
        <f t="shared" si="680"/>
        <v>38823</v>
      </c>
      <c r="AP878" s="70">
        <f t="shared" si="680"/>
        <v>42322</v>
      </c>
    </row>
    <row r="879" spans="1:42" ht="15.75">
      <c r="A879" s="35"/>
      <c r="B879" s="15" t="s">
        <v>357</v>
      </c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70"/>
      <c r="AM879" s="70"/>
      <c r="AN879" s="70"/>
      <c r="AO879" s="70"/>
      <c r="AP879" s="70"/>
    </row>
    <row r="880" spans="1:42" ht="15.75">
      <c r="A880" s="35" t="s">
        <v>309</v>
      </c>
      <c r="B880" s="15" t="s">
        <v>357</v>
      </c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70"/>
      <c r="AM880" s="70"/>
      <c r="AN880" s="70"/>
      <c r="AO880" s="70"/>
      <c r="AP880" s="70"/>
    </row>
    <row r="881" spans="1:42" ht="15.75">
      <c r="A881" s="62" t="s">
        <v>308</v>
      </c>
      <c r="B881" s="15" t="s">
        <v>357</v>
      </c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39">
        <f aca="true" t="shared" si="681" ref="V881:AA881">V582</f>
        <v>16315</v>
      </c>
      <c r="W881" s="14">
        <f t="shared" si="681"/>
        <v>34120</v>
      </c>
      <c r="X881" s="14">
        <f t="shared" si="681"/>
        <v>38557</v>
      </c>
      <c r="Y881" s="14">
        <f t="shared" si="681"/>
        <v>56979</v>
      </c>
      <c r="Z881" s="14">
        <f t="shared" si="681"/>
        <v>92690</v>
      </c>
      <c r="AA881" s="14">
        <f t="shared" si="681"/>
        <v>118965</v>
      </c>
      <c r="AB881" s="14">
        <f aca="true" t="shared" si="682" ref="AB881:AH881">AB582</f>
        <v>110151</v>
      </c>
      <c r="AC881" s="14">
        <f t="shared" si="682"/>
        <v>159007</v>
      </c>
      <c r="AD881" s="14">
        <f t="shared" si="682"/>
        <v>148287</v>
      </c>
      <c r="AE881" s="14">
        <f t="shared" si="682"/>
        <v>274641</v>
      </c>
      <c r="AF881" s="14">
        <f t="shared" si="682"/>
        <v>209013.43000000002</v>
      </c>
      <c r="AG881" s="14">
        <f>AG582</f>
        <v>209013.43000000002</v>
      </c>
      <c r="AH881" s="14">
        <f t="shared" si="682"/>
        <v>317666</v>
      </c>
      <c r="AI881" s="14">
        <f aca="true" t="shared" si="683" ref="AI881:AP881">AI582</f>
        <v>228054</v>
      </c>
      <c r="AJ881" s="14">
        <f t="shared" si="683"/>
        <v>228054</v>
      </c>
      <c r="AK881" s="14">
        <f>AK582</f>
        <v>225780</v>
      </c>
      <c r="AL881" s="70">
        <f t="shared" si="683"/>
        <v>225780</v>
      </c>
      <c r="AM881" s="70">
        <f t="shared" si="683"/>
        <v>244485</v>
      </c>
      <c r="AN881" s="70">
        <f t="shared" si="683"/>
        <v>180783</v>
      </c>
      <c r="AO881" s="70">
        <f>AO582</f>
        <v>223257</v>
      </c>
      <c r="AP881" s="70">
        <f t="shared" si="683"/>
        <v>196158</v>
      </c>
    </row>
    <row r="882" spans="1:42" ht="15.75">
      <c r="A882" s="35" t="s">
        <v>269</v>
      </c>
      <c r="B882" s="15" t="s">
        <v>357</v>
      </c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>
        <f aca="true" t="shared" si="684" ref="V882:AA882">V588</f>
        <v>0</v>
      </c>
      <c r="W882" s="14">
        <f t="shared" si="684"/>
        <v>23620</v>
      </c>
      <c r="X882" s="14">
        <f t="shared" si="684"/>
        <v>19725</v>
      </c>
      <c r="Y882" s="14">
        <f t="shared" si="684"/>
        <v>23401</v>
      </c>
      <c r="Z882" s="14">
        <f t="shared" si="684"/>
        <v>0</v>
      </c>
      <c r="AA882" s="14">
        <f t="shared" si="684"/>
        <v>0</v>
      </c>
      <c r="AB882" s="14">
        <f aca="true" t="shared" si="685" ref="AB882:AH882">AB588</f>
        <v>0</v>
      </c>
      <c r="AC882" s="14">
        <f t="shared" si="685"/>
        <v>0</v>
      </c>
      <c r="AD882" s="14">
        <f t="shared" si="685"/>
        <v>0</v>
      </c>
      <c r="AE882" s="14">
        <f t="shared" si="685"/>
        <v>0</v>
      </c>
      <c r="AF882" s="14">
        <f t="shared" si="685"/>
        <v>0</v>
      </c>
      <c r="AG882" s="14">
        <f>AG588</f>
        <v>0</v>
      </c>
      <c r="AH882" s="14">
        <f t="shared" si="685"/>
        <v>0</v>
      </c>
      <c r="AI882" s="14">
        <f aca="true" t="shared" si="686" ref="AI882:AP882">AI588</f>
        <v>0</v>
      </c>
      <c r="AJ882" s="14">
        <f t="shared" si="686"/>
        <v>0</v>
      </c>
      <c r="AK882" s="14">
        <f>AK588</f>
        <v>0</v>
      </c>
      <c r="AL882" s="70">
        <f t="shared" si="686"/>
        <v>0</v>
      </c>
      <c r="AM882" s="70">
        <f t="shared" si="686"/>
        <v>0</v>
      </c>
      <c r="AN882" s="70">
        <f t="shared" si="686"/>
        <v>0</v>
      </c>
      <c r="AO882" s="70">
        <f>AO588</f>
        <v>0</v>
      </c>
      <c r="AP882" s="70">
        <f t="shared" si="686"/>
        <v>0</v>
      </c>
    </row>
    <row r="883" spans="1:42" ht="15.75">
      <c r="A883" s="35" t="s">
        <v>270</v>
      </c>
      <c r="B883" s="15" t="s">
        <v>357</v>
      </c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>
        <f aca="true" t="shared" si="687" ref="V883:AA883">V598</f>
        <v>0</v>
      </c>
      <c r="W883" s="16">
        <f t="shared" si="687"/>
        <v>484188</v>
      </c>
      <c r="X883" s="16">
        <f t="shared" si="687"/>
        <v>492305</v>
      </c>
      <c r="Y883" s="16">
        <f t="shared" si="687"/>
        <v>471867</v>
      </c>
      <c r="Z883" s="16">
        <f t="shared" si="687"/>
        <v>69934</v>
      </c>
      <c r="AA883" s="16">
        <f t="shared" si="687"/>
        <v>101652</v>
      </c>
      <c r="AB883" s="16">
        <f aca="true" t="shared" si="688" ref="AB883:AH883">AB598</f>
        <v>324590</v>
      </c>
      <c r="AC883" s="16">
        <f t="shared" si="688"/>
        <v>343040</v>
      </c>
      <c r="AD883" s="16">
        <f t="shared" si="688"/>
        <v>357235</v>
      </c>
      <c r="AE883" s="16">
        <f t="shared" si="688"/>
        <v>352518</v>
      </c>
      <c r="AF883" s="16">
        <f t="shared" si="688"/>
        <v>378600</v>
      </c>
      <c r="AG883" s="16">
        <f>AG598</f>
        <v>277964</v>
      </c>
      <c r="AH883" s="16">
        <f t="shared" si="688"/>
        <v>267742</v>
      </c>
      <c r="AI883" s="16">
        <f aca="true" t="shared" si="689" ref="AI883:AP883">AI598</f>
        <v>299068</v>
      </c>
      <c r="AJ883" s="16">
        <f t="shared" si="689"/>
        <v>224217</v>
      </c>
      <c r="AK883" s="16">
        <f>AK598</f>
        <v>131481</v>
      </c>
      <c r="AL883" s="104">
        <f t="shared" si="689"/>
        <v>131481</v>
      </c>
      <c r="AM883" s="104">
        <f t="shared" si="689"/>
        <v>247905</v>
      </c>
      <c r="AN883" s="104">
        <f t="shared" si="689"/>
        <v>194015</v>
      </c>
      <c r="AO883" s="104">
        <f>AO598</f>
        <v>194015</v>
      </c>
      <c r="AP883" s="104">
        <f t="shared" si="689"/>
        <v>197754</v>
      </c>
    </row>
    <row r="884" spans="1:42" ht="15.75">
      <c r="A884" s="35" t="s">
        <v>217</v>
      </c>
      <c r="B884" s="15" t="s">
        <v>357</v>
      </c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>
        <f aca="true" t="shared" si="690" ref="V884:AG884">SUM(V881:V883)</f>
        <v>16315</v>
      </c>
      <c r="W884" s="14">
        <f t="shared" si="690"/>
        <v>541928</v>
      </c>
      <c r="X884" s="14">
        <f t="shared" si="690"/>
        <v>550587</v>
      </c>
      <c r="Y884" s="14">
        <f t="shared" si="690"/>
        <v>552247</v>
      </c>
      <c r="Z884" s="14">
        <f t="shared" si="690"/>
        <v>162624</v>
      </c>
      <c r="AA884" s="14">
        <f t="shared" si="690"/>
        <v>220617</v>
      </c>
      <c r="AB884" s="14">
        <f t="shared" si="690"/>
        <v>434741</v>
      </c>
      <c r="AC884" s="14">
        <f t="shared" si="690"/>
        <v>502047</v>
      </c>
      <c r="AD884" s="14">
        <f t="shared" si="690"/>
        <v>505522</v>
      </c>
      <c r="AE884" s="14">
        <f t="shared" si="690"/>
        <v>627159</v>
      </c>
      <c r="AF884" s="14">
        <f t="shared" si="690"/>
        <v>587613.43</v>
      </c>
      <c r="AG884" s="14">
        <f t="shared" si="690"/>
        <v>486977.43000000005</v>
      </c>
      <c r="AH884" s="14">
        <f aca="true" t="shared" si="691" ref="AH884:AP884">SUM(AH881:AH883)</f>
        <v>585408</v>
      </c>
      <c r="AI884" s="14">
        <f t="shared" si="691"/>
        <v>527122</v>
      </c>
      <c r="AJ884" s="14">
        <f t="shared" si="691"/>
        <v>452271</v>
      </c>
      <c r="AK884" s="14">
        <f t="shared" si="691"/>
        <v>357261</v>
      </c>
      <c r="AL884" s="70">
        <f t="shared" si="691"/>
        <v>357261</v>
      </c>
      <c r="AM884" s="70">
        <f t="shared" si="691"/>
        <v>492390</v>
      </c>
      <c r="AN884" s="70">
        <f t="shared" si="691"/>
        <v>374798</v>
      </c>
      <c r="AO884" s="70">
        <f t="shared" si="691"/>
        <v>417272</v>
      </c>
      <c r="AP884" s="70">
        <f t="shared" si="691"/>
        <v>393912</v>
      </c>
    </row>
    <row r="885" spans="1:42" ht="15.75">
      <c r="A885" s="14"/>
      <c r="B885" s="15" t="s">
        <v>357</v>
      </c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70"/>
      <c r="AM885" s="70"/>
      <c r="AN885" s="70"/>
      <c r="AO885" s="70"/>
      <c r="AP885" s="70"/>
    </row>
    <row r="886" spans="1:42" ht="15.75">
      <c r="A886" s="14" t="s">
        <v>185</v>
      </c>
      <c r="B886" s="15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70"/>
      <c r="AM886" s="70"/>
      <c r="AN886" s="70"/>
      <c r="AO886" s="70"/>
      <c r="AP886" s="70"/>
    </row>
    <row r="887" spans="1:42" ht="15.75">
      <c r="A887" s="62" t="s">
        <v>308</v>
      </c>
      <c r="B887" s="15" t="s">
        <v>357</v>
      </c>
      <c r="C887" s="14"/>
      <c r="D887" s="14"/>
      <c r="E887" s="14"/>
      <c r="F887" s="14"/>
      <c r="G887" s="14"/>
      <c r="H887" s="14" t="s">
        <v>357</v>
      </c>
      <c r="I887" s="14"/>
      <c r="J887" s="14"/>
      <c r="K887" s="48">
        <v>0</v>
      </c>
      <c r="L887" s="14"/>
      <c r="M887" s="14"/>
      <c r="N887" s="14"/>
      <c r="O887" s="14"/>
      <c r="P887" s="14">
        <f>P620</f>
        <v>750</v>
      </c>
      <c r="Q887" s="14">
        <f aca="true" t="shared" si="692" ref="Q887:X887">Q610</f>
        <v>1247</v>
      </c>
      <c r="R887" s="14">
        <f t="shared" si="692"/>
        <v>2190</v>
      </c>
      <c r="S887" s="14">
        <f t="shared" si="692"/>
        <v>2040</v>
      </c>
      <c r="T887" s="14">
        <f t="shared" si="692"/>
        <v>1000</v>
      </c>
      <c r="U887" s="14">
        <f t="shared" si="692"/>
        <v>998</v>
      </c>
      <c r="V887" s="14">
        <f t="shared" si="692"/>
        <v>999</v>
      </c>
      <c r="W887" s="14">
        <f t="shared" si="692"/>
        <v>1000</v>
      </c>
      <c r="X887" s="14">
        <f t="shared" si="692"/>
        <v>1000</v>
      </c>
      <c r="Y887" s="14">
        <f aca="true" t="shared" si="693" ref="Y887:AD887">Y610</f>
        <v>0</v>
      </c>
      <c r="Z887" s="14">
        <f t="shared" si="693"/>
        <v>0</v>
      </c>
      <c r="AA887" s="14">
        <f t="shared" si="693"/>
        <v>0</v>
      </c>
      <c r="AB887" s="14">
        <f t="shared" si="693"/>
        <v>0</v>
      </c>
      <c r="AC887" s="14">
        <f t="shared" si="693"/>
        <v>2000</v>
      </c>
      <c r="AD887" s="14">
        <f t="shared" si="693"/>
        <v>0</v>
      </c>
      <c r="AE887" s="14">
        <f aca="true" t="shared" si="694" ref="AE887:AL887">AE610</f>
        <v>0</v>
      </c>
      <c r="AF887" s="14">
        <f t="shared" si="694"/>
        <v>0</v>
      </c>
      <c r="AG887" s="14">
        <f t="shared" si="694"/>
        <v>0</v>
      </c>
      <c r="AH887" s="14">
        <f t="shared" si="694"/>
        <v>0</v>
      </c>
      <c r="AI887" s="14">
        <f t="shared" si="694"/>
        <v>0</v>
      </c>
      <c r="AJ887" s="14">
        <f>AJ610</f>
        <v>0</v>
      </c>
      <c r="AK887" s="14">
        <f>AK610</f>
        <v>0</v>
      </c>
      <c r="AL887" s="70">
        <f t="shared" si="694"/>
        <v>0</v>
      </c>
      <c r="AM887" s="70">
        <f>AM610</f>
        <v>0</v>
      </c>
      <c r="AN887" s="70">
        <f>AN610</f>
        <v>0</v>
      </c>
      <c r="AO887" s="70">
        <f>AO610</f>
        <v>0</v>
      </c>
      <c r="AP887" s="70">
        <f>AP610</f>
        <v>0</v>
      </c>
    </row>
    <row r="888" spans="1:42" ht="15.75">
      <c r="A888" s="35" t="s">
        <v>269</v>
      </c>
      <c r="B888" s="15" t="s">
        <v>357</v>
      </c>
      <c r="C888" s="14"/>
      <c r="D888" s="14"/>
      <c r="E888" s="14"/>
      <c r="F888" s="14"/>
      <c r="G888" s="14"/>
      <c r="H888" s="14"/>
      <c r="I888" s="14"/>
      <c r="J888" s="14"/>
      <c r="K888" s="48"/>
      <c r="L888" s="14"/>
      <c r="M888" s="14"/>
      <c r="N888" s="14"/>
      <c r="O888" s="14"/>
      <c r="P888" s="14"/>
      <c r="Q888" s="16"/>
      <c r="R888" s="16"/>
      <c r="S888" s="16"/>
      <c r="T888" s="16"/>
      <c r="U888" s="16"/>
      <c r="V888" s="16"/>
      <c r="W888" s="16"/>
      <c r="X888" s="16">
        <f aca="true" t="shared" si="695" ref="X888:AC888">X618</f>
        <v>0</v>
      </c>
      <c r="Y888" s="16">
        <f t="shared" si="695"/>
        <v>5257</v>
      </c>
      <c r="Z888" s="16">
        <f t="shared" si="695"/>
        <v>8614</v>
      </c>
      <c r="AA888" s="16">
        <f t="shared" si="695"/>
        <v>7800</v>
      </c>
      <c r="AB888" s="16">
        <f t="shared" si="695"/>
        <v>7092</v>
      </c>
      <c r="AC888" s="16">
        <f t="shared" si="695"/>
        <v>7900</v>
      </c>
      <c r="AD888" s="16">
        <f aca="true" t="shared" si="696" ref="AD888:AL888">AD618</f>
        <v>7891</v>
      </c>
      <c r="AE888" s="16">
        <f t="shared" si="696"/>
        <v>8400</v>
      </c>
      <c r="AF888" s="16">
        <f t="shared" si="696"/>
        <v>11000</v>
      </c>
      <c r="AG888" s="16">
        <f t="shared" si="696"/>
        <v>7891</v>
      </c>
      <c r="AH888" s="16">
        <f t="shared" si="696"/>
        <v>12000</v>
      </c>
      <c r="AI888" s="16">
        <f t="shared" si="696"/>
        <v>11000</v>
      </c>
      <c r="AJ888" s="16">
        <f>AJ618</f>
        <v>10391</v>
      </c>
      <c r="AK888" s="16">
        <f>AK618</f>
        <v>10456</v>
      </c>
      <c r="AL888" s="104">
        <f t="shared" si="696"/>
        <v>10456</v>
      </c>
      <c r="AM888" s="104">
        <f>AM618</f>
        <v>12700</v>
      </c>
      <c r="AN888" s="104">
        <f>AN618</f>
        <v>16000</v>
      </c>
      <c r="AO888" s="104">
        <f>AO618</f>
        <v>16000</v>
      </c>
      <c r="AP888" s="104">
        <f>AP618</f>
        <v>17600</v>
      </c>
    </row>
    <row r="889" spans="1:42" ht="15.75">
      <c r="A889" s="35" t="s">
        <v>217</v>
      </c>
      <c r="B889" s="15" t="s">
        <v>357</v>
      </c>
      <c r="C889" s="14"/>
      <c r="D889" s="14"/>
      <c r="E889" s="14"/>
      <c r="F889" s="14"/>
      <c r="G889" s="14"/>
      <c r="H889" s="14"/>
      <c r="I889" s="14"/>
      <c r="J889" s="14"/>
      <c r="K889" s="48"/>
      <c r="L889" s="14"/>
      <c r="M889" s="14"/>
      <c r="N889" s="14"/>
      <c r="O889" s="14"/>
      <c r="P889" s="14"/>
      <c r="Q889" s="14">
        <f aca="true" t="shared" si="697" ref="Q889:W889">Q887+Q888</f>
        <v>1247</v>
      </c>
      <c r="R889" s="14">
        <f t="shared" si="697"/>
        <v>2190</v>
      </c>
      <c r="S889" s="14">
        <f t="shared" si="697"/>
        <v>2040</v>
      </c>
      <c r="T889" s="14">
        <f t="shared" si="697"/>
        <v>1000</v>
      </c>
      <c r="U889" s="14">
        <f t="shared" si="697"/>
        <v>998</v>
      </c>
      <c r="V889" s="14">
        <f t="shared" si="697"/>
        <v>999</v>
      </c>
      <c r="W889" s="14">
        <f t="shared" si="697"/>
        <v>1000</v>
      </c>
      <c r="X889" s="14">
        <f aca="true" t="shared" si="698" ref="X889:AG889">X887+X888</f>
        <v>1000</v>
      </c>
      <c r="Y889" s="14">
        <f t="shared" si="698"/>
        <v>5257</v>
      </c>
      <c r="Z889" s="14">
        <f t="shared" si="698"/>
        <v>8614</v>
      </c>
      <c r="AA889" s="14">
        <f t="shared" si="698"/>
        <v>7800</v>
      </c>
      <c r="AB889" s="14">
        <f t="shared" si="698"/>
        <v>7092</v>
      </c>
      <c r="AC889" s="14">
        <f t="shared" si="698"/>
        <v>9900</v>
      </c>
      <c r="AD889" s="14">
        <f t="shared" si="698"/>
        <v>7891</v>
      </c>
      <c r="AE889" s="14">
        <f t="shared" si="698"/>
        <v>8400</v>
      </c>
      <c r="AF889" s="14">
        <f t="shared" si="698"/>
        <v>11000</v>
      </c>
      <c r="AG889" s="14">
        <f t="shared" si="698"/>
        <v>7891</v>
      </c>
      <c r="AH889" s="14">
        <f aca="true" t="shared" si="699" ref="AH889:AP889">AH887+AH888</f>
        <v>12000</v>
      </c>
      <c r="AI889" s="14">
        <f t="shared" si="699"/>
        <v>11000</v>
      </c>
      <c r="AJ889" s="14">
        <f t="shared" si="699"/>
        <v>10391</v>
      </c>
      <c r="AK889" s="14">
        <f t="shared" si="699"/>
        <v>10456</v>
      </c>
      <c r="AL889" s="70">
        <f t="shared" si="699"/>
        <v>10456</v>
      </c>
      <c r="AM889" s="70">
        <f t="shared" si="699"/>
        <v>12700</v>
      </c>
      <c r="AN889" s="70">
        <f t="shared" si="699"/>
        <v>16000</v>
      </c>
      <c r="AO889" s="70">
        <f t="shared" si="699"/>
        <v>16000</v>
      </c>
      <c r="AP889" s="70">
        <f t="shared" si="699"/>
        <v>17600</v>
      </c>
    </row>
    <row r="890" spans="1:42" ht="15.75">
      <c r="A890" s="14"/>
      <c r="B890" s="15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70"/>
      <c r="AM890" s="70"/>
      <c r="AN890" s="70"/>
      <c r="AO890" s="70"/>
      <c r="AP890" s="70"/>
    </row>
    <row r="891" spans="1:42" ht="15.75">
      <c r="A891" s="15" t="s">
        <v>118</v>
      </c>
      <c r="B891" s="35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70"/>
      <c r="AM891" s="70"/>
      <c r="AN891" s="70"/>
      <c r="AO891" s="70"/>
      <c r="AP891" s="70"/>
    </row>
    <row r="892" spans="1:42" ht="15.75">
      <c r="A892" s="35" t="s">
        <v>201</v>
      </c>
      <c r="B892" s="14" t="e">
        <f aca="true" t="shared" si="700" ref="B892:AL892">+B748-B893-B894-B727-B728</f>
        <v>#VALUE!</v>
      </c>
      <c r="C892" s="14">
        <f t="shared" si="700"/>
        <v>3182985</v>
      </c>
      <c r="D892" s="14">
        <f t="shared" si="700"/>
        <v>4167711</v>
      </c>
      <c r="E892" s="14">
        <f t="shared" si="700"/>
        <v>4407767</v>
      </c>
      <c r="F892" s="14">
        <f t="shared" si="700"/>
        <v>4342381</v>
      </c>
      <c r="G892" s="14">
        <f t="shared" si="700"/>
        <v>4055610</v>
      </c>
      <c r="H892" s="14">
        <f t="shared" si="700"/>
        <v>3732294</v>
      </c>
      <c r="I892" s="14">
        <f t="shared" si="700"/>
        <v>4362493</v>
      </c>
      <c r="J892" s="14">
        <f t="shared" si="700"/>
        <v>4183481</v>
      </c>
      <c r="K892" s="14">
        <f t="shared" si="700"/>
        <v>4454875</v>
      </c>
      <c r="L892" s="14">
        <f t="shared" si="700"/>
        <v>4182627</v>
      </c>
      <c r="M892" s="14">
        <f t="shared" si="700"/>
        <v>4542671</v>
      </c>
      <c r="N892" s="14">
        <f t="shared" si="700"/>
        <v>4428886</v>
      </c>
      <c r="O892" s="14">
        <f t="shared" si="700"/>
        <v>4699276</v>
      </c>
      <c r="P892" s="14">
        <f t="shared" si="700"/>
        <v>5564120</v>
      </c>
      <c r="Q892" s="14">
        <f t="shared" si="700"/>
        <v>6074207</v>
      </c>
      <c r="R892" s="14">
        <f t="shared" si="700"/>
        <v>6287977</v>
      </c>
      <c r="S892" s="14">
        <f t="shared" si="700"/>
        <v>6253484</v>
      </c>
      <c r="T892" s="14">
        <f t="shared" si="700"/>
        <v>6769685</v>
      </c>
      <c r="U892" s="14">
        <f t="shared" si="700"/>
        <v>6450024.734</v>
      </c>
      <c r="V892" s="14">
        <f t="shared" si="700"/>
        <v>6266120</v>
      </c>
      <c r="W892" s="14">
        <f t="shared" si="700"/>
        <v>6598958</v>
      </c>
      <c r="X892" s="14">
        <f t="shared" si="700"/>
        <v>7261912</v>
      </c>
      <c r="Y892" s="14">
        <f t="shared" si="700"/>
        <v>7266928</v>
      </c>
      <c r="Z892" s="14">
        <f t="shared" si="700"/>
        <v>7778710</v>
      </c>
      <c r="AA892" s="14">
        <f t="shared" si="700"/>
        <v>9611394</v>
      </c>
      <c r="AB892" s="14">
        <f t="shared" si="700"/>
        <v>9506682</v>
      </c>
      <c r="AC892" s="14">
        <f t="shared" si="700"/>
        <v>9456143</v>
      </c>
      <c r="AD892" s="14">
        <f t="shared" si="700"/>
        <v>9711106.996</v>
      </c>
      <c r="AE892" s="14">
        <f t="shared" si="700"/>
        <v>9774151</v>
      </c>
      <c r="AF892" s="14">
        <f t="shared" si="700"/>
        <v>9769721.165221494</v>
      </c>
      <c r="AG892" s="14">
        <f t="shared" si="700"/>
        <v>9905691.845</v>
      </c>
      <c r="AH892" s="14">
        <f t="shared" si="700"/>
        <v>-49042</v>
      </c>
      <c r="AI892" s="14">
        <f t="shared" si="700"/>
        <v>9862363</v>
      </c>
      <c r="AJ892" s="14">
        <f>+AJ748-AJ893-AJ894-AJ727-AJ728</f>
        <v>9972329</v>
      </c>
      <c r="AK892" s="14">
        <f>+AK748-AK893-AK894-AK727-AK728</f>
        <v>10236622</v>
      </c>
      <c r="AL892" s="70">
        <f t="shared" si="700"/>
        <v>9910321</v>
      </c>
      <c r="AM892" s="70">
        <f>+AM748-AM893-AM894-AM727-AM728</f>
        <v>9613260</v>
      </c>
      <c r="AN892" s="70">
        <f>+AN748-AN893-AN894-AN727-AN728</f>
        <v>9474570</v>
      </c>
      <c r="AO892" s="70">
        <f>+AO748-AO893-AO894-AO727-AO728</f>
        <v>10034737</v>
      </c>
      <c r="AP892" s="70">
        <f>+AP748-AP893-AP894-AP727-AP728</f>
        <v>9714437</v>
      </c>
    </row>
    <row r="893" spans="1:42" ht="15.75">
      <c r="A893" s="35" t="s">
        <v>320</v>
      </c>
      <c r="B893" s="14" t="e">
        <f>(B784+B835+B852+B796)</f>
        <v>#VALUE!</v>
      </c>
      <c r="C893" s="14">
        <f aca="true" t="shared" si="701" ref="C893:U893">(C784+C835+C852+C796)</f>
        <v>31710</v>
      </c>
      <c r="D893" s="14">
        <f t="shared" si="701"/>
        <v>26987</v>
      </c>
      <c r="E893" s="14">
        <f t="shared" si="701"/>
        <v>40100</v>
      </c>
      <c r="F893" s="14">
        <f t="shared" si="701"/>
        <v>47104</v>
      </c>
      <c r="G893" s="14">
        <f t="shared" si="701"/>
        <v>36907</v>
      </c>
      <c r="H893" s="14">
        <f t="shared" si="701"/>
        <v>55272</v>
      </c>
      <c r="I893" s="14">
        <f t="shared" si="701"/>
        <v>60160</v>
      </c>
      <c r="J893" s="14">
        <f t="shared" si="701"/>
        <v>51045</v>
      </c>
      <c r="K893" s="14">
        <f t="shared" si="701"/>
        <v>460</v>
      </c>
      <c r="L893" s="14">
        <f t="shared" si="701"/>
        <v>974</v>
      </c>
      <c r="M893" s="14">
        <f t="shared" si="701"/>
        <v>972</v>
      </c>
      <c r="N893" s="14">
        <f t="shared" si="701"/>
        <v>4772</v>
      </c>
      <c r="O893" s="14">
        <f t="shared" si="701"/>
        <v>3871</v>
      </c>
      <c r="P893" s="14">
        <f t="shared" si="701"/>
        <v>7071</v>
      </c>
      <c r="Q893" s="14">
        <f t="shared" si="701"/>
        <v>4869</v>
      </c>
      <c r="R893" s="14">
        <f t="shared" si="701"/>
        <v>7767</v>
      </c>
      <c r="S893" s="14">
        <f t="shared" si="701"/>
        <v>12611</v>
      </c>
      <c r="T893" s="14">
        <f t="shared" si="701"/>
        <v>12964</v>
      </c>
      <c r="U893" s="14">
        <f t="shared" si="701"/>
        <v>13395</v>
      </c>
      <c r="V893" s="14">
        <f aca="true" t="shared" si="702" ref="V893:AL893">(V784+V835+V852+V796)</f>
        <v>13437</v>
      </c>
      <c r="W893" s="14">
        <f t="shared" si="702"/>
        <v>17410</v>
      </c>
      <c r="X893" s="14">
        <f t="shared" si="702"/>
        <v>15710</v>
      </c>
      <c r="Y893" s="14">
        <f t="shared" si="702"/>
        <v>17911</v>
      </c>
      <c r="Z893" s="14">
        <f t="shared" si="702"/>
        <v>18489</v>
      </c>
      <c r="AA893" s="14">
        <f t="shared" si="702"/>
        <v>15647</v>
      </c>
      <c r="AB893" s="14">
        <f t="shared" si="702"/>
        <v>18476</v>
      </c>
      <c r="AC893" s="14">
        <f t="shared" si="702"/>
        <v>18510</v>
      </c>
      <c r="AD893" s="14">
        <f t="shared" si="702"/>
        <v>20852.4</v>
      </c>
      <c r="AE893" s="14">
        <f t="shared" si="702"/>
        <v>19510</v>
      </c>
      <c r="AF893" s="14">
        <f t="shared" si="702"/>
        <v>19422.453</v>
      </c>
      <c r="AG893" s="14">
        <f t="shared" si="702"/>
        <v>23443</v>
      </c>
      <c r="AH893" s="14">
        <f t="shared" si="702"/>
        <v>19510</v>
      </c>
      <c r="AI893" s="14">
        <f t="shared" si="702"/>
        <v>19411</v>
      </c>
      <c r="AJ893" s="14">
        <f>(AJ784+AJ835+AJ852+AJ796)</f>
        <v>22453</v>
      </c>
      <c r="AK893" s="14">
        <f>(AK784+AK835+AK852+AK796)</f>
        <v>22350</v>
      </c>
      <c r="AL893" s="70">
        <f t="shared" si="702"/>
        <v>22350</v>
      </c>
      <c r="AM893" s="70">
        <f>(AM784+AM835+AM852+AM796)</f>
        <v>19308</v>
      </c>
      <c r="AN893" s="70">
        <f>(AN784+AN835+AN852+AN796)</f>
        <v>19308</v>
      </c>
      <c r="AO893" s="70">
        <f>(AO784+AO835+AO852+AO796)</f>
        <v>19308</v>
      </c>
      <c r="AP893" s="70">
        <f>(AP784+AP835+AP852+AP796)</f>
        <v>18808</v>
      </c>
    </row>
    <row r="894" spans="1:42" ht="15.75">
      <c r="A894" s="35" t="s">
        <v>395</v>
      </c>
      <c r="B894" s="14" t="e">
        <f>(B787+B838)</f>
        <v>#VALUE!</v>
      </c>
      <c r="C894" s="14">
        <f aca="true" t="shared" si="703" ref="C894:U894">(C787+C838)</f>
        <v>-147895</v>
      </c>
      <c r="D894" s="14">
        <f t="shared" si="703"/>
        <v>0</v>
      </c>
      <c r="E894" s="14">
        <f t="shared" si="703"/>
        <v>0</v>
      </c>
      <c r="F894" s="14">
        <f t="shared" si="703"/>
        <v>0</v>
      </c>
      <c r="G894" s="14">
        <f t="shared" si="703"/>
        <v>0</v>
      </c>
      <c r="H894" s="14">
        <f t="shared" si="703"/>
        <v>0</v>
      </c>
      <c r="I894" s="14">
        <f t="shared" si="703"/>
        <v>0</v>
      </c>
      <c r="J894" s="14">
        <f t="shared" si="703"/>
        <v>0</v>
      </c>
      <c r="K894" s="14">
        <f t="shared" si="703"/>
        <v>0</v>
      </c>
      <c r="L894" s="14">
        <f t="shared" si="703"/>
        <v>0</v>
      </c>
      <c r="M894" s="14">
        <f t="shared" si="703"/>
        <v>0</v>
      </c>
      <c r="N894" s="14">
        <f t="shared" si="703"/>
        <v>0</v>
      </c>
      <c r="O894" s="14">
        <f t="shared" si="703"/>
        <v>0</v>
      </c>
      <c r="P894" s="14">
        <f t="shared" si="703"/>
        <v>0</v>
      </c>
      <c r="Q894" s="14">
        <f t="shared" si="703"/>
        <v>-30000</v>
      </c>
      <c r="R894" s="14">
        <f t="shared" si="703"/>
        <v>-30000</v>
      </c>
      <c r="S894" s="14">
        <f t="shared" si="703"/>
        <v>-30000</v>
      </c>
      <c r="T894" s="14">
        <f t="shared" si="703"/>
        <v>-30000</v>
      </c>
      <c r="U894" s="14">
        <f t="shared" si="703"/>
        <v>-30000</v>
      </c>
      <c r="V894" s="14">
        <f aca="true" t="shared" si="704" ref="V894:AL894">(V787+V838)</f>
        <v>-30000</v>
      </c>
      <c r="W894" s="14">
        <f t="shared" si="704"/>
        <v>-30000</v>
      </c>
      <c r="X894" s="14">
        <f t="shared" si="704"/>
        <v>-30000</v>
      </c>
      <c r="Y894" s="14">
        <f t="shared" si="704"/>
        <v>-30000</v>
      </c>
      <c r="Z894" s="14">
        <f t="shared" si="704"/>
        <v>-30000</v>
      </c>
      <c r="AA894" s="14">
        <f t="shared" si="704"/>
        <v>-30000</v>
      </c>
      <c r="AB894" s="14">
        <f t="shared" si="704"/>
        <v>-30000</v>
      </c>
      <c r="AC894" s="14">
        <f t="shared" si="704"/>
        <v>-30000</v>
      </c>
      <c r="AD894" s="14">
        <f t="shared" si="704"/>
        <v>-30000</v>
      </c>
      <c r="AE894" s="14">
        <f t="shared" si="704"/>
        <v>-30000</v>
      </c>
      <c r="AF894" s="14">
        <f t="shared" si="704"/>
        <v>-30000</v>
      </c>
      <c r="AG894" s="14">
        <f t="shared" si="704"/>
        <v>-30000</v>
      </c>
      <c r="AH894" s="14">
        <f t="shared" si="704"/>
        <v>4110044</v>
      </c>
      <c r="AI894" s="14">
        <f t="shared" si="704"/>
        <v>-30000</v>
      </c>
      <c r="AJ894" s="14">
        <f>(AJ787+AJ838)</f>
        <v>-30000</v>
      </c>
      <c r="AK894" s="14">
        <f>(AK787+AK838)</f>
        <v>-30000</v>
      </c>
      <c r="AL894" s="70">
        <f t="shared" si="704"/>
        <v>-30000</v>
      </c>
      <c r="AM894" s="70">
        <f>(AM787+AM838)</f>
        <v>-30000</v>
      </c>
      <c r="AN894" s="70">
        <f>(AN787+AN838)</f>
        <v>-30000</v>
      </c>
      <c r="AO894" s="70">
        <f>(AO787+AO838)</f>
        <v>-30000</v>
      </c>
      <c r="AP894" s="70">
        <f>(AP787+AP838)</f>
        <v>-30000</v>
      </c>
    </row>
    <row r="895" spans="1:42" ht="15.75">
      <c r="A895" s="41" t="s">
        <v>212</v>
      </c>
      <c r="B895" s="38" t="e">
        <f aca="true" t="shared" si="705" ref="B895:AP895">(B892+B893+B894)</f>
        <v>#VALUE!</v>
      </c>
      <c r="C895" s="38">
        <f t="shared" si="705"/>
        <v>3066800</v>
      </c>
      <c r="D895" s="38">
        <f t="shared" si="705"/>
        <v>4194698</v>
      </c>
      <c r="E895" s="38">
        <f t="shared" si="705"/>
        <v>4447867</v>
      </c>
      <c r="F895" s="38">
        <f t="shared" si="705"/>
        <v>4389485</v>
      </c>
      <c r="G895" s="38">
        <f t="shared" si="705"/>
        <v>4092517</v>
      </c>
      <c r="H895" s="38">
        <f t="shared" si="705"/>
        <v>3787566</v>
      </c>
      <c r="I895" s="38">
        <f t="shared" si="705"/>
        <v>4422653</v>
      </c>
      <c r="J895" s="38">
        <f t="shared" si="705"/>
        <v>4234526</v>
      </c>
      <c r="K895" s="38">
        <f t="shared" si="705"/>
        <v>4455335</v>
      </c>
      <c r="L895" s="38">
        <f t="shared" si="705"/>
        <v>4183601</v>
      </c>
      <c r="M895" s="38">
        <f t="shared" si="705"/>
        <v>4543643</v>
      </c>
      <c r="N895" s="38">
        <f t="shared" si="705"/>
        <v>4433658</v>
      </c>
      <c r="O895" s="38">
        <f t="shared" si="705"/>
        <v>4703147</v>
      </c>
      <c r="P895" s="38">
        <f t="shared" si="705"/>
        <v>5571191</v>
      </c>
      <c r="Q895" s="38">
        <f t="shared" si="705"/>
        <v>6049076</v>
      </c>
      <c r="R895" s="38">
        <f t="shared" si="705"/>
        <v>6265744</v>
      </c>
      <c r="S895" s="38">
        <f t="shared" si="705"/>
        <v>6236095</v>
      </c>
      <c r="T895" s="38">
        <f t="shared" si="705"/>
        <v>6752649</v>
      </c>
      <c r="U895" s="38">
        <f t="shared" si="705"/>
        <v>6433419.734</v>
      </c>
      <c r="V895" s="38">
        <f t="shared" si="705"/>
        <v>6249557</v>
      </c>
      <c r="W895" s="38">
        <f t="shared" si="705"/>
        <v>6586368</v>
      </c>
      <c r="X895" s="38">
        <f t="shared" si="705"/>
        <v>7247622</v>
      </c>
      <c r="Y895" s="38">
        <f t="shared" si="705"/>
        <v>7254839</v>
      </c>
      <c r="Z895" s="38">
        <f t="shared" si="705"/>
        <v>7767199</v>
      </c>
      <c r="AA895" s="38">
        <f t="shared" si="705"/>
        <v>9597041</v>
      </c>
      <c r="AB895" s="38">
        <f t="shared" si="705"/>
        <v>9495158</v>
      </c>
      <c r="AC895" s="38">
        <f t="shared" si="705"/>
        <v>9444653</v>
      </c>
      <c r="AD895" s="38">
        <f t="shared" si="705"/>
        <v>9701959.396</v>
      </c>
      <c r="AE895" s="38">
        <f t="shared" si="705"/>
        <v>9763661</v>
      </c>
      <c r="AF895" s="38">
        <f t="shared" si="705"/>
        <v>9759143.618221493</v>
      </c>
      <c r="AG895" s="38">
        <f t="shared" si="705"/>
        <v>9899134.845</v>
      </c>
      <c r="AH895" s="38">
        <f t="shared" si="705"/>
        <v>4080512</v>
      </c>
      <c r="AI895" s="38">
        <f t="shared" si="705"/>
        <v>9851774</v>
      </c>
      <c r="AJ895" s="38">
        <f>(AJ892+AJ893+AJ894)-1</f>
        <v>9964781</v>
      </c>
      <c r="AK895" s="38">
        <f>(AK892+AK893+AK894)-1</f>
        <v>10228971</v>
      </c>
      <c r="AL895" s="109">
        <f t="shared" si="705"/>
        <v>9902671</v>
      </c>
      <c r="AM895" s="109">
        <f t="shared" si="705"/>
        <v>9602568</v>
      </c>
      <c r="AN895" s="109">
        <f t="shared" si="705"/>
        <v>9463878</v>
      </c>
      <c r="AO895" s="109">
        <f t="shared" si="705"/>
        <v>10024045</v>
      </c>
      <c r="AP895" s="109">
        <f t="shared" si="705"/>
        <v>9703245</v>
      </c>
    </row>
    <row r="896" spans="1:42" ht="15.75">
      <c r="A896" s="35" t="s">
        <v>269</v>
      </c>
      <c r="B896" s="14" t="e">
        <f aca="true" t="shared" si="706" ref="B896:AL896">+B780-B897-B898-B758-B759</f>
        <v>#VALUE!</v>
      </c>
      <c r="C896" s="14">
        <f t="shared" si="706"/>
        <v>345480</v>
      </c>
      <c r="D896" s="14">
        <f t="shared" si="706"/>
        <v>446559</v>
      </c>
      <c r="E896" s="14">
        <f t="shared" si="706"/>
        <v>483324</v>
      </c>
      <c r="F896" s="14">
        <f t="shared" si="706"/>
        <v>598882</v>
      </c>
      <c r="G896" s="14">
        <f t="shared" si="706"/>
        <v>682899</v>
      </c>
      <c r="H896" s="14">
        <f t="shared" si="706"/>
        <v>919688</v>
      </c>
      <c r="I896" s="14">
        <f t="shared" si="706"/>
        <v>844753</v>
      </c>
      <c r="J896" s="14">
        <f t="shared" si="706"/>
        <v>1077533</v>
      </c>
      <c r="K896" s="14">
        <f t="shared" si="706"/>
        <v>946122</v>
      </c>
      <c r="L896" s="14">
        <f t="shared" si="706"/>
        <v>815282</v>
      </c>
      <c r="M896" s="14">
        <f t="shared" si="706"/>
        <v>851987</v>
      </c>
      <c r="N896" s="14">
        <f t="shared" si="706"/>
        <v>997136</v>
      </c>
      <c r="O896" s="14">
        <f t="shared" si="706"/>
        <v>954657</v>
      </c>
      <c r="P896" s="14">
        <f t="shared" si="706"/>
        <v>1162228</v>
      </c>
      <c r="Q896" s="14">
        <f t="shared" si="706"/>
        <v>1120308</v>
      </c>
      <c r="R896" s="14">
        <f t="shared" si="706"/>
        <v>1120215</v>
      </c>
      <c r="S896" s="14">
        <f t="shared" si="706"/>
        <v>1283763</v>
      </c>
      <c r="T896" s="14">
        <f t="shared" si="706"/>
        <v>1405463</v>
      </c>
      <c r="U896" s="14">
        <f t="shared" si="706"/>
        <v>1662674</v>
      </c>
      <c r="V896" s="14">
        <f t="shared" si="706"/>
        <v>1669351</v>
      </c>
      <c r="W896" s="14">
        <f t="shared" si="706"/>
        <v>1647398</v>
      </c>
      <c r="X896" s="14">
        <f t="shared" si="706"/>
        <v>1503328</v>
      </c>
      <c r="Y896" s="14">
        <f t="shared" si="706"/>
        <v>1580166</v>
      </c>
      <c r="Z896" s="14">
        <f t="shared" si="706"/>
        <v>1798756</v>
      </c>
      <c r="AA896" s="14">
        <f t="shared" si="706"/>
        <v>2218050</v>
      </c>
      <c r="AB896" s="14">
        <f t="shared" si="706"/>
        <v>1943652</v>
      </c>
      <c r="AC896" s="14">
        <f t="shared" si="706"/>
        <v>2333041</v>
      </c>
      <c r="AD896" s="14">
        <f t="shared" si="706"/>
        <v>2406337.6</v>
      </c>
      <c r="AE896" s="14">
        <f t="shared" si="706"/>
        <v>2184878</v>
      </c>
      <c r="AF896" s="14">
        <f t="shared" si="706"/>
        <v>2730703</v>
      </c>
      <c r="AG896" s="14">
        <f t="shared" si="706"/>
        <v>2888968</v>
      </c>
      <c r="AH896" s="14">
        <f t="shared" si="706"/>
        <v>365759</v>
      </c>
      <c r="AI896" s="14">
        <f t="shared" si="706"/>
        <v>4370877</v>
      </c>
      <c r="AJ896" s="14">
        <f>+AJ780-AJ897-AJ898-AJ758-AJ759</f>
        <v>4222015</v>
      </c>
      <c r="AK896" s="14">
        <f>+AK780-AK897-AK898-AK758-AK759</f>
        <v>4488822</v>
      </c>
      <c r="AL896" s="70">
        <f t="shared" si="706"/>
        <v>4489048</v>
      </c>
      <c r="AM896" s="70">
        <f>+AM780-AM897-AM898-AM758-AM759</f>
        <v>4764840</v>
      </c>
      <c r="AN896" s="70">
        <f>+AN780-AN897-AN898-AN758-AN759</f>
        <v>3795090</v>
      </c>
      <c r="AO896" s="70">
        <f>+AO780-AO897-AO898-AO758-AO759</f>
        <v>3795090</v>
      </c>
      <c r="AP896" s="70">
        <f>+AP780-AP897-AP898-AP758-AP759</f>
        <v>4133395</v>
      </c>
    </row>
    <row r="897" spans="1:42" ht="15.75">
      <c r="A897" s="35" t="s">
        <v>270</v>
      </c>
      <c r="B897" s="14" t="e">
        <f>(B786+B813+B818+B824+B837+B854+B883)</f>
        <v>#VALUE!</v>
      </c>
      <c r="C897" s="14">
        <f aca="true" t="shared" si="707" ref="C897:U897">(C786+C813+C818+C824+C837+C854+C883)</f>
        <v>247533</v>
      </c>
      <c r="D897" s="14">
        <f t="shared" si="707"/>
        <v>288993</v>
      </c>
      <c r="E897" s="14">
        <f t="shared" si="707"/>
        <v>385406</v>
      </c>
      <c r="F897" s="14">
        <f t="shared" si="707"/>
        <v>942804</v>
      </c>
      <c r="G897" s="14">
        <f t="shared" si="707"/>
        <v>604922</v>
      </c>
      <c r="H897" s="14">
        <f t="shared" si="707"/>
        <v>461768</v>
      </c>
      <c r="I897" s="14">
        <f t="shared" si="707"/>
        <v>387621</v>
      </c>
      <c r="J897" s="14">
        <f t="shared" si="707"/>
        <v>346358</v>
      </c>
      <c r="K897" s="14">
        <f t="shared" si="707"/>
        <v>449878</v>
      </c>
      <c r="L897" s="14">
        <f t="shared" si="707"/>
        <v>452057</v>
      </c>
      <c r="M897" s="14">
        <f t="shared" si="707"/>
        <v>469147</v>
      </c>
      <c r="N897" s="14">
        <f t="shared" si="707"/>
        <v>548043</v>
      </c>
      <c r="O897" s="14">
        <f t="shared" si="707"/>
        <v>672089</v>
      </c>
      <c r="P897" s="14">
        <f t="shared" si="707"/>
        <v>686392</v>
      </c>
      <c r="Q897" s="14">
        <f t="shared" si="707"/>
        <v>605637</v>
      </c>
      <c r="R897" s="14">
        <f t="shared" si="707"/>
        <v>684175</v>
      </c>
      <c r="S897" s="14">
        <f t="shared" si="707"/>
        <v>567161</v>
      </c>
      <c r="T897" s="14">
        <f t="shared" si="707"/>
        <v>590066</v>
      </c>
      <c r="U897" s="14">
        <f t="shared" si="707"/>
        <v>613679</v>
      </c>
      <c r="V897" s="14">
        <f aca="true" t="shared" si="708" ref="V897:AL897">(V786+V813+V818+V824+V837+V854+V883)</f>
        <v>585082</v>
      </c>
      <c r="W897" s="14">
        <f t="shared" si="708"/>
        <v>820064</v>
      </c>
      <c r="X897" s="14">
        <f t="shared" si="708"/>
        <v>824070</v>
      </c>
      <c r="Y897" s="14">
        <f t="shared" si="708"/>
        <v>755049</v>
      </c>
      <c r="Z897" s="14">
        <f t="shared" si="708"/>
        <v>394538</v>
      </c>
      <c r="AA897" s="14">
        <f t="shared" si="708"/>
        <v>438298</v>
      </c>
      <c r="AB897" s="14">
        <f t="shared" si="708"/>
        <v>701450</v>
      </c>
      <c r="AC897" s="14">
        <f t="shared" si="708"/>
        <v>694983</v>
      </c>
      <c r="AD897" s="14">
        <f t="shared" si="708"/>
        <v>720494</v>
      </c>
      <c r="AE897" s="14">
        <f t="shared" si="708"/>
        <v>711734</v>
      </c>
      <c r="AF897" s="14">
        <f t="shared" si="708"/>
        <v>745755</v>
      </c>
      <c r="AG897" s="14">
        <f t="shared" si="708"/>
        <v>650020</v>
      </c>
      <c r="AH897" s="14">
        <f t="shared" si="708"/>
        <v>659337</v>
      </c>
      <c r="AI897" s="14">
        <f t="shared" si="708"/>
        <v>659218</v>
      </c>
      <c r="AJ897" s="14">
        <f>(AJ786+AJ813+AJ818+AJ824+AJ837+AJ854+AJ883)</f>
        <v>598033</v>
      </c>
      <c r="AK897" s="14">
        <f>(AK786+AK813+AK818+AK824+AK837+AK854+AK883)</f>
        <v>529754</v>
      </c>
      <c r="AL897" s="70">
        <f t="shared" si="708"/>
        <v>529754</v>
      </c>
      <c r="AM897" s="70">
        <f>(AM786+AM813+AM818+AM824+AM837+AM854+AM883)</f>
        <v>698311</v>
      </c>
      <c r="AN897" s="70">
        <f>(AN786+AN813+AN818+AN824+AN837+AN854+AN883)</f>
        <v>659616</v>
      </c>
      <c r="AO897" s="70">
        <f>(AO786+AO813+AO818+AO824+AO837+AO854+AO883)</f>
        <v>659616</v>
      </c>
      <c r="AP897" s="70">
        <f>(AP786+AP813+AP818+AP824+AP837+AP854+AP883)</f>
        <v>782607</v>
      </c>
    </row>
    <row r="898" spans="1:42" ht="15.75">
      <c r="A898" s="35" t="s">
        <v>54</v>
      </c>
      <c r="B898" s="16" t="e">
        <f>(B839+B846)</f>
        <v>#VALUE!</v>
      </c>
      <c r="C898" s="16">
        <f aca="true" t="shared" si="709" ref="C898:U898">(C839+C846)</f>
        <v>30000</v>
      </c>
      <c r="D898" s="16">
        <f t="shared" si="709"/>
        <v>30000</v>
      </c>
      <c r="E898" s="16">
        <f t="shared" si="709"/>
        <v>30000</v>
      </c>
      <c r="F898" s="16">
        <f t="shared" si="709"/>
        <v>30000</v>
      </c>
      <c r="G898" s="16">
        <f t="shared" si="709"/>
        <v>30000</v>
      </c>
      <c r="H898" s="16">
        <f t="shared" si="709"/>
        <v>0</v>
      </c>
      <c r="I898" s="16">
        <f t="shared" si="709"/>
        <v>0</v>
      </c>
      <c r="J898" s="16">
        <f t="shared" si="709"/>
        <v>0</v>
      </c>
      <c r="K898" s="16">
        <f t="shared" si="709"/>
        <v>0</v>
      </c>
      <c r="L898" s="16">
        <f t="shared" si="709"/>
        <v>0</v>
      </c>
      <c r="M898" s="16">
        <f t="shared" si="709"/>
        <v>0</v>
      </c>
      <c r="N898" s="16">
        <f t="shared" si="709"/>
        <v>0</v>
      </c>
      <c r="O898" s="16">
        <f t="shared" si="709"/>
        <v>0</v>
      </c>
      <c r="P898" s="16">
        <f t="shared" si="709"/>
        <v>0</v>
      </c>
      <c r="Q898" s="16">
        <f t="shared" si="709"/>
        <v>30000</v>
      </c>
      <c r="R898" s="16">
        <f t="shared" si="709"/>
        <v>30000</v>
      </c>
      <c r="S898" s="16">
        <f t="shared" si="709"/>
        <v>30000</v>
      </c>
      <c r="T898" s="16">
        <f t="shared" si="709"/>
        <v>30000</v>
      </c>
      <c r="U898" s="16">
        <f t="shared" si="709"/>
        <v>30000</v>
      </c>
      <c r="V898" s="16">
        <f aca="true" t="shared" si="710" ref="V898:AL898">(V839+V846)</f>
        <v>30000</v>
      </c>
      <c r="W898" s="16">
        <f t="shared" si="710"/>
        <v>30000</v>
      </c>
      <c r="X898" s="16">
        <f t="shared" si="710"/>
        <v>30000</v>
      </c>
      <c r="Y898" s="16">
        <f t="shared" si="710"/>
        <v>30000</v>
      </c>
      <c r="Z898" s="16">
        <f t="shared" si="710"/>
        <v>30000</v>
      </c>
      <c r="AA898" s="16">
        <f t="shared" si="710"/>
        <v>30000</v>
      </c>
      <c r="AB898" s="16">
        <f t="shared" si="710"/>
        <v>30000</v>
      </c>
      <c r="AC898" s="16">
        <f t="shared" si="710"/>
        <v>30000</v>
      </c>
      <c r="AD898" s="16">
        <f t="shared" si="710"/>
        <v>30000</v>
      </c>
      <c r="AE898" s="16">
        <f t="shared" si="710"/>
        <v>30000</v>
      </c>
      <c r="AF898" s="16">
        <f t="shared" si="710"/>
        <v>30000</v>
      </c>
      <c r="AG898" s="16">
        <f t="shared" si="710"/>
        <v>30000</v>
      </c>
      <c r="AH898" s="16">
        <f t="shared" si="710"/>
        <v>30000</v>
      </c>
      <c r="AI898" s="16">
        <f t="shared" si="710"/>
        <v>30000</v>
      </c>
      <c r="AJ898" s="16">
        <f>(AJ839+AJ846)</f>
        <v>30000</v>
      </c>
      <c r="AK898" s="16">
        <f>(AK839+AK846)</f>
        <v>30000</v>
      </c>
      <c r="AL898" s="104">
        <f t="shared" si="710"/>
        <v>30000</v>
      </c>
      <c r="AM898" s="104">
        <f>(AM839+AM846)</f>
        <v>30000</v>
      </c>
      <c r="AN898" s="104">
        <f>(AN839+AN846)</f>
        <v>30000</v>
      </c>
      <c r="AO898" s="104">
        <f>(AO839+AO846)</f>
        <v>30000</v>
      </c>
      <c r="AP898" s="104">
        <f>(AP839+AP846)</f>
        <v>30000</v>
      </c>
    </row>
    <row r="899" spans="1:42" ht="15.75">
      <c r="A899" s="41" t="s">
        <v>213</v>
      </c>
      <c r="B899" s="38" t="e">
        <f aca="true" t="shared" si="711" ref="B899:AP899">(B896+B897+B898)</f>
        <v>#VALUE!</v>
      </c>
      <c r="C899" s="38">
        <f t="shared" si="711"/>
        <v>623013</v>
      </c>
      <c r="D899" s="38">
        <f t="shared" si="711"/>
        <v>765552</v>
      </c>
      <c r="E899" s="38">
        <f t="shared" si="711"/>
        <v>898730</v>
      </c>
      <c r="F899" s="38">
        <f t="shared" si="711"/>
        <v>1571686</v>
      </c>
      <c r="G899" s="38">
        <f t="shared" si="711"/>
        <v>1317821</v>
      </c>
      <c r="H899" s="38">
        <f t="shared" si="711"/>
        <v>1381456</v>
      </c>
      <c r="I899" s="38">
        <f t="shared" si="711"/>
        <v>1232374</v>
      </c>
      <c r="J899" s="38">
        <f t="shared" si="711"/>
        <v>1423891</v>
      </c>
      <c r="K899" s="38">
        <f t="shared" si="711"/>
        <v>1396000</v>
      </c>
      <c r="L899" s="38">
        <f t="shared" si="711"/>
        <v>1267339</v>
      </c>
      <c r="M899" s="38">
        <f t="shared" si="711"/>
        <v>1321134</v>
      </c>
      <c r="N899" s="38">
        <f t="shared" si="711"/>
        <v>1545179</v>
      </c>
      <c r="O899" s="38">
        <f t="shared" si="711"/>
        <v>1626746</v>
      </c>
      <c r="P899" s="38">
        <f t="shared" si="711"/>
        <v>1848620</v>
      </c>
      <c r="Q899" s="38">
        <f t="shared" si="711"/>
        <v>1755945</v>
      </c>
      <c r="R899" s="38">
        <f t="shared" si="711"/>
        <v>1834390</v>
      </c>
      <c r="S899" s="38">
        <f t="shared" si="711"/>
        <v>1880924</v>
      </c>
      <c r="T899" s="38">
        <f t="shared" si="711"/>
        <v>2025529</v>
      </c>
      <c r="U899" s="38">
        <f t="shared" si="711"/>
        <v>2306353</v>
      </c>
      <c r="V899" s="38">
        <f t="shared" si="711"/>
        <v>2284433</v>
      </c>
      <c r="W899" s="38">
        <f t="shared" si="711"/>
        <v>2497462</v>
      </c>
      <c r="X899" s="38">
        <f t="shared" si="711"/>
        <v>2357398</v>
      </c>
      <c r="Y899" s="38">
        <f t="shared" si="711"/>
        <v>2365215</v>
      </c>
      <c r="Z899" s="38">
        <f t="shared" si="711"/>
        <v>2223294</v>
      </c>
      <c r="AA899" s="38">
        <f t="shared" si="711"/>
        <v>2686348</v>
      </c>
      <c r="AB899" s="38">
        <f t="shared" si="711"/>
        <v>2675102</v>
      </c>
      <c r="AC899" s="38">
        <f t="shared" si="711"/>
        <v>3058024</v>
      </c>
      <c r="AD899" s="38">
        <f t="shared" si="711"/>
        <v>3156831.6</v>
      </c>
      <c r="AE899" s="38">
        <f t="shared" si="711"/>
        <v>2926612</v>
      </c>
      <c r="AF899" s="38">
        <f t="shared" si="711"/>
        <v>3506458</v>
      </c>
      <c r="AG899" s="38">
        <f t="shared" si="711"/>
        <v>3568988</v>
      </c>
      <c r="AH899" s="38">
        <f t="shared" si="711"/>
        <v>1055096</v>
      </c>
      <c r="AI899" s="38">
        <f t="shared" si="711"/>
        <v>5060095</v>
      </c>
      <c r="AJ899" s="38">
        <f t="shared" si="711"/>
        <v>4850048</v>
      </c>
      <c r="AK899" s="38">
        <f t="shared" si="711"/>
        <v>5048576</v>
      </c>
      <c r="AL899" s="109">
        <f t="shared" si="711"/>
        <v>5048802</v>
      </c>
      <c r="AM899" s="109">
        <f t="shared" si="711"/>
        <v>5493151</v>
      </c>
      <c r="AN899" s="109">
        <f t="shared" si="711"/>
        <v>4484706</v>
      </c>
      <c r="AO899" s="109">
        <f t="shared" si="711"/>
        <v>4484706</v>
      </c>
      <c r="AP899" s="109">
        <f t="shared" si="711"/>
        <v>4946002</v>
      </c>
    </row>
    <row r="900" spans="1:42" ht="15.75">
      <c r="A900" s="35" t="s">
        <v>155</v>
      </c>
      <c r="B900" s="14" t="e">
        <f aca="true" t="shared" si="712" ref="B900:AP900">(B895+B899)</f>
        <v>#VALUE!</v>
      </c>
      <c r="C900" s="14">
        <f t="shared" si="712"/>
        <v>3689813</v>
      </c>
      <c r="D900" s="14">
        <f t="shared" si="712"/>
        <v>4960250</v>
      </c>
      <c r="E900" s="14">
        <f t="shared" si="712"/>
        <v>5346597</v>
      </c>
      <c r="F900" s="14">
        <f t="shared" si="712"/>
        <v>5961171</v>
      </c>
      <c r="G900" s="14">
        <f t="shared" si="712"/>
        <v>5410338</v>
      </c>
      <c r="H900" s="14">
        <f t="shared" si="712"/>
        <v>5169022</v>
      </c>
      <c r="I900" s="14">
        <f t="shared" si="712"/>
        <v>5655027</v>
      </c>
      <c r="J900" s="14">
        <f t="shared" si="712"/>
        <v>5658417</v>
      </c>
      <c r="K900" s="14">
        <f t="shared" si="712"/>
        <v>5851335</v>
      </c>
      <c r="L900" s="14">
        <f t="shared" si="712"/>
        <v>5450940</v>
      </c>
      <c r="M900" s="14">
        <f t="shared" si="712"/>
        <v>5864777</v>
      </c>
      <c r="N900" s="14">
        <f t="shared" si="712"/>
        <v>5978837</v>
      </c>
      <c r="O900" s="14">
        <f t="shared" si="712"/>
        <v>6329893</v>
      </c>
      <c r="P900" s="14">
        <f t="shared" si="712"/>
        <v>7419811</v>
      </c>
      <c r="Q900" s="14">
        <f t="shared" si="712"/>
        <v>7805021</v>
      </c>
      <c r="R900" s="14">
        <f t="shared" si="712"/>
        <v>8100134</v>
      </c>
      <c r="S900" s="14">
        <f t="shared" si="712"/>
        <v>8117019</v>
      </c>
      <c r="T900" s="14">
        <f t="shared" si="712"/>
        <v>8778178</v>
      </c>
      <c r="U900" s="14">
        <f t="shared" si="712"/>
        <v>8739772.734000001</v>
      </c>
      <c r="V900" s="14">
        <f t="shared" si="712"/>
        <v>8533990</v>
      </c>
      <c r="W900" s="14">
        <f t="shared" si="712"/>
        <v>9083830</v>
      </c>
      <c r="X900" s="14">
        <f t="shared" si="712"/>
        <v>9605020</v>
      </c>
      <c r="Y900" s="14">
        <f t="shared" si="712"/>
        <v>9620054</v>
      </c>
      <c r="Z900" s="14">
        <f t="shared" si="712"/>
        <v>9990493</v>
      </c>
      <c r="AA900" s="14">
        <f t="shared" si="712"/>
        <v>12283389</v>
      </c>
      <c r="AB900" s="14">
        <f t="shared" si="712"/>
        <v>12170260</v>
      </c>
      <c r="AC900" s="14">
        <f t="shared" si="712"/>
        <v>12502677</v>
      </c>
      <c r="AD900" s="14">
        <f t="shared" si="712"/>
        <v>12858790.996</v>
      </c>
      <c r="AE900" s="14">
        <f t="shared" si="712"/>
        <v>12690273</v>
      </c>
      <c r="AF900" s="14">
        <f t="shared" si="712"/>
        <v>13265601.618221493</v>
      </c>
      <c r="AG900" s="14">
        <f t="shared" si="712"/>
        <v>13468122.845</v>
      </c>
      <c r="AH900" s="14">
        <f t="shared" si="712"/>
        <v>5135608</v>
      </c>
      <c r="AI900" s="14">
        <f t="shared" si="712"/>
        <v>14911869</v>
      </c>
      <c r="AJ900" s="14">
        <f t="shared" si="712"/>
        <v>14814829</v>
      </c>
      <c r="AK900" s="14">
        <f t="shared" si="712"/>
        <v>15277547</v>
      </c>
      <c r="AL900" s="70">
        <f t="shared" si="712"/>
        <v>14951473</v>
      </c>
      <c r="AM900" s="70">
        <f t="shared" si="712"/>
        <v>15095719</v>
      </c>
      <c r="AN900" s="70">
        <f t="shared" si="712"/>
        <v>13948584</v>
      </c>
      <c r="AO900" s="70">
        <f t="shared" si="712"/>
        <v>14508751</v>
      </c>
      <c r="AP900" s="70">
        <f t="shared" si="712"/>
        <v>14649247</v>
      </c>
    </row>
    <row r="901" spans="1:42" ht="15.75">
      <c r="A901" s="14"/>
      <c r="B901" s="15" t="s">
        <v>357</v>
      </c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70"/>
      <c r="AM901" s="70"/>
      <c r="AN901" s="70"/>
      <c r="AO901" s="70"/>
      <c r="AP901" s="70"/>
    </row>
    <row r="902" spans="1:42" ht="15.75">
      <c r="A902" s="15" t="s">
        <v>441</v>
      </c>
      <c r="B902" s="15" t="s">
        <v>357</v>
      </c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70"/>
      <c r="AM902" s="70"/>
      <c r="AN902" s="70"/>
      <c r="AO902" s="70"/>
      <c r="AP902" s="70"/>
    </row>
    <row r="903" spans="1:42" ht="6.75" customHeight="1">
      <c r="A903" s="14"/>
      <c r="B903" s="15" t="s">
        <v>357</v>
      </c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70"/>
      <c r="AM903" s="70"/>
      <c r="AN903" s="70"/>
      <c r="AO903" s="70"/>
      <c r="AP903" s="70"/>
    </row>
    <row r="904" spans="1:42" s="13" customFormat="1" ht="15.75">
      <c r="A904" s="35" t="s">
        <v>201</v>
      </c>
      <c r="B904" s="15" t="s">
        <v>357</v>
      </c>
      <c r="C904" s="14">
        <f aca="true" t="shared" si="713" ref="C904:U904">C146</f>
        <v>968497</v>
      </c>
      <c r="D904" s="14">
        <f t="shared" si="713"/>
        <v>685848</v>
      </c>
      <c r="E904" s="14">
        <f t="shared" si="713"/>
        <v>583020</v>
      </c>
      <c r="F904" s="14">
        <f t="shared" si="713"/>
        <v>615157</v>
      </c>
      <c r="G904" s="14">
        <f t="shared" si="713"/>
        <v>785885</v>
      </c>
      <c r="H904" s="14">
        <f t="shared" si="713"/>
        <v>770738</v>
      </c>
      <c r="I904" s="14">
        <f t="shared" si="713"/>
        <v>917056</v>
      </c>
      <c r="J904" s="14">
        <f t="shared" si="713"/>
        <v>963416</v>
      </c>
      <c r="K904" s="14">
        <f t="shared" si="713"/>
        <v>1067009</v>
      </c>
      <c r="L904" s="14">
        <f t="shared" si="713"/>
        <v>744463</v>
      </c>
      <c r="M904" s="14">
        <f t="shared" si="713"/>
        <v>875244</v>
      </c>
      <c r="N904" s="14">
        <f t="shared" si="713"/>
        <v>949302</v>
      </c>
      <c r="O904" s="14">
        <f t="shared" si="713"/>
        <v>991136</v>
      </c>
      <c r="P904" s="14">
        <f t="shared" si="713"/>
        <v>960292</v>
      </c>
      <c r="Q904" s="14">
        <f t="shared" si="713"/>
        <v>962347</v>
      </c>
      <c r="R904" s="14">
        <f t="shared" si="713"/>
        <v>893887</v>
      </c>
      <c r="S904" s="14">
        <f t="shared" si="713"/>
        <v>810152</v>
      </c>
      <c r="T904" s="14">
        <f t="shared" si="713"/>
        <v>821258</v>
      </c>
      <c r="U904" s="14">
        <f t="shared" si="713"/>
        <v>814328</v>
      </c>
      <c r="V904" s="14">
        <f aca="true" t="shared" si="714" ref="V904:AA904">(V146)</f>
        <v>807951</v>
      </c>
      <c r="W904" s="14">
        <f t="shared" si="714"/>
        <v>777988</v>
      </c>
      <c r="X904" s="14">
        <f t="shared" si="714"/>
        <v>863809</v>
      </c>
      <c r="Y904" s="14">
        <f t="shared" si="714"/>
        <v>781607</v>
      </c>
      <c r="Z904" s="14">
        <f t="shared" si="714"/>
        <v>768573</v>
      </c>
      <c r="AA904" s="14">
        <f t="shared" si="714"/>
        <v>776229</v>
      </c>
      <c r="AB904" s="14">
        <f aca="true" t="shared" si="715" ref="AB904:AL904">(AB146)</f>
        <v>1117776</v>
      </c>
      <c r="AC904" s="14">
        <f t="shared" si="715"/>
        <v>854921</v>
      </c>
      <c r="AD904" s="14">
        <f t="shared" si="715"/>
        <v>936560.034</v>
      </c>
      <c r="AE904" s="14">
        <f t="shared" si="715"/>
        <v>878017</v>
      </c>
      <c r="AF904" s="14">
        <f t="shared" si="715"/>
        <v>942857.912</v>
      </c>
      <c r="AG904" s="14">
        <f t="shared" si="715"/>
        <v>942858</v>
      </c>
      <c r="AH904" s="14">
        <f t="shared" si="715"/>
        <v>922324</v>
      </c>
      <c r="AI904" s="14">
        <f t="shared" si="715"/>
        <v>964921</v>
      </c>
      <c r="AJ904" s="14">
        <f>(AJ146)</f>
        <v>971921</v>
      </c>
      <c r="AK904" s="14">
        <f>(AK146)</f>
        <v>1027303</v>
      </c>
      <c r="AL904" s="70">
        <f t="shared" si="715"/>
        <v>1018303</v>
      </c>
      <c r="AM904" s="70">
        <f>(AM146)</f>
        <v>883581</v>
      </c>
      <c r="AN904" s="70">
        <f>(AN146)</f>
        <v>888781</v>
      </c>
      <c r="AO904" s="70">
        <f>(AO146)</f>
        <v>1042996</v>
      </c>
      <c r="AP904" s="70">
        <f>(AP146)</f>
        <v>958380</v>
      </c>
    </row>
    <row r="905" spans="1:42" s="13" customFormat="1" ht="15.75">
      <c r="A905" s="35" t="s">
        <v>269</v>
      </c>
      <c r="B905" s="15" t="s">
        <v>357</v>
      </c>
      <c r="C905" s="14">
        <f aca="true" t="shared" si="716" ref="C905:U905">C167</f>
        <v>4660</v>
      </c>
      <c r="D905" s="14">
        <f t="shared" si="716"/>
        <v>2740</v>
      </c>
      <c r="E905" s="14">
        <f t="shared" si="716"/>
        <v>2863</v>
      </c>
      <c r="F905" s="14">
        <f t="shared" si="716"/>
        <v>2406</v>
      </c>
      <c r="G905" s="14">
        <f t="shared" si="716"/>
        <v>2295</v>
      </c>
      <c r="H905" s="14">
        <f t="shared" si="716"/>
        <v>2467</v>
      </c>
      <c r="I905" s="14">
        <f t="shared" si="716"/>
        <v>2509</v>
      </c>
      <c r="J905" s="14">
        <f t="shared" si="716"/>
        <v>2184</v>
      </c>
      <c r="K905" s="14">
        <f t="shared" si="716"/>
        <v>23874</v>
      </c>
      <c r="L905" s="14">
        <f t="shared" si="716"/>
        <v>18983</v>
      </c>
      <c r="M905" s="14">
        <f t="shared" si="716"/>
        <v>39588</v>
      </c>
      <c r="N905" s="14">
        <f t="shared" si="716"/>
        <v>40549</v>
      </c>
      <c r="O905" s="14">
        <f t="shared" si="716"/>
        <v>54046</v>
      </c>
      <c r="P905" s="14">
        <f t="shared" si="716"/>
        <v>65981</v>
      </c>
      <c r="Q905" s="14">
        <f t="shared" si="716"/>
        <v>59683</v>
      </c>
      <c r="R905" s="14">
        <f t="shared" si="716"/>
        <v>62980</v>
      </c>
      <c r="S905" s="14">
        <f t="shared" si="716"/>
        <v>82846</v>
      </c>
      <c r="T905" s="14">
        <f t="shared" si="716"/>
        <v>43094</v>
      </c>
      <c r="U905" s="14">
        <f t="shared" si="716"/>
        <v>50966</v>
      </c>
      <c r="V905" s="14">
        <f aca="true" t="shared" si="717" ref="V905:AA905">(V167)</f>
        <v>45936</v>
      </c>
      <c r="W905" s="14">
        <f t="shared" si="717"/>
        <v>42254</v>
      </c>
      <c r="X905" s="14">
        <f t="shared" si="717"/>
        <v>28081</v>
      </c>
      <c r="Y905" s="14">
        <f t="shared" si="717"/>
        <v>68339</v>
      </c>
      <c r="Z905" s="14">
        <f t="shared" si="717"/>
        <v>68039</v>
      </c>
      <c r="AA905" s="14">
        <f t="shared" si="717"/>
        <v>93145</v>
      </c>
      <c r="AB905" s="14">
        <f aca="true" t="shared" si="718" ref="AB905:AL905">(AB167)</f>
        <v>61920</v>
      </c>
      <c r="AC905" s="14">
        <f t="shared" si="718"/>
        <v>78675</v>
      </c>
      <c r="AD905" s="14">
        <f t="shared" si="718"/>
        <v>69684.6</v>
      </c>
      <c r="AE905" s="14">
        <f t="shared" si="718"/>
        <v>77935</v>
      </c>
      <c r="AF905" s="14">
        <f t="shared" si="718"/>
        <v>78215</v>
      </c>
      <c r="AG905" s="14">
        <f t="shared" si="718"/>
        <v>68147</v>
      </c>
      <c r="AH905" s="14">
        <f t="shared" si="718"/>
        <v>83575</v>
      </c>
      <c r="AI905" s="14">
        <f t="shared" si="718"/>
        <v>101261</v>
      </c>
      <c r="AJ905" s="14">
        <f>(AJ167)</f>
        <v>90513</v>
      </c>
      <c r="AK905" s="14">
        <f>(AK167)</f>
        <v>70021</v>
      </c>
      <c r="AL905" s="70">
        <f t="shared" si="718"/>
        <v>70021</v>
      </c>
      <c r="AM905" s="70">
        <f>(AM167)</f>
        <v>85833</v>
      </c>
      <c r="AN905" s="70">
        <f>(AN167)</f>
        <v>91258</v>
      </c>
      <c r="AO905" s="70">
        <f>(AO167)</f>
        <v>91258</v>
      </c>
      <c r="AP905" s="70">
        <f>(AP167)</f>
        <v>111355</v>
      </c>
    </row>
    <row r="906" spans="1:42" s="13" customFormat="1" ht="15.75">
      <c r="A906" s="35" t="s">
        <v>270</v>
      </c>
      <c r="B906" s="15" t="s">
        <v>357</v>
      </c>
      <c r="C906" s="16">
        <f aca="true" t="shared" si="719" ref="C906:U906">C171</f>
        <v>20221</v>
      </c>
      <c r="D906" s="16">
        <f t="shared" si="719"/>
        <v>4936</v>
      </c>
      <c r="E906" s="16">
        <f t="shared" si="719"/>
        <v>10535</v>
      </c>
      <c r="F906" s="16">
        <f t="shared" si="719"/>
        <v>7667</v>
      </c>
      <c r="G906" s="16">
        <f t="shared" si="719"/>
        <v>6969</v>
      </c>
      <c r="H906" s="16">
        <f t="shared" si="719"/>
        <v>5402</v>
      </c>
      <c r="I906" s="16">
        <f t="shared" si="719"/>
        <v>2940</v>
      </c>
      <c r="J906" s="16">
        <f t="shared" si="719"/>
        <v>5723</v>
      </c>
      <c r="K906" s="16">
        <f t="shared" si="719"/>
        <v>7681</v>
      </c>
      <c r="L906" s="16">
        <f t="shared" si="719"/>
        <v>4732</v>
      </c>
      <c r="M906" s="16">
        <f t="shared" si="719"/>
        <v>36034</v>
      </c>
      <c r="N906" s="16">
        <f t="shared" si="719"/>
        <v>44507</v>
      </c>
      <c r="O906" s="16">
        <f t="shared" si="719"/>
        <v>60915</v>
      </c>
      <c r="P906" s="16">
        <f t="shared" si="719"/>
        <v>39821</v>
      </c>
      <c r="Q906" s="16">
        <f t="shared" si="719"/>
        <v>75222</v>
      </c>
      <c r="R906" s="16">
        <f t="shared" si="719"/>
        <v>72022</v>
      </c>
      <c r="S906" s="16">
        <f t="shared" si="719"/>
        <v>18261</v>
      </c>
      <c r="T906" s="16">
        <f t="shared" si="719"/>
        <v>9563</v>
      </c>
      <c r="U906" s="16">
        <f t="shared" si="719"/>
        <v>22512</v>
      </c>
      <c r="V906" s="16">
        <f aca="true" t="shared" si="720" ref="V906:AA906">(V171)</f>
        <v>24138</v>
      </c>
      <c r="W906" s="16">
        <f t="shared" si="720"/>
        <v>16487</v>
      </c>
      <c r="X906" s="16">
        <f t="shared" si="720"/>
        <v>32232</v>
      </c>
      <c r="Y906" s="16">
        <f t="shared" si="720"/>
        <v>23018</v>
      </c>
      <c r="Z906" s="16">
        <f t="shared" si="720"/>
        <v>11575</v>
      </c>
      <c r="AA906" s="16">
        <f t="shared" si="720"/>
        <v>27580</v>
      </c>
      <c r="AB906" s="16">
        <f aca="true" t="shared" si="721" ref="AB906:AL906">(AB171)</f>
        <v>24192</v>
      </c>
      <c r="AC906" s="16">
        <f t="shared" si="721"/>
        <v>4200</v>
      </c>
      <c r="AD906" s="16">
        <f t="shared" si="721"/>
        <v>2942</v>
      </c>
      <c r="AE906" s="16">
        <f t="shared" si="721"/>
        <v>9600</v>
      </c>
      <c r="AF906" s="16">
        <f t="shared" si="721"/>
        <v>5500</v>
      </c>
      <c r="AG906" s="16">
        <f t="shared" si="721"/>
        <v>5542</v>
      </c>
      <c r="AH906" s="16">
        <f t="shared" si="721"/>
        <v>7000</v>
      </c>
      <c r="AI906" s="16">
        <f t="shared" si="721"/>
        <v>1300</v>
      </c>
      <c r="AJ906" s="16">
        <f>(AJ171)</f>
        <v>12913</v>
      </c>
      <c r="AK906" s="16">
        <f>(AK171)</f>
        <v>41124</v>
      </c>
      <c r="AL906" s="104">
        <f t="shared" si="721"/>
        <v>41124</v>
      </c>
      <c r="AM906" s="104">
        <f>(AM171)</f>
        <v>1334</v>
      </c>
      <c r="AN906" s="104">
        <f>(AN171)</f>
        <v>3000</v>
      </c>
      <c r="AO906" s="104">
        <f>(AO171)</f>
        <v>3000</v>
      </c>
      <c r="AP906" s="104">
        <f>(AP171)</f>
        <v>3000</v>
      </c>
    </row>
    <row r="907" spans="1:42" s="13" customFormat="1" ht="15.75">
      <c r="A907" s="35" t="s">
        <v>217</v>
      </c>
      <c r="B907" s="15" t="s">
        <v>357</v>
      </c>
      <c r="C907" s="14">
        <f aca="true" t="shared" si="722" ref="C907:L907">SUM(C904:C906)</f>
        <v>993378</v>
      </c>
      <c r="D907" s="14">
        <f t="shared" si="722"/>
        <v>693524</v>
      </c>
      <c r="E907" s="14">
        <f t="shared" si="722"/>
        <v>596418</v>
      </c>
      <c r="F907" s="14">
        <f t="shared" si="722"/>
        <v>625230</v>
      </c>
      <c r="G907" s="14">
        <f t="shared" si="722"/>
        <v>795149</v>
      </c>
      <c r="H907" s="14">
        <f t="shared" si="722"/>
        <v>778607</v>
      </c>
      <c r="I907" s="14">
        <f t="shared" si="722"/>
        <v>922505</v>
      </c>
      <c r="J907" s="14">
        <f t="shared" si="722"/>
        <v>971323</v>
      </c>
      <c r="K907" s="14">
        <f t="shared" si="722"/>
        <v>1098564</v>
      </c>
      <c r="L907" s="14">
        <f t="shared" si="722"/>
        <v>768178</v>
      </c>
      <c r="M907" s="14">
        <f aca="true" t="shared" si="723" ref="M907:U907">SUM(M904:M906)</f>
        <v>950866</v>
      </c>
      <c r="N907" s="14">
        <f t="shared" si="723"/>
        <v>1034358</v>
      </c>
      <c r="O907" s="14">
        <f t="shared" si="723"/>
        <v>1106097</v>
      </c>
      <c r="P907" s="14">
        <f t="shared" si="723"/>
        <v>1066094</v>
      </c>
      <c r="Q907" s="14">
        <f t="shared" si="723"/>
        <v>1097252</v>
      </c>
      <c r="R907" s="14">
        <f t="shared" si="723"/>
        <v>1028889</v>
      </c>
      <c r="S907" s="14">
        <f t="shared" si="723"/>
        <v>911259</v>
      </c>
      <c r="T907" s="14">
        <f t="shared" si="723"/>
        <v>873915</v>
      </c>
      <c r="U907" s="14">
        <f t="shared" si="723"/>
        <v>887806</v>
      </c>
      <c r="V907" s="14">
        <f aca="true" t="shared" si="724" ref="V907:AE907">(SUM(V904:V906))</f>
        <v>878025</v>
      </c>
      <c r="W907" s="14">
        <f t="shared" si="724"/>
        <v>836729</v>
      </c>
      <c r="X907" s="14">
        <f t="shared" si="724"/>
        <v>924122</v>
      </c>
      <c r="Y907" s="14">
        <f t="shared" si="724"/>
        <v>872964</v>
      </c>
      <c r="Z907" s="14">
        <f t="shared" si="724"/>
        <v>848187</v>
      </c>
      <c r="AA907" s="14">
        <f t="shared" si="724"/>
        <v>896954</v>
      </c>
      <c r="AB907" s="14">
        <f t="shared" si="724"/>
        <v>1203888</v>
      </c>
      <c r="AC907" s="14">
        <f t="shared" si="724"/>
        <v>937796</v>
      </c>
      <c r="AD907" s="14">
        <f t="shared" si="724"/>
        <v>1009186.634</v>
      </c>
      <c r="AE907" s="14">
        <f t="shared" si="724"/>
        <v>965552</v>
      </c>
      <c r="AF907" s="14">
        <f aca="true" t="shared" si="725" ref="AF907:AP907">(SUM(AF904:AF906))</f>
        <v>1026572.912</v>
      </c>
      <c r="AG907" s="14">
        <f t="shared" si="725"/>
        <v>1016547</v>
      </c>
      <c r="AH907" s="14">
        <f t="shared" si="725"/>
        <v>1012899</v>
      </c>
      <c r="AI907" s="14">
        <f t="shared" si="725"/>
        <v>1067482</v>
      </c>
      <c r="AJ907" s="14">
        <f t="shared" si="725"/>
        <v>1075347</v>
      </c>
      <c r="AK907" s="14">
        <f t="shared" si="725"/>
        <v>1138448</v>
      </c>
      <c r="AL907" s="70">
        <f t="shared" si="725"/>
        <v>1129448</v>
      </c>
      <c r="AM907" s="70">
        <f t="shared" si="725"/>
        <v>970748</v>
      </c>
      <c r="AN907" s="70">
        <f t="shared" si="725"/>
        <v>983039</v>
      </c>
      <c r="AO907" s="70">
        <f t="shared" si="725"/>
        <v>1137254</v>
      </c>
      <c r="AP907" s="70">
        <f t="shared" si="725"/>
        <v>1072735</v>
      </c>
    </row>
    <row r="908" spans="1:42" s="13" customFormat="1" ht="15.75">
      <c r="A908" s="14"/>
      <c r="B908" s="15" t="s">
        <v>357</v>
      </c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70"/>
      <c r="AM908" s="70"/>
      <c r="AN908" s="70"/>
      <c r="AO908" s="70"/>
      <c r="AP908" s="70"/>
    </row>
    <row r="909" spans="1:42" s="13" customFormat="1" ht="15.75">
      <c r="A909" s="15" t="s">
        <v>163</v>
      </c>
      <c r="B909" s="15" t="s">
        <v>357</v>
      </c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70"/>
      <c r="AM909" s="70"/>
      <c r="AN909" s="70"/>
      <c r="AO909" s="70"/>
      <c r="AP909" s="70"/>
    </row>
    <row r="910" spans="1:42" s="13" customFormat="1" ht="7.5" customHeight="1">
      <c r="A910" s="14"/>
      <c r="B910" s="15" t="s">
        <v>357</v>
      </c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70"/>
      <c r="AM910" s="70"/>
      <c r="AN910" s="70"/>
      <c r="AO910" s="70"/>
      <c r="AP910" s="70"/>
    </row>
    <row r="911" spans="1:42" ht="15.75">
      <c r="A911" s="35" t="s">
        <v>201</v>
      </c>
      <c r="B911" s="15" t="s">
        <v>357</v>
      </c>
      <c r="C911" s="14"/>
      <c r="D911" s="14"/>
      <c r="E911" s="14"/>
      <c r="F911" s="14"/>
      <c r="G911" s="14"/>
      <c r="H911" s="14"/>
      <c r="I911" s="14"/>
      <c r="J911" s="14"/>
      <c r="K911" s="48">
        <v>0</v>
      </c>
      <c r="L911" s="14"/>
      <c r="M911" s="14"/>
      <c r="N911" s="14"/>
      <c r="O911" s="14"/>
      <c r="P911" s="14"/>
      <c r="Q911" s="14"/>
      <c r="R911" s="14"/>
      <c r="S911" s="14"/>
      <c r="T911" s="14">
        <f>T185</f>
        <v>30620</v>
      </c>
      <c r="U911" s="14">
        <f>U185</f>
        <v>40163</v>
      </c>
      <c r="V911" s="14">
        <f aca="true" t="shared" si="726" ref="V911:AA911">(V185)</f>
        <v>44139</v>
      </c>
      <c r="W911" s="14">
        <f t="shared" si="726"/>
        <v>43627</v>
      </c>
      <c r="X911" s="14">
        <f t="shared" si="726"/>
        <v>41153</v>
      </c>
      <c r="Y911" s="14">
        <f t="shared" si="726"/>
        <v>42500</v>
      </c>
      <c r="Z911" s="14">
        <f t="shared" si="726"/>
        <v>39233</v>
      </c>
      <c r="AA911" s="14">
        <f t="shared" si="726"/>
        <v>39861</v>
      </c>
      <c r="AB911" s="14">
        <f aca="true" t="shared" si="727" ref="AB911:AL911">(AB185)</f>
        <v>36228</v>
      </c>
      <c r="AC911" s="14">
        <f t="shared" si="727"/>
        <v>36228</v>
      </c>
      <c r="AD911" s="14">
        <f t="shared" si="727"/>
        <v>35993</v>
      </c>
      <c r="AE911" s="14">
        <f t="shared" si="727"/>
        <v>44191</v>
      </c>
      <c r="AF911" s="14">
        <f t="shared" si="727"/>
        <v>37965.673</v>
      </c>
      <c r="AG911" s="14">
        <f t="shared" si="727"/>
        <v>37966.404</v>
      </c>
      <c r="AH911" s="14">
        <f t="shared" si="727"/>
        <v>46275</v>
      </c>
      <c r="AI911" s="14">
        <f t="shared" si="727"/>
        <v>47625</v>
      </c>
      <c r="AJ911" s="14">
        <f>(AJ185)</f>
        <v>47625</v>
      </c>
      <c r="AK911" s="14">
        <f>(AK185)</f>
        <v>34007</v>
      </c>
      <c r="AL911" s="70">
        <f t="shared" si="727"/>
        <v>34007</v>
      </c>
      <c r="AM911" s="70">
        <f>(AM185)</f>
        <v>40155</v>
      </c>
      <c r="AN911" s="70">
        <f>(AN185)</f>
        <v>34138</v>
      </c>
      <c r="AO911" s="70">
        <f>(AO185)</f>
        <v>34020</v>
      </c>
      <c r="AP911" s="70">
        <f>(AP185)</f>
        <v>43000</v>
      </c>
    </row>
    <row r="912" spans="1:42" ht="15.75">
      <c r="A912" s="35" t="s">
        <v>269</v>
      </c>
      <c r="B912" s="15" t="s">
        <v>357</v>
      </c>
      <c r="C912" s="14"/>
      <c r="D912" s="14"/>
      <c r="E912" s="14"/>
      <c r="F912" s="14"/>
      <c r="G912" s="14"/>
      <c r="H912" s="14"/>
      <c r="I912" s="14"/>
      <c r="J912" s="14"/>
      <c r="K912" s="48">
        <v>0</v>
      </c>
      <c r="L912" s="14"/>
      <c r="M912" s="14"/>
      <c r="N912" s="14"/>
      <c r="O912" s="14"/>
      <c r="P912" s="14"/>
      <c r="Q912" s="14"/>
      <c r="R912" s="14"/>
      <c r="S912" s="14"/>
      <c r="T912" s="14">
        <f>T193</f>
        <v>250</v>
      </c>
      <c r="U912" s="14">
        <f>U193</f>
        <v>1029</v>
      </c>
      <c r="V912" s="14">
        <f aca="true" t="shared" si="728" ref="V912:AA912">(V193)</f>
        <v>0</v>
      </c>
      <c r="W912" s="14">
        <f t="shared" si="728"/>
        <v>0</v>
      </c>
      <c r="X912" s="14">
        <f t="shared" si="728"/>
        <v>0</v>
      </c>
      <c r="Y912" s="14">
        <f t="shared" si="728"/>
        <v>4341</v>
      </c>
      <c r="Z912" s="14">
        <f t="shared" si="728"/>
        <v>5907</v>
      </c>
      <c r="AA912" s="14">
        <f t="shared" si="728"/>
        <v>6841</v>
      </c>
      <c r="AB912" s="14">
        <f>(AB193)</f>
        <v>3500</v>
      </c>
      <c r="AC912" s="14">
        <f>(AC193)</f>
        <v>0</v>
      </c>
      <c r="AD912" s="14">
        <f>(AD193)</f>
        <v>4861</v>
      </c>
      <c r="AE912" s="14">
        <f>(AE193)</f>
        <v>0</v>
      </c>
      <c r="AF912" s="14">
        <f aca="true" t="shared" si="729" ref="AF912:AM912">(AF194)</f>
        <v>0</v>
      </c>
      <c r="AG912" s="14">
        <f t="shared" si="729"/>
        <v>3482</v>
      </c>
      <c r="AH912" s="14">
        <f t="shared" si="729"/>
        <v>0</v>
      </c>
      <c r="AI912" s="14">
        <f t="shared" si="729"/>
        <v>0</v>
      </c>
      <c r="AJ912" s="14">
        <f t="shared" si="729"/>
        <v>-1946</v>
      </c>
      <c r="AK912" s="14">
        <f>(AK194)</f>
        <v>6633</v>
      </c>
      <c r="AL912" s="70">
        <f t="shared" si="729"/>
        <v>6633</v>
      </c>
      <c r="AM912" s="70">
        <f t="shared" si="729"/>
        <v>0</v>
      </c>
      <c r="AN912" s="70">
        <f>(AN194)</f>
        <v>0</v>
      </c>
      <c r="AO912" s="70">
        <f>(AO194)</f>
        <v>0</v>
      </c>
      <c r="AP912" s="70">
        <f>(AP194)</f>
        <v>0</v>
      </c>
    </row>
    <row r="913" spans="1:42" ht="15.75">
      <c r="A913" s="35" t="s">
        <v>217</v>
      </c>
      <c r="B913" s="15" t="s">
        <v>357</v>
      </c>
      <c r="C913" s="14"/>
      <c r="D913" s="14"/>
      <c r="E913" s="14"/>
      <c r="F913" s="14"/>
      <c r="G913" s="14"/>
      <c r="H913" s="14"/>
      <c r="I913" s="14"/>
      <c r="J913" s="14"/>
      <c r="K913" s="48">
        <v>0</v>
      </c>
      <c r="L913" s="14"/>
      <c r="M913" s="14"/>
      <c r="N913" s="14"/>
      <c r="O913" s="14"/>
      <c r="P913" s="14"/>
      <c r="Q913" s="14"/>
      <c r="R913" s="14"/>
      <c r="S913" s="39"/>
      <c r="T913" s="38">
        <f>SUM(T911:T912)</f>
        <v>30870</v>
      </c>
      <c r="U913" s="38">
        <f>SUM(U911:U912)</f>
        <v>41192</v>
      </c>
      <c r="V913" s="38">
        <f aca="true" t="shared" si="730" ref="V913:AG913">(SUM(V911:V912))</f>
        <v>44139</v>
      </c>
      <c r="W913" s="38">
        <f t="shared" si="730"/>
        <v>43627</v>
      </c>
      <c r="X913" s="38">
        <f t="shared" si="730"/>
        <v>41153</v>
      </c>
      <c r="Y913" s="38">
        <f t="shared" si="730"/>
        <v>46841</v>
      </c>
      <c r="Z913" s="38">
        <f t="shared" si="730"/>
        <v>45140</v>
      </c>
      <c r="AA913" s="38">
        <f t="shared" si="730"/>
        <v>46702</v>
      </c>
      <c r="AB913" s="38">
        <f t="shared" si="730"/>
        <v>39728</v>
      </c>
      <c r="AC913" s="38">
        <f t="shared" si="730"/>
        <v>36228</v>
      </c>
      <c r="AD913" s="38">
        <f t="shared" si="730"/>
        <v>40854</v>
      </c>
      <c r="AE913" s="38">
        <f t="shared" si="730"/>
        <v>44191</v>
      </c>
      <c r="AF913" s="38">
        <f t="shared" si="730"/>
        <v>37965.673</v>
      </c>
      <c r="AG913" s="38">
        <f t="shared" si="730"/>
        <v>41448.404</v>
      </c>
      <c r="AH913" s="38">
        <f aca="true" t="shared" si="731" ref="AH913:AP913">(SUM(AH911:AH912))</f>
        <v>46275</v>
      </c>
      <c r="AI913" s="38">
        <f t="shared" si="731"/>
        <v>47625</v>
      </c>
      <c r="AJ913" s="38">
        <f t="shared" si="731"/>
        <v>45679</v>
      </c>
      <c r="AK913" s="38">
        <f t="shared" si="731"/>
        <v>40640</v>
      </c>
      <c r="AL913" s="109">
        <f t="shared" si="731"/>
        <v>40640</v>
      </c>
      <c r="AM913" s="109">
        <f t="shared" si="731"/>
        <v>40155</v>
      </c>
      <c r="AN913" s="109">
        <f t="shared" si="731"/>
        <v>34138</v>
      </c>
      <c r="AO913" s="109">
        <f t="shared" si="731"/>
        <v>34020</v>
      </c>
      <c r="AP913" s="109">
        <f t="shared" si="731"/>
        <v>43000</v>
      </c>
    </row>
    <row r="914" spans="1:42" ht="7.5" customHeight="1">
      <c r="A914" s="35"/>
      <c r="B914" s="15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70"/>
      <c r="AM914" s="70"/>
      <c r="AN914" s="70"/>
      <c r="AO914" s="70"/>
      <c r="AP914" s="70"/>
    </row>
    <row r="915" spans="1:42" s="131" customFormat="1" ht="15">
      <c r="A915" s="129" t="s">
        <v>466</v>
      </c>
      <c r="B915" s="125" t="e">
        <f>+B916-B911-B904</f>
        <v>#VALUE!</v>
      </c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25">
        <f aca="true" t="shared" si="732" ref="X915:AP915">+X916-X911-X904</f>
        <v>7261912</v>
      </c>
      <c r="Y915" s="125">
        <f t="shared" si="732"/>
        <v>7266928</v>
      </c>
      <c r="Z915" s="125">
        <f t="shared" si="732"/>
        <v>7778710</v>
      </c>
      <c r="AA915" s="125">
        <f t="shared" si="732"/>
        <v>9611394</v>
      </c>
      <c r="AB915" s="125">
        <f t="shared" si="732"/>
        <v>9506682</v>
      </c>
      <c r="AC915" s="125">
        <f t="shared" si="732"/>
        <v>9456143</v>
      </c>
      <c r="AD915" s="125">
        <f t="shared" si="732"/>
        <v>9711106.996</v>
      </c>
      <c r="AE915" s="125">
        <f t="shared" si="732"/>
        <v>9774151</v>
      </c>
      <c r="AF915" s="125">
        <f t="shared" si="732"/>
        <v>9769721.165221494</v>
      </c>
      <c r="AG915" s="125">
        <f t="shared" si="732"/>
        <v>9905691.845</v>
      </c>
      <c r="AH915" s="125">
        <f t="shared" si="732"/>
        <v>-49042</v>
      </c>
      <c r="AI915" s="125">
        <f t="shared" si="732"/>
        <v>9862363</v>
      </c>
      <c r="AJ915" s="125">
        <f t="shared" si="732"/>
        <v>9972329</v>
      </c>
      <c r="AK915" s="125">
        <f t="shared" si="732"/>
        <v>10236622</v>
      </c>
      <c r="AL915" s="125">
        <f t="shared" si="732"/>
        <v>9910321</v>
      </c>
      <c r="AM915" s="125">
        <f t="shared" si="732"/>
        <v>9613260</v>
      </c>
      <c r="AN915" s="125">
        <f t="shared" si="732"/>
        <v>9474570</v>
      </c>
      <c r="AO915" s="125">
        <f t="shared" si="732"/>
        <v>10034737</v>
      </c>
      <c r="AP915" s="125">
        <f t="shared" si="732"/>
        <v>9714437</v>
      </c>
    </row>
    <row r="916" spans="1:42" ht="21" customHeight="1">
      <c r="A916" s="35" t="s">
        <v>468</v>
      </c>
      <c r="B916" s="15" t="s">
        <v>357</v>
      </c>
      <c r="C916" s="14">
        <f aca="true" t="shared" si="733" ref="C916:W916">(C892+C904+C911)</f>
        <v>4151482</v>
      </c>
      <c r="D916" s="14">
        <f t="shared" si="733"/>
        <v>4853559</v>
      </c>
      <c r="E916" s="14">
        <f t="shared" si="733"/>
        <v>4990787</v>
      </c>
      <c r="F916" s="14">
        <f t="shared" si="733"/>
        <v>4957538</v>
      </c>
      <c r="G916" s="14">
        <f t="shared" si="733"/>
        <v>4841495</v>
      </c>
      <c r="H916" s="14">
        <f t="shared" si="733"/>
        <v>4503032</v>
      </c>
      <c r="I916" s="14">
        <f t="shared" si="733"/>
        <v>5279549</v>
      </c>
      <c r="J916" s="14">
        <f t="shared" si="733"/>
        <v>5146897</v>
      </c>
      <c r="K916" s="14">
        <f t="shared" si="733"/>
        <v>5521884</v>
      </c>
      <c r="L916" s="14">
        <f t="shared" si="733"/>
        <v>4927090</v>
      </c>
      <c r="M916" s="14">
        <f t="shared" si="733"/>
        <v>5417915</v>
      </c>
      <c r="N916" s="14">
        <f t="shared" si="733"/>
        <v>5378188</v>
      </c>
      <c r="O916" s="14">
        <f t="shared" si="733"/>
        <v>5690412</v>
      </c>
      <c r="P916" s="14">
        <f t="shared" si="733"/>
        <v>6524412</v>
      </c>
      <c r="Q916" s="14">
        <f t="shared" si="733"/>
        <v>7036554</v>
      </c>
      <c r="R916" s="14">
        <f t="shared" si="733"/>
        <v>7181864</v>
      </c>
      <c r="S916" s="14">
        <f t="shared" si="733"/>
        <v>7063636</v>
      </c>
      <c r="T916" s="14">
        <f t="shared" si="733"/>
        <v>7621563</v>
      </c>
      <c r="U916" s="14">
        <f t="shared" si="733"/>
        <v>7304515.734</v>
      </c>
      <c r="V916" s="14">
        <f t="shared" si="733"/>
        <v>7118210</v>
      </c>
      <c r="W916" s="14">
        <f t="shared" si="733"/>
        <v>7420573</v>
      </c>
      <c r="X916" s="14">
        <f>(X892+X904+X911)</f>
        <v>8166874</v>
      </c>
      <c r="Y916" s="14">
        <f>(Y892+Y904+Y911)</f>
        <v>8091035</v>
      </c>
      <c r="Z916" s="14">
        <f>(Z892+Z904+Z911)</f>
        <v>8586516</v>
      </c>
      <c r="AA916" s="14">
        <f>(AA892+AA904+AA911)</f>
        <v>10427484</v>
      </c>
      <c r="AB916" s="14">
        <f aca="true" t="shared" si="734" ref="AB916:AH916">(AB892+AB904+AB911)</f>
        <v>10660686</v>
      </c>
      <c r="AC916" s="14">
        <f t="shared" si="734"/>
        <v>10347292</v>
      </c>
      <c r="AD916" s="14">
        <f t="shared" si="734"/>
        <v>10683660.03</v>
      </c>
      <c r="AE916" s="14">
        <f t="shared" si="734"/>
        <v>10696359</v>
      </c>
      <c r="AF916" s="14">
        <f t="shared" si="734"/>
        <v>10750544.750221495</v>
      </c>
      <c r="AG916" s="14">
        <f>(AG892+AG904+AG911)</f>
        <v>10886516.249</v>
      </c>
      <c r="AH916" s="14">
        <f t="shared" si="734"/>
        <v>919557</v>
      </c>
      <c r="AI916" s="14">
        <f>(AI892+AI904+AI911)</f>
        <v>10874909</v>
      </c>
      <c r="AJ916" s="14">
        <f>(AJ892+AJ904+AJ911)</f>
        <v>10991875</v>
      </c>
      <c r="AK916" s="14">
        <f>(AK892+AK904+AK911)</f>
        <v>11297932</v>
      </c>
      <c r="AL916" s="70">
        <f>+AL748-AL917-AL918</f>
        <v>10962631</v>
      </c>
      <c r="AM916" s="70">
        <f>+AM748-AM917-AM918</f>
        <v>10536996</v>
      </c>
      <c r="AN916" s="70">
        <f>+AN748-AN917-AN918</f>
        <v>10397489</v>
      </c>
      <c r="AO916" s="70">
        <f>+AO748-AO917-AO918</f>
        <v>11111753</v>
      </c>
      <c r="AP916" s="70">
        <f>+AP748-AP917-AP918</f>
        <v>10715817</v>
      </c>
    </row>
    <row r="917" spans="1:42" ht="15.75">
      <c r="A917" s="35" t="s">
        <v>320</v>
      </c>
      <c r="B917" s="15" t="s">
        <v>357</v>
      </c>
      <c r="C917" s="14">
        <f aca="true" t="shared" si="735" ref="C917:W917">(C893)</f>
        <v>31710</v>
      </c>
      <c r="D917" s="14">
        <f t="shared" si="735"/>
        <v>26987</v>
      </c>
      <c r="E917" s="14">
        <f t="shared" si="735"/>
        <v>40100</v>
      </c>
      <c r="F917" s="14">
        <f t="shared" si="735"/>
        <v>47104</v>
      </c>
      <c r="G917" s="14">
        <f t="shared" si="735"/>
        <v>36907</v>
      </c>
      <c r="H917" s="14">
        <f t="shared" si="735"/>
        <v>55272</v>
      </c>
      <c r="I917" s="14">
        <f t="shared" si="735"/>
        <v>60160</v>
      </c>
      <c r="J917" s="14">
        <f t="shared" si="735"/>
        <v>51045</v>
      </c>
      <c r="K917" s="14">
        <f t="shared" si="735"/>
        <v>460</v>
      </c>
      <c r="L917" s="14">
        <f t="shared" si="735"/>
        <v>974</v>
      </c>
      <c r="M917" s="14">
        <f t="shared" si="735"/>
        <v>972</v>
      </c>
      <c r="N917" s="14">
        <f t="shared" si="735"/>
        <v>4772</v>
      </c>
      <c r="O917" s="14">
        <f t="shared" si="735"/>
        <v>3871</v>
      </c>
      <c r="P917" s="14">
        <f t="shared" si="735"/>
        <v>7071</v>
      </c>
      <c r="Q917" s="14">
        <f t="shared" si="735"/>
        <v>4869</v>
      </c>
      <c r="R917" s="14">
        <f t="shared" si="735"/>
        <v>7767</v>
      </c>
      <c r="S917" s="14">
        <f t="shared" si="735"/>
        <v>12611</v>
      </c>
      <c r="T917" s="14">
        <f t="shared" si="735"/>
        <v>12964</v>
      </c>
      <c r="U917" s="14">
        <f t="shared" si="735"/>
        <v>13395</v>
      </c>
      <c r="V917" s="14">
        <f t="shared" si="735"/>
        <v>13437</v>
      </c>
      <c r="W917" s="14">
        <f t="shared" si="735"/>
        <v>17410</v>
      </c>
      <c r="X917" s="14">
        <f aca="true" t="shared" si="736" ref="X917:Z918">(X893)</f>
        <v>15710</v>
      </c>
      <c r="Y917" s="14">
        <f t="shared" si="736"/>
        <v>17911</v>
      </c>
      <c r="Z917" s="14">
        <f t="shared" si="736"/>
        <v>18489</v>
      </c>
      <c r="AA917" s="14">
        <f aca="true" t="shared" si="737" ref="AA917:AC918">(AA893)</f>
        <v>15647</v>
      </c>
      <c r="AB917" s="14">
        <f t="shared" si="737"/>
        <v>18476</v>
      </c>
      <c r="AC917" s="14">
        <f t="shared" si="737"/>
        <v>18510</v>
      </c>
      <c r="AD917" s="14">
        <f aca="true" t="shared" si="738" ref="AD917:AL918">(AD893)</f>
        <v>20852.4</v>
      </c>
      <c r="AE917" s="14">
        <f t="shared" si="738"/>
        <v>19510</v>
      </c>
      <c r="AF917" s="14">
        <f t="shared" si="738"/>
        <v>19422.453</v>
      </c>
      <c r="AG917" s="14">
        <f t="shared" si="738"/>
        <v>23443</v>
      </c>
      <c r="AH917" s="14">
        <f t="shared" si="738"/>
        <v>19510</v>
      </c>
      <c r="AI917" s="14">
        <f t="shared" si="738"/>
        <v>19411</v>
      </c>
      <c r="AJ917" s="14">
        <f>(AJ893)</f>
        <v>22453</v>
      </c>
      <c r="AK917" s="14">
        <f>(AK893)</f>
        <v>22350</v>
      </c>
      <c r="AL917" s="70">
        <f t="shared" si="738"/>
        <v>22350</v>
      </c>
      <c r="AM917" s="70">
        <f aca="true" t="shared" si="739" ref="AM917:AP918">(AM893)</f>
        <v>19308</v>
      </c>
      <c r="AN917" s="70">
        <f t="shared" si="739"/>
        <v>19308</v>
      </c>
      <c r="AO917" s="70">
        <f>(AO893)</f>
        <v>19308</v>
      </c>
      <c r="AP917" s="70">
        <f t="shared" si="739"/>
        <v>18808</v>
      </c>
    </row>
    <row r="918" spans="1:42" ht="15.75">
      <c r="A918" s="35" t="s">
        <v>324</v>
      </c>
      <c r="B918" s="15" t="s">
        <v>357</v>
      </c>
      <c r="C918" s="14">
        <f aca="true" t="shared" si="740" ref="C918:W918">(C894)</f>
        <v>-147895</v>
      </c>
      <c r="D918" s="14">
        <f t="shared" si="740"/>
        <v>0</v>
      </c>
      <c r="E918" s="14">
        <f t="shared" si="740"/>
        <v>0</v>
      </c>
      <c r="F918" s="14">
        <f t="shared" si="740"/>
        <v>0</v>
      </c>
      <c r="G918" s="14">
        <f t="shared" si="740"/>
        <v>0</v>
      </c>
      <c r="H918" s="14">
        <f t="shared" si="740"/>
        <v>0</v>
      </c>
      <c r="I918" s="14">
        <f t="shared" si="740"/>
        <v>0</v>
      </c>
      <c r="J918" s="14">
        <f t="shared" si="740"/>
        <v>0</v>
      </c>
      <c r="K918" s="14">
        <f t="shared" si="740"/>
        <v>0</v>
      </c>
      <c r="L918" s="14">
        <f t="shared" si="740"/>
        <v>0</v>
      </c>
      <c r="M918" s="14">
        <f t="shared" si="740"/>
        <v>0</v>
      </c>
      <c r="N918" s="14">
        <f t="shared" si="740"/>
        <v>0</v>
      </c>
      <c r="O918" s="14">
        <f t="shared" si="740"/>
        <v>0</v>
      </c>
      <c r="P918" s="14">
        <f t="shared" si="740"/>
        <v>0</v>
      </c>
      <c r="Q918" s="14">
        <f t="shared" si="740"/>
        <v>-30000</v>
      </c>
      <c r="R918" s="14">
        <f t="shared" si="740"/>
        <v>-30000</v>
      </c>
      <c r="S918" s="14">
        <f t="shared" si="740"/>
        <v>-30000</v>
      </c>
      <c r="T918" s="14">
        <f t="shared" si="740"/>
        <v>-30000</v>
      </c>
      <c r="U918" s="14">
        <f t="shared" si="740"/>
        <v>-30000</v>
      </c>
      <c r="V918" s="14">
        <f t="shared" si="740"/>
        <v>-30000</v>
      </c>
      <c r="W918" s="14">
        <f t="shared" si="740"/>
        <v>-30000</v>
      </c>
      <c r="X918" s="14">
        <f t="shared" si="736"/>
        <v>-30000</v>
      </c>
      <c r="Y918" s="14">
        <f t="shared" si="736"/>
        <v>-30000</v>
      </c>
      <c r="Z918" s="14">
        <f t="shared" si="736"/>
        <v>-30000</v>
      </c>
      <c r="AA918" s="14">
        <f t="shared" si="737"/>
        <v>-30000</v>
      </c>
      <c r="AB918" s="14">
        <f t="shared" si="737"/>
        <v>-30000</v>
      </c>
      <c r="AC918" s="14">
        <f t="shared" si="737"/>
        <v>-30000</v>
      </c>
      <c r="AD918" s="14">
        <f t="shared" si="738"/>
        <v>-30000</v>
      </c>
      <c r="AE918" s="14">
        <f t="shared" si="738"/>
        <v>-30000</v>
      </c>
      <c r="AF918" s="14">
        <f t="shared" si="738"/>
        <v>-30000</v>
      </c>
      <c r="AG918" s="14">
        <f>(AG894)</f>
        <v>-30000</v>
      </c>
      <c r="AH918" s="14">
        <f t="shared" si="738"/>
        <v>4110044</v>
      </c>
      <c r="AI918" s="14">
        <f>(AI894)</f>
        <v>-30000</v>
      </c>
      <c r="AJ918" s="14">
        <f>(AJ894)</f>
        <v>-30000</v>
      </c>
      <c r="AK918" s="14">
        <f>(AK894)</f>
        <v>-30000</v>
      </c>
      <c r="AL918" s="70">
        <f>(AL894)</f>
        <v>-30000</v>
      </c>
      <c r="AM918" s="70">
        <f t="shared" si="739"/>
        <v>-30000</v>
      </c>
      <c r="AN918" s="70">
        <f t="shared" si="739"/>
        <v>-30000</v>
      </c>
      <c r="AO918" s="70">
        <f>(AO894)</f>
        <v>-30000</v>
      </c>
      <c r="AP918" s="70">
        <f t="shared" si="739"/>
        <v>-30000</v>
      </c>
    </row>
    <row r="919" spans="1:42" s="86" customFormat="1" ht="15.75">
      <c r="A919" s="126" t="s">
        <v>202</v>
      </c>
      <c r="B919" s="126"/>
      <c r="C919" s="127">
        <f aca="true" t="shared" si="741" ref="C919:W919">(C916+C917+C918)</f>
        <v>4035297</v>
      </c>
      <c r="D919" s="127">
        <f t="shared" si="741"/>
        <v>4880546</v>
      </c>
      <c r="E919" s="127">
        <f t="shared" si="741"/>
        <v>5030887</v>
      </c>
      <c r="F919" s="127">
        <f t="shared" si="741"/>
        <v>5004642</v>
      </c>
      <c r="G919" s="127">
        <f t="shared" si="741"/>
        <v>4878402</v>
      </c>
      <c r="H919" s="127">
        <f t="shared" si="741"/>
        <v>4558304</v>
      </c>
      <c r="I919" s="127">
        <f t="shared" si="741"/>
        <v>5339709</v>
      </c>
      <c r="J919" s="127">
        <f t="shared" si="741"/>
        <v>5197942</v>
      </c>
      <c r="K919" s="127">
        <f t="shared" si="741"/>
        <v>5522344</v>
      </c>
      <c r="L919" s="127">
        <f t="shared" si="741"/>
        <v>4928064</v>
      </c>
      <c r="M919" s="127">
        <f t="shared" si="741"/>
        <v>5418887</v>
      </c>
      <c r="N919" s="127">
        <f t="shared" si="741"/>
        <v>5382960</v>
      </c>
      <c r="O919" s="127">
        <f t="shared" si="741"/>
        <v>5694283</v>
      </c>
      <c r="P919" s="127">
        <f t="shared" si="741"/>
        <v>6531483</v>
      </c>
      <c r="Q919" s="127">
        <f t="shared" si="741"/>
        <v>7011423</v>
      </c>
      <c r="R919" s="127">
        <f t="shared" si="741"/>
        <v>7159631</v>
      </c>
      <c r="S919" s="127">
        <f t="shared" si="741"/>
        <v>7046247</v>
      </c>
      <c r="T919" s="127">
        <f t="shared" si="741"/>
        <v>7604527</v>
      </c>
      <c r="U919" s="127">
        <f t="shared" si="741"/>
        <v>7287910.734</v>
      </c>
      <c r="V919" s="127">
        <f t="shared" si="741"/>
        <v>7101647</v>
      </c>
      <c r="W919" s="127">
        <f t="shared" si="741"/>
        <v>7407983</v>
      </c>
      <c r="X919" s="127">
        <f aca="true" t="shared" si="742" ref="X919:AG919">(X916+X917+X918)</f>
        <v>8152584</v>
      </c>
      <c r="Y919" s="127">
        <f t="shared" si="742"/>
        <v>8078946</v>
      </c>
      <c r="Z919" s="127">
        <f t="shared" si="742"/>
        <v>8575005</v>
      </c>
      <c r="AA919" s="127">
        <f t="shared" si="742"/>
        <v>10413131</v>
      </c>
      <c r="AB919" s="127">
        <f t="shared" si="742"/>
        <v>10649162</v>
      </c>
      <c r="AC919" s="127">
        <f t="shared" si="742"/>
        <v>10335802</v>
      </c>
      <c r="AD919" s="127">
        <f t="shared" si="742"/>
        <v>10674512.43</v>
      </c>
      <c r="AE919" s="127">
        <f t="shared" si="742"/>
        <v>10685869</v>
      </c>
      <c r="AF919" s="127">
        <f t="shared" si="742"/>
        <v>10739967.203221494</v>
      </c>
      <c r="AG919" s="127">
        <f t="shared" si="742"/>
        <v>10879959.249</v>
      </c>
      <c r="AH919" s="127">
        <f aca="true" t="shared" si="743" ref="AH919:AP919">(AH916+AH917+AH918)</f>
        <v>5049111</v>
      </c>
      <c r="AI919" s="127">
        <f t="shared" si="743"/>
        <v>10864320</v>
      </c>
      <c r="AJ919" s="127">
        <f t="shared" si="743"/>
        <v>10984328</v>
      </c>
      <c r="AK919" s="127">
        <f t="shared" si="743"/>
        <v>11290282</v>
      </c>
      <c r="AL919" s="128">
        <f t="shared" si="743"/>
        <v>10954981</v>
      </c>
      <c r="AM919" s="128">
        <f t="shared" si="743"/>
        <v>10526304</v>
      </c>
      <c r="AN919" s="128">
        <f t="shared" si="743"/>
        <v>10386797</v>
      </c>
      <c r="AO919" s="128">
        <f t="shared" si="743"/>
        <v>11101061</v>
      </c>
      <c r="AP919" s="128">
        <f t="shared" si="743"/>
        <v>10704625</v>
      </c>
    </row>
    <row r="920" spans="1:42" ht="15.75">
      <c r="A920" s="35" t="s">
        <v>269</v>
      </c>
      <c r="B920" s="15" t="s">
        <v>357</v>
      </c>
      <c r="C920" s="14">
        <f aca="true" t="shared" si="744" ref="C920:W920">(C896+C905+C912)</f>
        <v>350140</v>
      </c>
      <c r="D920" s="14">
        <f t="shared" si="744"/>
        <v>449299</v>
      </c>
      <c r="E920" s="14">
        <f t="shared" si="744"/>
        <v>486187</v>
      </c>
      <c r="F920" s="14">
        <f t="shared" si="744"/>
        <v>601288</v>
      </c>
      <c r="G920" s="14">
        <f t="shared" si="744"/>
        <v>685194</v>
      </c>
      <c r="H920" s="14">
        <f t="shared" si="744"/>
        <v>922155</v>
      </c>
      <c r="I920" s="14">
        <f t="shared" si="744"/>
        <v>847262</v>
      </c>
      <c r="J920" s="14">
        <f t="shared" si="744"/>
        <v>1079717</v>
      </c>
      <c r="K920" s="14">
        <f t="shared" si="744"/>
        <v>969996</v>
      </c>
      <c r="L920" s="14">
        <f t="shared" si="744"/>
        <v>834265</v>
      </c>
      <c r="M920" s="14">
        <f t="shared" si="744"/>
        <v>891575</v>
      </c>
      <c r="N920" s="14">
        <f t="shared" si="744"/>
        <v>1037685</v>
      </c>
      <c r="O920" s="14">
        <f t="shared" si="744"/>
        <v>1008703</v>
      </c>
      <c r="P920" s="14">
        <f t="shared" si="744"/>
        <v>1228209</v>
      </c>
      <c r="Q920" s="14">
        <f t="shared" si="744"/>
        <v>1179991</v>
      </c>
      <c r="R920" s="14">
        <f t="shared" si="744"/>
        <v>1183195</v>
      </c>
      <c r="S920" s="14">
        <f t="shared" si="744"/>
        <v>1366609</v>
      </c>
      <c r="T920" s="14">
        <f t="shared" si="744"/>
        <v>1448807</v>
      </c>
      <c r="U920" s="14">
        <f t="shared" si="744"/>
        <v>1714669</v>
      </c>
      <c r="V920" s="14">
        <f t="shared" si="744"/>
        <v>1715287</v>
      </c>
      <c r="W920" s="14">
        <f t="shared" si="744"/>
        <v>1689652</v>
      </c>
      <c r="X920" s="14">
        <f>(X896+X905+X912)</f>
        <v>1531409</v>
      </c>
      <c r="Y920" s="14">
        <f>(Y896+Y905+Y912)</f>
        <v>1652846</v>
      </c>
      <c r="Z920" s="14">
        <f>(Z896+Z905+Z912)</f>
        <v>1872702</v>
      </c>
      <c r="AA920" s="14">
        <f>(AA896+AA905+AA912)</f>
        <v>2318036</v>
      </c>
      <c r="AB920" s="14">
        <f aca="true" t="shared" si="745" ref="AB920:AH920">(AB896+AB905+AB912)</f>
        <v>2009072</v>
      </c>
      <c r="AC920" s="14">
        <f t="shared" si="745"/>
        <v>2411716</v>
      </c>
      <c r="AD920" s="14">
        <f t="shared" si="745"/>
        <v>2480883.2</v>
      </c>
      <c r="AE920" s="14">
        <f t="shared" si="745"/>
        <v>2262813</v>
      </c>
      <c r="AF920" s="14">
        <f t="shared" si="745"/>
        <v>2808918</v>
      </c>
      <c r="AG920" s="14">
        <f>(AG896+AG905+AG912)</f>
        <v>2960597</v>
      </c>
      <c r="AH920" s="14">
        <f t="shared" si="745"/>
        <v>449334</v>
      </c>
      <c r="AI920" s="14">
        <f aca="true" t="shared" si="746" ref="AI920:AP920">(AI896+AI905+AI912)</f>
        <v>4472138</v>
      </c>
      <c r="AJ920" s="14">
        <f t="shared" si="746"/>
        <v>4310582</v>
      </c>
      <c r="AK920" s="14">
        <f>(AK896+AK905+AK912)</f>
        <v>4565476</v>
      </c>
      <c r="AL920" s="70">
        <f t="shared" si="746"/>
        <v>4565702</v>
      </c>
      <c r="AM920" s="70">
        <f t="shared" si="746"/>
        <v>4850673</v>
      </c>
      <c r="AN920" s="70">
        <f t="shared" si="746"/>
        <v>3886348</v>
      </c>
      <c r="AO920" s="70">
        <f>(AO896+AO905+AO912)</f>
        <v>3886348</v>
      </c>
      <c r="AP920" s="70">
        <f t="shared" si="746"/>
        <v>4244750</v>
      </c>
    </row>
    <row r="921" spans="1:42" ht="15.75">
      <c r="A921" s="35" t="s">
        <v>270</v>
      </c>
      <c r="B921" s="15" t="s">
        <v>357</v>
      </c>
      <c r="C921" s="14">
        <f aca="true" t="shared" si="747" ref="C921:W921">(C897+C906)</f>
        <v>267754</v>
      </c>
      <c r="D921" s="14">
        <f t="shared" si="747"/>
        <v>293929</v>
      </c>
      <c r="E921" s="14">
        <f t="shared" si="747"/>
        <v>395941</v>
      </c>
      <c r="F921" s="14">
        <f t="shared" si="747"/>
        <v>950471</v>
      </c>
      <c r="G921" s="14">
        <f t="shared" si="747"/>
        <v>611891</v>
      </c>
      <c r="H921" s="14">
        <f t="shared" si="747"/>
        <v>467170</v>
      </c>
      <c r="I921" s="14">
        <f t="shared" si="747"/>
        <v>390561</v>
      </c>
      <c r="J921" s="14">
        <f t="shared" si="747"/>
        <v>352081</v>
      </c>
      <c r="K921" s="14">
        <f t="shared" si="747"/>
        <v>457559</v>
      </c>
      <c r="L921" s="14">
        <f t="shared" si="747"/>
        <v>456789</v>
      </c>
      <c r="M921" s="14">
        <f t="shared" si="747"/>
        <v>505181</v>
      </c>
      <c r="N921" s="14">
        <f t="shared" si="747"/>
        <v>592550</v>
      </c>
      <c r="O921" s="14">
        <f t="shared" si="747"/>
        <v>733004</v>
      </c>
      <c r="P921" s="14">
        <f t="shared" si="747"/>
        <v>726213</v>
      </c>
      <c r="Q921" s="14">
        <f t="shared" si="747"/>
        <v>680859</v>
      </c>
      <c r="R921" s="14">
        <f t="shared" si="747"/>
        <v>756197</v>
      </c>
      <c r="S921" s="14">
        <f t="shared" si="747"/>
        <v>585422</v>
      </c>
      <c r="T921" s="14">
        <f t="shared" si="747"/>
        <v>599629</v>
      </c>
      <c r="U921" s="14">
        <f t="shared" si="747"/>
        <v>636191</v>
      </c>
      <c r="V921" s="14">
        <f t="shared" si="747"/>
        <v>609220</v>
      </c>
      <c r="W921" s="14">
        <f t="shared" si="747"/>
        <v>836551</v>
      </c>
      <c r="X921" s="14">
        <f>(X897+X906)</f>
        <v>856302</v>
      </c>
      <c r="Y921" s="14">
        <f>(Y897+Y906)</f>
        <v>778067</v>
      </c>
      <c r="Z921" s="14">
        <f>(Z897+Z906)</f>
        <v>406113</v>
      </c>
      <c r="AA921" s="14">
        <f>(AA897+AA906)</f>
        <v>465878</v>
      </c>
      <c r="AB921" s="14">
        <f aca="true" t="shared" si="748" ref="AB921:AH921">(AB897+AB906)</f>
        <v>725642</v>
      </c>
      <c r="AC921" s="14">
        <f t="shared" si="748"/>
        <v>699183</v>
      </c>
      <c r="AD921" s="14">
        <f t="shared" si="748"/>
        <v>723436</v>
      </c>
      <c r="AE921" s="14">
        <f t="shared" si="748"/>
        <v>721334</v>
      </c>
      <c r="AF921" s="14">
        <f t="shared" si="748"/>
        <v>751255</v>
      </c>
      <c r="AG921" s="14">
        <f>(AG897+AG906)</f>
        <v>655562</v>
      </c>
      <c r="AH921" s="14">
        <f t="shared" si="748"/>
        <v>666337</v>
      </c>
      <c r="AI921" s="14">
        <f aca="true" t="shared" si="749" ref="AI921:AP921">(AI897+AI906)</f>
        <v>660518</v>
      </c>
      <c r="AJ921" s="14">
        <f t="shared" si="749"/>
        <v>610946</v>
      </c>
      <c r="AK921" s="14">
        <f>(AK897+AK906)</f>
        <v>570878</v>
      </c>
      <c r="AL921" s="70">
        <f t="shared" si="749"/>
        <v>570878</v>
      </c>
      <c r="AM921" s="70">
        <f t="shared" si="749"/>
        <v>699645</v>
      </c>
      <c r="AN921" s="70">
        <f t="shared" si="749"/>
        <v>662616</v>
      </c>
      <c r="AO921" s="70">
        <f>(AO897+AO906)</f>
        <v>662616</v>
      </c>
      <c r="AP921" s="70">
        <f t="shared" si="749"/>
        <v>785607</v>
      </c>
    </row>
    <row r="922" spans="1:42" ht="15.75">
      <c r="A922" s="35" t="s">
        <v>54</v>
      </c>
      <c r="B922" s="15" t="s">
        <v>357</v>
      </c>
      <c r="C922" s="14">
        <f aca="true" t="shared" si="750" ref="C922:W922">(C898)</f>
        <v>30000</v>
      </c>
      <c r="D922" s="14">
        <f t="shared" si="750"/>
        <v>30000</v>
      </c>
      <c r="E922" s="14">
        <f t="shared" si="750"/>
        <v>30000</v>
      </c>
      <c r="F922" s="14">
        <f t="shared" si="750"/>
        <v>30000</v>
      </c>
      <c r="G922" s="14">
        <f t="shared" si="750"/>
        <v>30000</v>
      </c>
      <c r="H922" s="14">
        <f t="shared" si="750"/>
        <v>0</v>
      </c>
      <c r="I922" s="14">
        <f t="shared" si="750"/>
        <v>0</v>
      </c>
      <c r="J922" s="14">
        <f t="shared" si="750"/>
        <v>0</v>
      </c>
      <c r="K922" s="14">
        <f t="shared" si="750"/>
        <v>0</v>
      </c>
      <c r="L922" s="14">
        <f t="shared" si="750"/>
        <v>0</v>
      </c>
      <c r="M922" s="14">
        <f t="shared" si="750"/>
        <v>0</v>
      </c>
      <c r="N922" s="14">
        <f t="shared" si="750"/>
        <v>0</v>
      </c>
      <c r="O922" s="14">
        <f t="shared" si="750"/>
        <v>0</v>
      </c>
      <c r="P922" s="14">
        <f t="shared" si="750"/>
        <v>0</v>
      </c>
      <c r="Q922" s="14">
        <f t="shared" si="750"/>
        <v>30000</v>
      </c>
      <c r="R922" s="14">
        <f t="shared" si="750"/>
        <v>30000</v>
      </c>
      <c r="S922" s="14">
        <f t="shared" si="750"/>
        <v>30000</v>
      </c>
      <c r="T922" s="14">
        <f t="shared" si="750"/>
        <v>30000</v>
      </c>
      <c r="U922" s="14">
        <f t="shared" si="750"/>
        <v>30000</v>
      </c>
      <c r="V922" s="14">
        <f t="shared" si="750"/>
        <v>30000</v>
      </c>
      <c r="W922" s="14">
        <f t="shared" si="750"/>
        <v>30000</v>
      </c>
      <c r="X922" s="14">
        <f>(X898)</f>
        <v>30000</v>
      </c>
      <c r="Y922" s="14">
        <f>(Y898)</f>
        <v>30000</v>
      </c>
      <c r="Z922" s="14">
        <f>(Z898)</f>
        <v>30000</v>
      </c>
      <c r="AA922" s="14">
        <f>(AA898)</f>
        <v>30000</v>
      </c>
      <c r="AB922" s="14">
        <f aca="true" t="shared" si="751" ref="AB922:AH922">(AB898)</f>
        <v>30000</v>
      </c>
      <c r="AC922" s="14">
        <f t="shared" si="751"/>
        <v>30000</v>
      </c>
      <c r="AD922" s="14">
        <f t="shared" si="751"/>
        <v>30000</v>
      </c>
      <c r="AE922" s="14">
        <f t="shared" si="751"/>
        <v>30000</v>
      </c>
      <c r="AF922" s="14">
        <f t="shared" si="751"/>
        <v>30000</v>
      </c>
      <c r="AG922" s="14">
        <f>(AG898)</f>
        <v>30000</v>
      </c>
      <c r="AH922" s="14">
        <f t="shared" si="751"/>
        <v>30000</v>
      </c>
      <c r="AI922" s="14">
        <f aca="true" t="shared" si="752" ref="AI922:AP922">(AI898)</f>
        <v>30000</v>
      </c>
      <c r="AJ922" s="14">
        <f t="shared" si="752"/>
        <v>30000</v>
      </c>
      <c r="AK922" s="14">
        <f>(AK898)</f>
        <v>30000</v>
      </c>
      <c r="AL922" s="70">
        <f t="shared" si="752"/>
        <v>30000</v>
      </c>
      <c r="AM922" s="70">
        <f t="shared" si="752"/>
        <v>30000</v>
      </c>
      <c r="AN922" s="70">
        <f t="shared" si="752"/>
        <v>30000</v>
      </c>
      <c r="AO922" s="70">
        <f>(AO898)</f>
        <v>30000</v>
      </c>
      <c r="AP922" s="70">
        <f t="shared" si="752"/>
        <v>30000</v>
      </c>
    </row>
    <row r="923" spans="1:42" ht="15.75">
      <c r="A923" s="46" t="s">
        <v>203</v>
      </c>
      <c r="B923" s="15"/>
      <c r="C923" s="43">
        <f aca="true" t="shared" si="753" ref="C923:W923">(C920+C921+C922)</f>
        <v>647894</v>
      </c>
      <c r="D923" s="43">
        <f t="shared" si="753"/>
        <v>773228</v>
      </c>
      <c r="E923" s="43">
        <f t="shared" si="753"/>
        <v>912128</v>
      </c>
      <c r="F923" s="43">
        <f t="shared" si="753"/>
        <v>1581759</v>
      </c>
      <c r="G923" s="43">
        <f t="shared" si="753"/>
        <v>1327085</v>
      </c>
      <c r="H923" s="43">
        <f t="shared" si="753"/>
        <v>1389325</v>
      </c>
      <c r="I923" s="43">
        <f t="shared" si="753"/>
        <v>1237823</v>
      </c>
      <c r="J923" s="43">
        <f t="shared" si="753"/>
        <v>1431798</v>
      </c>
      <c r="K923" s="43">
        <f t="shared" si="753"/>
        <v>1427555</v>
      </c>
      <c r="L923" s="43">
        <f t="shared" si="753"/>
        <v>1291054</v>
      </c>
      <c r="M923" s="43">
        <f t="shared" si="753"/>
        <v>1396756</v>
      </c>
      <c r="N923" s="43">
        <f t="shared" si="753"/>
        <v>1630235</v>
      </c>
      <c r="O923" s="43">
        <f t="shared" si="753"/>
        <v>1741707</v>
      </c>
      <c r="P923" s="43">
        <f t="shared" si="753"/>
        <v>1954422</v>
      </c>
      <c r="Q923" s="43">
        <f t="shared" si="753"/>
        <v>1890850</v>
      </c>
      <c r="R923" s="43">
        <f t="shared" si="753"/>
        <v>1969392</v>
      </c>
      <c r="S923" s="43">
        <f t="shared" si="753"/>
        <v>1982031</v>
      </c>
      <c r="T923" s="43">
        <f t="shared" si="753"/>
        <v>2078436</v>
      </c>
      <c r="U923" s="43">
        <f t="shared" si="753"/>
        <v>2380860</v>
      </c>
      <c r="V923" s="43">
        <f t="shared" si="753"/>
        <v>2354507</v>
      </c>
      <c r="W923" s="43">
        <f t="shared" si="753"/>
        <v>2556203</v>
      </c>
      <c r="X923" s="43">
        <f aca="true" t="shared" si="754" ref="X923:AG923">(X920+X921+X922)</f>
        <v>2417711</v>
      </c>
      <c r="Y923" s="43">
        <f t="shared" si="754"/>
        <v>2460913</v>
      </c>
      <c r="Z923" s="43">
        <f t="shared" si="754"/>
        <v>2308815</v>
      </c>
      <c r="AA923" s="43">
        <f t="shared" si="754"/>
        <v>2813914</v>
      </c>
      <c r="AB923" s="43">
        <f t="shared" si="754"/>
        <v>2764714</v>
      </c>
      <c r="AC923" s="43">
        <f t="shared" si="754"/>
        <v>3140899</v>
      </c>
      <c r="AD923" s="43">
        <f t="shared" si="754"/>
        <v>3234319.2</v>
      </c>
      <c r="AE923" s="43">
        <f t="shared" si="754"/>
        <v>3014147</v>
      </c>
      <c r="AF923" s="43">
        <f t="shared" si="754"/>
        <v>3590173</v>
      </c>
      <c r="AG923" s="43">
        <f t="shared" si="754"/>
        <v>3646159</v>
      </c>
      <c r="AH923" s="43">
        <f aca="true" t="shared" si="755" ref="AH923:AP923">(AH920+AH921+AH922)</f>
        <v>1145671</v>
      </c>
      <c r="AI923" s="43">
        <f t="shared" si="755"/>
        <v>5162656</v>
      </c>
      <c r="AJ923" s="43">
        <f t="shared" si="755"/>
        <v>4951528</v>
      </c>
      <c r="AK923" s="43">
        <f t="shared" si="755"/>
        <v>5166354</v>
      </c>
      <c r="AL923" s="106">
        <f t="shared" si="755"/>
        <v>5166580</v>
      </c>
      <c r="AM923" s="106">
        <f t="shared" si="755"/>
        <v>5580318</v>
      </c>
      <c r="AN923" s="106">
        <f t="shared" si="755"/>
        <v>4578964</v>
      </c>
      <c r="AO923" s="106">
        <f t="shared" si="755"/>
        <v>4578964</v>
      </c>
      <c r="AP923" s="106">
        <f t="shared" si="755"/>
        <v>5060357</v>
      </c>
    </row>
    <row r="924" spans="1:42" ht="15.75">
      <c r="A924" s="35" t="s">
        <v>204</v>
      </c>
      <c r="B924" s="15" t="s">
        <v>357</v>
      </c>
      <c r="C924" s="60">
        <f aca="true" t="shared" si="756" ref="C924:W924">(SUM(C916:C923)-C919-C923)</f>
        <v>4683191</v>
      </c>
      <c r="D924" s="60">
        <f t="shared" si="756"/>
        <v>5653774</v>
      </c>
      <c r="E924" s="60">
        <f t="shared" si="756"/>
        <v>5943015</v>
      </c>
      <c r="F924" s="60">
        <f t="shared" si="756"/>
        <v>6586401</v>
      </c>
      <c r="G924" s="60">
        <f t="shared" si="756"/>
        <v>6205487</v>
      </c>
      <c r="H924" s="60">
        <f t="shared" si="756"/>
        <v>5947629</v>
      </c>
      <c r="I924" s="60">
        <f t="shared" si="756"/>
        <v>6577532</v>
      </c>
      <c r="J924" s="60">
        <f t="shared" si="756"/>
        <v>6629740</v>
      </c>
      <c r="K924" s="60">
        <f t="shared" si="756"/>
        <v>6949899</v>
      </c>
      <c r="L924" s="60">
        <f t="shared" si="756"/>
        <v>6219118</v>
      </c>
      <c r="M924" s="60">
        <f t="shared" si="756"/>
        <v>6815643</v>
      </c>
      <c r="N924" s="60">
        <f t="shared" si="756"/>
        <v>7013195</v>
      </c>
      <c r="O924" s="60">
        <f t="shared" si="756"/>
        <v>7435990</v>
      </c>
      <c r="P924" s="60">
        <f t="shared" si="756"/>
        <v>8485905</v>
      </c>
      <c r="Q924" s="60">
        <f t="shared" si="756"/>
        <v>8902273</v>
      </c>
      <c r="R924" s="60">
        <f t="shared" si="756"/>
        <v>9129023</v>
      </c>
      <c r="S924" s="60">
        <f t="shared" si="756"/>
        <v>9028278</v>
      </c>
      <c r="T924" s="60">
        <f t="shared" si="756"/>
        <v>9682963</v>
      </c>
      <c r="U924" s="60">
        <f t="shared" si="756"/>
        <v>9668770.734000001</v>
      </c>
      <c r="V924" s="60">
        <f t="shared" si="756"/>
        <v>9456154</v>
      </c>
      <c r="W924" s="60">
        <f t="shared" si="756"/>
        <v>9964186</v>
      </c>
      <c r="X924" s="60">
        <f aca="true" t="shared" si="757" ref="X924:AG924">(SUM(X916:X923)-X919-X923)</f>
        <v>10570295</v>
      </c>
      <c r="Y924" s="60">
        <f t="shared" si="757"/>
        <v>10539859</v>
      </c>
      <c r="Z924" s="60">
        <f t="shared" si="757"/>
        <v>10883820</v>
      </c>
      <c r="AA924" s="60">
        <f t="shared" si="757"/>
        <v>13227045</v>
      </c>
      <c r="AB924" s="60">
        <f t="shared" si="757"/>
        <v>13413876</v>
      </c>
      <c r="AC924" s="60">
        <f t="shared" si="757"/>
        <v>13476701</v>
      </c>
      <c r="AD924" s="60">
        <f t="shared" si="757"/>
        <v>13908831.629999999</v>
      </c>
      <c r="AE924" s="60">
        <f t="shared" si="757"/>
        <v>13700016</v>
      </c>
      <c r="AF924" s="60">
        <f t="shared" si="757"/>
        <v>14330140.203221492</v>
      </c>
      <c r="AG924" s="60">
        <f t="shared" si="757"/>
        <v>14526118.248999998</v>
      </c>
      <c r="AH924" s="60">
        <f aca="true" t="shared" si="758" ref="AH924:AP924">(SUM(AH916:AH923)-AH919-AH923)</f>
        <v>6194782</v>
      </c>
      <c r="AI924" s="60">
        <f t="shared" si="758"/>
        <v>16026976</v>
      </c>
      <c r="AJ924" s="60">
        <f t="shared" si="758"/>
        <v>15935856</v>
      </c>
      <c r="AK924" s="60">
        <f>(SUM(AK916:AK923)-AK919-AK923)-1</f>
        <v>16456635</v>
      </c>
      <c r="AL924" s="117">
        <f t="shared" si="758"/>
        <v>16121561</v>
      </c>
      <c r="AM924" s="117">
        <f t="shared" si="758"/>
        <v>16106622</v>
      </c>
      <c r="AN924" s="117">
        <f t="shared" si="758"/>
        <v>14965761</v>
      </c>
      <c r="AO924" s="117">
        <f t="shared" si="758"/>
        <v>15680025</v>
      </c>
      <c r="AP924" s="117">
        <f t="shared" si="758"/>
        <v>15764982</v>
      </c>
    </row>
    <row r="925" ht="12">
      <c r="B925" s="1" t="s">
        <v>357</v>
      </c>
    </row>
    <row r="926" spans="1:42" ht="15.75">
      <c r="A926" s="14" t="s">
        <v>465</v>
      </c>
      <c r="B926" s="1" t="s">
        <v>357</v>
      </c>
      <c r="C926" s="14">
        <f aca="true" t="shared" si="759" ref="C926:Z926">C750-C32-C37-C31-28000-12000</f>
        <v>3019079</v>
      </c>
      <c r="D926" s="14">
        <f t="shared" si="759"/>
        <v>4135451</v>
      </c>
      <c r="E926" s="14">
        <f t="shared" si="759"/>
        <v>4393438</v>
      </c>
      <c r="F926" s="14">
        <f t="shared" si="759"/>
        <v>4332663</v>
      </c>
      <c r="G926" s="14">
        <f t="shared" si="759"/>
        <v>4031004</v>
      </c>
      <c r="H926" s="14">
        <f t="shared" si="759"/>
        <v>3728018</v>
      </c>
      <c r="I926" s="14">
        <f t="shared" si="759"/>
        <v>4366085</v>
      </c>
      <c r="J926" s="14">
        <f t="shared" si="759"/>
        <v>4180665</v>
      </c>
      <c r="K926" s="14">
        <f t="shared" si="759"/>
        <v>4400105</v>
      </c>
      <c r="L926" s="14">
        <f t="shared" si="759"/>
        <v>4129033</v>
      </c>
      <c r="M926" s="14">
        <f t="shared" si="759"/>
        <v>4489502</v>
      </c>
      <c r="N926" s="14">
        <f t="shared" si="759"/>
        <v>4374006</v>
      </c>
      <c r="O926" s="14">
        <f t="shared" si="759"/>
        <v>4643567</v>
      </c>
      <c r="P926" s="14">
        <f t="shared" si="759"/>
        <v>5506810</v>
      </c>
      <c r="Q926" s="14">
        <f t="shared" si="759"/>
        <v>5985638</v>
      </c>
      <c r="R926" s="14">
        <f t="shared" si="759"/>
        <v>6197822</v>
      </c>
      <c r="S926" s="14">
        <f t="shared" si="759"/>
        <v>6168511</v>
      </c>
      <c r="T926" s="14">
        <f t="shared" si="759"/>
        <v>6685301</v>
      </c>
      <c r="U926" s="14">
        <f t="shared" si="759"/>
        <v>6366765.734</v>
      </c>
      <c r="V926" s="14">
        <f t="shared" si="759"/>
        <v>6184161</v>
      </c>
      <c r="W926" s="14">
        <f t="shared" si="759"/>
        <v>6517220</v>
      </c>
      <c r="X926" s="14">
        <f t="shared" si="759"/>
        <v>7176506</v>
      </c>
      <c r="Y926" s="14">
        <f t="shared" si="759"/>
        <v>7185086</v>
      </c>
      <c r="Z926" s="14">
        <f t="shared" si="759"/>
        <v>7691575</v>
      </c>
      <c r="AA926" s="14">
        <f>+AA750-AA37-AA31-AA32-27720-12000</f>
        <v>9520617</v>
      </c>
      <c r="AB926" s="14">
        <f>+AB750-AB38-AB31-27720-14500</f>
        <v>9430567</v>
      </c>
      <c r="AC926" s="14">
        <f>+AC750-AC37-AC31-AC32-27720-12000</f>
        <v>9374628</v>
      </c>
      <c r="AD926" s="14">
        <f>+AD750-AD38-AD31-27720-12000</f>
        <v>9637452.396</v>
      </c>
      <c r="AE926" s="14">
        <f>+AE750-AE37-AE31-AE32-27720-12000</f>
        <v>9681046</v>
      </c>
      <c r="AF926" s="14">
        <f>+AF750-AF38-AF31-27720-2000</f>
        <v>9707018.618221493</v>
      </c>
      <c r="AG926" s="14">
        <f>+AG750-AG38-AG31-27720-2000</f>
        <v>9842988.845</v>
      </c>
      <c r="AH926" s="14">
        <f>+AH750-AH38-AH32-27720-2000</f>
        <v>4013897</v>
      </c>
      <c r="AI926" s="14">
        <f>+AI750-AI38-AI31-27720-2000</f>
        <v>9799649</v>
      </c>
      <c r="AJ926" s="14">
        <f>+AJ750-AJ38-AJ31-27720-2000</f>
        <v>9909615</v>
      </c>
      <c r="AK926" s="14">
        <f>+AK750-AK38-AK31-27720-2000</f>
        <v>10173805</v>
      </c>
      <c r="AL926" s="70">
        <f>+AL750-AL38-AL31-27720-2000</f>
        <v>9847504</v>
      </c>
      <c r="AM926" s="70">
        <f>+AM750-AM38-AM31-27720-2000-312000</f>
        <v>9248443</v>
      </c>
      <c r="AN926" s="70">
        <f>+AN750-AN38-AN31-27720-2000</f>
        <v>9411753</v>
      </c>
      <c r="AO926" s="70">
        <f>+AO750-AO38-AO31-27720-2000</f>
        <v>9971920</v>
      </c>
      <c r="AP926" s="70">
        <f>+AP750-AP38-AP31-27720-2000</f>
        <v>9661120</v>
      </c>
    </row>
    <row r="927" spans="1:42" ht="15.75">
      <c r="A927" s="14"/>
      <c r="B927" s="1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70"/>
      <c r="AM927" s="70"/>
      <c r="AN927" s="70"/>
      <c r="AO927" s="70"/>
      <c r="AP927" s="70"/>
    </row>
    <row r="928" spans="1:42" ht="15.75">
      <c r="A928" s="14"/>
      <c r="B928" s="1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39"/>
      <c r="AC928" s="88" t="str">
        <f>+AC8</f>
        <v>Request</v>
      </c>
      <c r="AD928" s="88">
        <f aca="true" t="shared" si="760" ref="AA928:AE929">+AD7</f>
        <v>0</v>
      </c>
      <c r="AE928" s="88">
        <f t="shared" si="760"/>
        <v>2004</v>
      </c>
      <c r="AF928" s="88" t="str">
        <f aca="true" t="shared" si="761" ref="AF928:AL929">+AF8</f>
        <v>Enacted</v>
      </c>
      <c r="AG928" s="88">
        <f t="shared" si="761"/>
        <v>2004</v>
      </c>
      <c r="AH928" s="88" t="str">
        <f t="shared" si="761"/>
        <v>Request</v>
      </c>
      <c r="AI928" s="88" t="str">
        <f t="shared" si="761"/>
        <v>Enacted</v>
      </c>
      <c r="AJ928" s="88"/>
      <c r="AK928" s="88"/>
      <c r="AL928" s="118">
        <f t="shared" si="761"/>
        <v>2006</v>
      </c>
      <c r="AM928" s="118" t="str">
        <f aca="true" t="shared" si="762" ref="AM928:AP929">+AM8</f>
        <v>PB Request</v>
      </c>
      <c r="AN928" s="118" t="str">
        <f t="shared" si="762"/>
        <v>Cont Res</v>
      </c>
      <c r="AO928" s="118" t="str">
        <f>+AO8</f>
        <v>Enacted </v>
      </c>
      <c r="AP928" s="118" t="str">
        <f t="shared" si="762"/>
        <v>Pres Budget</v>
      </c>
    </row>
    <row r="929" spans="1:42" ht="15.75">
      <c r="A929" s="13"/>
      <c r="B929" s="13"/>
      <c r="C929" s="13"/>
      <c r="D929" s="13"/>
      <c r="E929" s="13"/>
      <c r="F929" s="13"/>
      <c r="G929" s="91" t="s">
        <v>30</v>
      </c>
      <c r="H929" s="13"/>
      <c r="I929" s="13"/>
      <c r="J929" s="13"/>
      <c r="K929" s="31" t="s">
        <v>242</v>
      </c>
      <c r="L929" s="31" t="s">
        <v>243</v>
      </c>
      <c r="M929" s="31" t="s">
        <v>244</v>
      </c>
      <c r="N929" s="31" t="s">
        <v>245</v>
      </c>
      <c r="O929" s="31" t="s">
        <v>246</v>
      </c>
      <c r="P929" s="31" t="s">
        <v>247</v>
      </c>
      <c r="Q929" s="31" t="s">
        <v>248</v>
      </c>
      <c r="R929" s="31" t="s">
        <v>249</v>
      </c>
      <c r="S929" s="32">
        <v>1993</v>
      </c>
      <c r="T929" s="31" t="s">
        <v>250</v>
      </c>
      <c r="U929" s="33">
        <v>1995</v>
      </c>
      <c r="V929" s="33">
        <v>1996</v>
      </c>
      <c r="W929" s="33">
        <v>1997</v>
      </c>
      <c r="X929" s="33">
        <v>1998</v>
      </c>
      <c r="Y929" s="69">
        <v>1999</v>
      </c>
      <c r="Z929" s="33">
        <f>+Z8</f>
        <v>2000</v>
      </c>
      <c r="AA929" s="33">
        <f t="shared" si="760"/>
        <v>2001</v>
      </c>
      <c r="AB929" s="33">
        <f t="shared" si="760"/>
        <v>2002</v>
      </c>
      <c r="AC929" s="33" t="e">
        <f>+#REF!</f>
        <v>#REF!</v>
      </c>
      <c r="AD929" s="33">
        <f t="shared" si="760"/>
        <v>2003</v>
      </c>
      <c r="AE929" s="33" t="str">
        <f t="shared" si="760"/>
        <v>Request</v>
      </c>
      <c r="AF929" s="33">
        <f t="shared" si="761"/>
        <v>0</v>
      </c>
      <c r="AG929" s="33">
        <f t="shared" si="761"/>
        <v>0</v>
      </c>
      <c r="AH929" s="33" t="str">
        <f t="shared" si="761"/>
        <v>w/ Amendments</v>
      </c>
      <c r="AI929" s="33">
        <f t="shared" si="761"/>
        <v>0</v>
      </c>
      <c r="AJ929" s="33"/>
      <c r="AK929" s="33"/>
      <c r="AL929" s="119">
        <f t="shared" si="761"/>
        <v>0</v>
      </c>
      <c r="AM929" s="119">
        <f t="shared" si="762"/>
        <v>0</v>
      </c>
      <c r="AN929" s="119">
        <f t="shared" si="762"/>
        <v>0</v>
      </c>
      <c r="AO929" s="119" t="str">
        <f>+AO9</f>
        <v>as of 6/07 with supps</v>
      </c>
      <c r="AP929" s="119">
        <f t="shared" si="762"/>
        <v>0</v>
      </c>
    </row>
    <row r="930" spans="1:42" ht="12.75">
      <c r="A930" s="13" t="s">
        <v>77</v>
      </c>
      <c r="B930" s="13"/>
      <c r="C930" s="13"/>
      <c r="D930" s="13"/>
      <c r="E930" s="13"/>
      <c r="F930" s="13"/>
      <c r="G930" s="13"/>
      <c r="H930" s="13"/>
      <c r="I930" s="13"/>
      <c r="J930" s="64" t="s">
        <v>77</v>
      </c>
      <c r="K930" s="65">
        <f aca="true" t="shared" si="763" ref="K930:AE930">K22+K261+K342+K406</f>
        <v>240023</v>
      </c>
      <c r="L930" s="65">
        <f t="shared" si="763"/>
        <v>230749</v>
      </c>
      <c r="M930" s="65">
        <f t="shared" si="763"/>
        <v>247344</v>
      </c>
      <c r="N930" s="65">
        <f t="shared" si="763"/>
        <v>216179</v>
      </c>
      <c r="O930" s="65">
        <f t="shared" si="763"/>
        <v>272363</v>
      </c>
      <c r="P930" s="65">
        <f t="shared" si="763"/>
        <v>572854</v>
      </c>
      <c r="Q930" s="65">
        <f t="shared" si="763"/>
        <v>546022</v>
      </c>
      <c r="R930" s="65">
        <f t="shared" si="763"/>
        <v>641911</v>
      </c>
      <c r="S930" s="65">
        <f t="shared" si="763"/>
        <v>500307</v>
      </c>
      <c r="T930" s="65">
        <f t="shared" si="763"/>
        <v>473468</v>
      </c>
      <c r="U930" s="65">
        <f t="shared" si="763"/>
        <v>332221</v>
      </c>
      <c r="V930" s="65">
        <f t="shared" si="763"/>
        <v>391578</v>
      </c>
      <c r="W930" s="65">
        <f t="shared" si="763"/>
        <v>603330</v>
      </c>
      <c r="X930" s="65">
        <f t="shared" si="763"/>
        <v>449761</v>
      </c>
      <c r="Y930" s="65">
        <f t="shared" si="763"/>
        <v>461902</v>
      </c>
      <c r="Z930" s="65">
        <f t="shared" si="763"/>
        <v>502969</v>
      </c>
      <c r="AA930" s="65">
        <f t="shared" si="763"/>
        <v>812800</v>
      </c>
      <c r="AB930" s="65">
        <f t="shared" si="763"/>
        <v>802469</v>
      </c>
      <c r="AC930" s="65">
        <f t="shared" si="763"/>
        <v>712014</v>
      </c>
      <c r="AD930" s="65">
        <f t="shared" si="763"/>
        <v>740171</v>
      </c>
      <c r="AE930" s="65">
        <f t="shared" si="763"/>
        <v>718780</v>
      </c>
      <c r="AF930" s="65" t="e">
        <f>AF23+AF262+AF343+AF406</f>
        <v>#VALUE!</v>
      </c>
      <c r="AG930" s="65">
        <f>AG23+AG262+AG343+AG406</f>
        <v>384949</v>
      </c>
      <c r="AH930" s="65">
        <f>AH23+AH262+AH343+AH406</f>
        <v>328167</v>
      </c>
      <c r="AI930" s="65">
        <f>AI23+AI262+AI343+AI406</f>
        <v>356134</v>
      </c>
      <c r="AJ930" s="65"/>
      <c r="AK930" s="65"/>
      <c r="AL930" s="120">
        <f>AL23+AL262+AL343+AL406</f>
        <v>303915</v>
      </c>
      <c r="AM930" s="120">
        <f>AM23+AM262+AM343+AM406</f>
        <v>242128</v>
      </c>
      <c r="AN930" s="120">
        <f>AN23+AN262+AN343+AN406</f>
        <v>235550</v>
      </c>
      <c r="AO930" s="120">
        <f>AO23+AO262+AO343+AO406</f>
        <v>299869</v>
      </c>
      <c r="AP930" s="120">
        <f>AP23+AP262+AP343+AP406</f>
        <v>215638</v>
      </c>
    </row>
    <row r="931" spans="1:42" ht="12.75">
      <c r="A931" s="13" t="s">
        <v>321</v>
      </c>
      <c r="B931" s="13"/>
      <c r="C931" s="13"/>
      <c r="D931" s="13"/>
      <c r="E931" s="13"/>
      <c r="F931" s="13"/>
      <c r="G931" s="13"/>
      <c r="H931" s="13"/>
      <c r="I931" s="13"/>
      <c r="J931" s="64" t="s">
        <v>321</v>
      </c>
      <c r="K931" s="65">
        <f aca="true" t="shared" si="764" ref="K931:W931">K24+K262+K348+K469</f>
        <v>274077</v>
      </c>
      <c r="L931" s="65">
        <f t="shared" si="764"/>
        <v>136853</v>
      </c>
      <c r="M931" s="65">
        <f t="shared" si="764"/>
        <v>176102</v>
      </c>
      <c r="N931" s="65">
        <f t="shared" si="764"/>
        <v>113042</v>
      </c>
      <c r="O931" s="65">
        <f t="shared" si="764"/>
        <v>156391</v>
      </c>
      <c r="P931" s="65">
        <f t="shared" si="764"/>
        <v>228797</v>
      </c>
      <c r="Q931" s="65">
        <f t="shared" si="764"/>
        <v>247977</v>
      </c>
      <c r="R931" s="65">
        <f t="shared" si="764"/>
        <v>233121</v>
      </c>
      <c r="S931" s="65">
        <f t="shared" si="764"/>
        <v>222240</v>
      </c>
      <c r="T931" s="65">
        <f t="shared" si="764"/>
        <v>202901</v>
      </c>
      <c r="U931" s="65">
        <f t="shared" si="764"/>
        <v>151422</v>
      </c>
      <c r="V931" s="65">
        <f t="shared" si="764"/>
        <v>98681</v>
      </c>
      <c r="W931" s="65">
        <f t="shared" si="764"/>
        <v>118804</v>
      </c>
      <c r="X931" s="65">
        <f>X24+X262+X348</f>
        <v>729122</v>
      </c>
      <c r="Y931" s="65">
        <f>Y24+Y262+Y348+Y469</f>
        <v>210298</v>
      </c>
      <c r="Z931" s="65">
        <f>Z24+Z262+Z348</f>
        <v>291463</v>
      </c>
      <c r="AA931" s="65">
        <f>AA24+AA262+AA348+AA469</f>
        <v>392874</v>
      </c>
      <c r="AB931" s="65">
        <f>AB24+AB262+AB348+AB469</f>
        <v>418054</v>
      </c>
      <c r="AC931" s="65">
        <f>AC24+AC262+AC348+AC469</f>
        <v>404127</v>
      </c>
      <c r="AD931" s="65">
        <f>AD24+AD262+AD348+3000</f>
        <v>280473</v>
      </c>
      <c r="AE931" s="65">
        <f>AE24+AE262+AE348+AE469</f>
        <v>303057</v>
      </c>
      <c r="AF931" s="65">
        <f>AF25+AF263+AF349+AF469</f>
        <v>134987.943</v>
      </c>
      <c r="AG931" s="65">
        <f>AG25+AG263+AG349+AG469</f>
        <v>134988</v>
      </c>
      <c r="AH931" s="65">
        <f>AH25+AH263+AH349+AH469</f>
        <v>166058</v>
      </c>
      <c r="AI931" s="65">
        <f>AI25+AI263+AI349+AI469</f>
        <v>129191</v>
      </c>
      <c r="AJ931" s="65"/>
      <c r="AK931" s="65"/>
      <c r="AL931" s="120">
        <f>AL25+AL263+AL349+AL469</f>
        <v>130118</v>
      </c>
      <c r="AM931" s="120">
        <f>AM25+AM263+AM349+AM469</f>
        <v>136808</v>
      </c>
      <c r="AN931" s="120">
        <f>AN25+AN263+AN349+AN469</f>
        <v>123333</v>
      </c>
      <c r="AO931" s="120">
        <f>AO25+AO263+AO349+AO469</f>
        <v>132658</v>
      </c>
      <c r="AP931" s="120">
        <f>AP25+AP263+AP349+AP469</f>
        <v>110242</v>
      </c>
    </row>
    <row r="932" spans="1:42" ht="12.75">
      <c r="A932" s="13" t="s">
        <v>322</v>
      </c>
      <c r="B932" s="13"/>
      <c r="C932" s="13"/>
      <c r="D932" s="13"/>
      <c r="E932" s="13"/>
      <c r="F932" s="13"/>
      <c r="G932" s="13"/>
      <c r="H932" s="13"/>
      <c r="I932" s="13"/>
      <c r="J932" s="64" t="s">
        <v>322</v>
      </c>
      <c r="K932" s="65">
        <f aca="true" t="shared" si="765" ref="K932:Z932">K15+K25+K258+K337</f>
        <v>1457148</v>
      </c>
      <c r="L932" s="65">
        <f t="shared" si="765"/>
        <v>1329681</v>
      </c>
      <c r="M932" s="65">
        <f t="shared" si="765"/>
        <v>1553633</v>
      </c>
      <c r="N932" s="65">
        <f t="shared" si="765"/>
        <v>1623673</v>
      </c>
      <c r="O932" s="65">
        <f t="shared" si="765"/>
        <v>1742689</v>
      </c>
      <c r="P932" s="65">
        <f t="shared" si="765"/>
        <v>1704942</v>
      </c>
      <c r="Q932" s="65">
        <f t="shared" si="765"/>
        <v>1930511</v>
      </c>
      <c r="R932" s="65">
        <f t="shared" si="765"/>
        <v>2114900</v>
      </c>
      <c r="S932" s="65">
        <f t="shared" si="765"/>
        <v>2137283</v>
      </c>
      <c r="T932" s="65">
        <f t="shared" si="765"/>
        <v>2276585</v>
      </c>
      <c r="U932" s="65">
        <f t="shared" si="765"/>
        <v>2286227</v>
      </c>
      <c r="V932" s="65">
        <f t="shared" si="765"/>
        <v>2287645</v>
      </c>
      <c r="W932" s="65">
        <f t="shared" si="765"/>
        <v>2360292</v>
      </c>
      <c r="X932" s="65">
        <f t="shared" si="765"/>
        <v>2521936</v>
      </c>
      <c r="Y932" s="65">
        <f t="shared" si="765"/>
        <v>2654080</v>
      </c>
      <c r="Z932" s="65">
        <f t="shared" si="765"/>
        <v>2846232</v>
      </c>
      <c r="AA932" s="65">
        <f>AA15+AA25+AA258+AA337+AA338</f>
        <v>3150644</v>
      </c>
      <c r="AB932" s="65">
        <f>AB15+AB25+AB258+AB337+AB338</f>
        <v>3319800</v>
      </c>
      <c r="AC932" s="65">
        <f>AC15+AC25+AC258+AC337+AC338</f>
        <v>3485223</v>
      </c>
      <c r="AD932" s="65">
        <f>AD15+AD25+AD258+AD337+AD338</f>
        <v>3505241.284</v>
      </c>
      <c r="AE932" s="65">
        <f>AE15+AE25+AE258+AE337+AE338</f>
        <v>3587018</v>
      </c>
      <c r="AF932" s="65">
        <f>AF16+AF26+AF259+AF338+AF339</f>
        <v>139660.648</v>
      </c>
      <c r="AG932" s="65">
        <f>AG16+AG26+AG259+AG338+AG339</f>
        <v>138080</v>
      </c>
      <c r="AH932" s="65">
        <f>AH16+AH26+AH259+AH338+AH339</f>
        <v>118940</v>
      </c>
      <c r="AI932" s="65">
        <f>AI16+AI26+AI259+AI338+AI339</f>
        <v>141049</v>
      </c>
      <c r="AJ932" s="65"/>
      <c r="AK932" s="65"/>
      <c r="AL932" s="120">
        <f>AL16+AL26+AL259+AL338+AL339</f>
        <v>134369</v>
      </c>
      <c r="AM932" s="120">
        <f>AM16+AM26+AM259+AM338+AM339</f>
        <v>118036</v>
      </c>
      <c r="AN932" s="120">
        <f>AN16+AN26+AN259+AN338+AN339</f>
        <v>127374</v>
      </c>
      <c r="AO932" s="120">
        <f>AO16+AO26+AO259+AO338+AO339</f>
        <v>140082</v>
      </c>
      <c r="AP932" s="120">
        <f>AP16+AP26+AP259+AP338+AP339</f>
        <v>137007</v>
      </c>
    </row>
    <row r="933" spans="1:42" ht="12.75">
      <c r="A933" s="13" t="s">
        <v>323</v>
      </c>
      <c r="B933" s="13"/>
      <c r="C933" s="13"/>
      <c r="D933" s="13"/>
      <c r="E933" s="13"/>
      <c r="F933" s="13"/>
      <c r="G933" s="13"/>
      <c r="H933" s="13"/>
      <c r="I933" s="13"/>
      <c r="J933" s="64" t="s">
        <v>323</v>
      </c>
      <c r="K933" s="65">
        <f aca="true" t="shared" si="766" ref="K933:AA933">K735+K741</f>
        <v>1032721</v>
      </c>
      <c r="L933" s="65">
        <f t="shared" si="766"/>
        <v>1001767</v>
      </c>
      <c r="M933" s="65">
        <f t="shared" si="766"/>
        <v>1027222</v>
      </c>
      <c r="N933" s="65">
        <f t="shared" si="766"/>
        <v>1093405</v>
      </c>
      <c r="O933" s="65">
        <f t="shared" si="766"/>
        <v>1090486</v>
      </c>
      <c r="P933" s="65">
        <f t="shared" si="766"/>
        <v>1394951</v>
      </c>
      <c r="Q933" s="65">
        <f t="shared" si="766"/>
        <v>1558520</v>
      </c>
      <c r="R933" s="65">
        <f t="shared" si="766"/>
        <v>1529309</v>
      </c>
      <c r="S933" s="65">
        <f t="shared" si="766"/>
        <v>1569993</v>
      </c>
      <c r="T933" s="65">
        <f t="shared" si="766"/>
        <v>1791016</v>
      </c>
      <c r="U933" s="65">
        <f t="shared" si="766"/>
        <v>1729396.734</v>
      </c>
      <c r="V933" s="65">
        <f t="shared" si="766"/>
        <v>1608338</v>
      </c>
      <c r="W933" s="65">
        <f t="shared" si="766"/>
        <v>1680117</v>
      </c>
      <c r="X933" s="65">
        <f t="shared" si="766"/>
        <v>1741826</v>
      </c>
      <c r="Y933" s="65">
        <f t="shared" si="766"/>
        <v>1804836</v>
      </c>
      <c r="Z933" s="65">
        <f t="shared" si="766"/>
        <v>1970754</v>
      </c>
      <c r="AA933" s="65">
        <f t="shared" si="766"/>
        <v>2306582</v>
      </c>
      <c r="AB933" s="65">
        <f aca="true" t="shared" si="767" ref="AB933:AH933">AB735+AB741</f>
        <v>2331699</v>
      </c>
      <c r="AC933" s="65">
        <f t="shared" si="767"/>
        <v>2402811</v>
      </c>
      <c r="AD933" s="65">
        <f t="shared" si="767"/>
        <v>2415221</v>
      </c>
      <c r="AE933" s="65">
        <f t="shared" si="767"/>
        <v>2588382</v>
      </c>
      <c r="AF933" s="65">
        <f t="shared" si="767"/>
        <v>2514828.033</v>
      </c>
      <c r="AG933" s="65">
        <f>AG735+AG741</f>
        <v>2515414.43</v>
      </c>
      <c r="AH933" s="65">
        <f t="shared" si="767"/>
        <v>2571461</v>
      </c>
      <c r="AI933" s="65">
        <f>AI735+AI741</f>
        <v>2523756</v>
      </c>
      <c r="AJ933" s="65"/>
      <c r="AK933" s="65"/>
      <c r="AL933" s="120">
        <f>AL735+AL741</f>
        <v>2504393</v>
      </c>
      <c r="AM933" s="120">
        <f>AM735+AM741</f>
        <v>2466336</v>
      </c>
      <c r="AN933" s="120">
        <f>AN735+AN741</f>
        <v>2410679</v>
      </c>
      <c r="AO933" s="120">
        <f>AO735+AO741</f>
        <v>2531561</v>
      </c>
      <c r="AP933" s="120">
        <f>AP735+AP741</f>
        <v>2425048</v>
      </c>
    </row>
    <row r="934" spans="1:27" ht="12.7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1:42" ht="12.75">
      <c r="A935" s="13"/>
      <c r="B935" s="13"/>
      <c r="C935" s="13"/>
      <c r="D935" s="13"/>
      <c r="E935" s="13"/>
      <c r="F935" s="13"/>
      <c r="G935" s="13"/>
      <c r="H935" s="13"/>
      <c r="I935" s="13"/>
      <c r="J935" s="64" t="s">
        <v>29</v>
      </c>
      <c r="K935" s="13">
        <v>1</v>
      </c>
      <c r="L935" s="90">
        <v>1.0240849095114983</v>
      </c>
      <c r="M935" s="90">
        <v>1.0522520070757926</v>
      </c>
      <c r="N935" s="90">
        <v>1.0866784596543748</v>
      </c>
      <c r="O935" s="90">
        <v>1.1284528507279903</v>
      </c>
      <c r="P935" s="90">
        <v>1.1709076064770718</v>
      </c>
      <c r="Q935" s="90">
        <v>1.216492039733297</v>
      </c>
      <c r="R935" s="90">
        <v>1.2483331065451082</v>
      </c>
      <c r="S935" s="90">
        <v>1.2781330793305212</v>
      </c>
      <c r="T935" s="90">
        <v>1.3057558851544429</v>
      </c>
      <c r="U935" s="90">
        <v>1.3340590556538305</v>
      </c>
      <c r="V935" s="90">
        <v>1.3607293509320997</v>
      </c>
      <c r="W935" s="90">
        <v>1.3872635732752756</v>
      </c>
      <c r="X935" s="90">
        <v>1.406858075928698</v>
      </c>
      <c r="Y935" s="90">
        <v>1.4256361409715608</v>
      </c>
      <c r="Z935" s="90">
        <v>1.4531228738603892</v>
      </c>
      <c r="AA935" s="90">
        <v>1.4886379099197171</v>
      </c>
      <c r="AB935" s="90">
        <v>1.5076881208327666</v>
      </c>
      <c r="AC935" s="90">
        <v>1.5272880664035924</v>
      </c>
      <c r="AD935" s="90">
        <v>1.550197387399646</v>
      </c>
      <c r="AE935" s="90">
        <v>1.5734503482106408</v>
      </c>
      <c r="AF935" s="90">
        <v>1.5734503482106408</v>
      </c>
      <c r="AG935" s="90">
        <v>1.5734503482106408</v>
      </c>
      <c r="AH935" s="90">
        <v>1.5734503482106408</v>
      </c>
      <c r="AI935" s="90">
        <v>1.5734503482106408</v>
      </c>
      <c r="AJ935" s="90"/>
      <c r="AK935" s="90"/>
      <c r="AL935" s="121">
        <v>1.5734503482106408</v>
      </c>
      <c r="AM935" s="121">
        <v>1.5734503482106408</v>
      </c>
      <c r="AN935" s="121">
        <v>1.5734503482106408</v>
      </c>
      <c r="AO935" s="121">
        <v>1.5734503482106408</v>
      </c>
      <c r="AP935" s="121">
        <v>1.5734503482106408</v>
      </c>
    </row>
    <row r="936" spans="2:12" ht="12">
      <c r="B936" s="1" t="s">
        <v>357</v>
      </c>
      <c r="L936" s="89"/>
    </row>
    <row r="937" spans="2:42" ht="12.75">
      <c r="B937" s="1" t="s">
        <v>357</v>
      </c>
      <c r="J937" s="64" t="s">
        <v>77</v>
      </c>
      <c r="K937" s="2">
        <f aca="true" t="shared" si="768" ref="K937:P937">K930/K935</f>
        <v>240023</v>
      </c>
      <c r="L937" s="2">
        <f t="shared" si="768"/>
        <v>225322.13672601644</v>
      </c>
      <c r="M937" s="2">
        <f t="shared" si="768"/>
        <v>235061.56161903532</v>
      </c>
      <c r="N937" s="2">
        <f t="shared" si="768"/>
        <v>198935.5711244678</v>
      </c>
      <c r="O937" s="2">
        <f t="shared" si="768"/>
        <v>241359.6632099361</v>
      </c>
      <c r="P937" s="2">
        <f t="shared" si="768"/>
        <v>489239.28483439854</v>
      </c>
      <c r="Q937" s="2">
        <f aca="true" t="shared" si="769" ref="Q937:AG937">Q930/Q935</f>
        <v>448849.62841163314</v>
      </c>
      <c r="R937" s="2">
        <f t="shared" si="769"/>
        <v>514214.5126444299</v>
      </c>
      <c r="S937" s="2">
        <f t="shared" si="769"/>
        <v>391435.7652507186</v>
      </c>
      <c r="T937" s="2">
        <f t="shared" si="769"/>
        <v>362600.70154230925</v>
      </c>
      <c r="U937" s="2">
        <f t="shared" si="769"/>
        <v>249030.20491636064</v>
      </c>
      <c r="V937" s="2">
        <f t="shared" si="769"/>
        <v>287770.6722</v>
      </c>
      <c r="W937" s="2">
        <f t="shared" si="769"/>
        <v>434906.5394801373</v>
      </c>
      <c r="X937" s="2">
        <f t="shared" si="769"/>
        <v>319691.80665441527</v>
      </c>
      <c r="Y937" s="2">
        <f t="shared" si="769"/>
        <v>323997.1173045719</v>
      </c>
      <c r="Z937" s="2">
        <f t="shared" si="769"/>
        <v>346129.71074070607</v>
      </c>
      <c r="AA937" s="2">
        <f t="shared" si="769"/>
        <v>546002.4862888482</v>
      </c>
      <c r="AB937" s="2">
        <f t="shared" si="769"/>
        <v>532251.325</v>
      </c>
      <c r="AC937" s="2">
        <f t="shared" si="769"/>
        <v>466194.960638059</v>
      </c>
      <c r="AD937" s="2">
        <f t="shared" si="769"/>
        <v>477468.87332947203</v>
      </c>
      <c r="AE937" s="2">
        <f t="shared" si="769"/>
        <v>456817.7196168986</v>
      </c>
      <c r="AF937" s="2" t="e">
        <f t="shared" si="769"/>
        <v>#VALUE!</v>
      </c>
      <c r="AG937" s="2">
        <f t="shared" si="769"/>
        <v>244652.77880409235</v>
      </c>
      <c r="AH937" s="2">
        <f>AH930/AH935</f>
        <v>208565.20853880016</v>
      </c>
      <c r="AI937" s="2">
        <f>AI930/AI935</f>
        <v>226339.52218765765</v>
      </c>
      <c r="AL937" s="100">
        <f>AL930/AL935</f>
        <v>193151.94810285448</v>
      </c>
      <c r="AM937" s="100">
        <f>AM930/AM935</f>
        <v>153883.47034614268</v>
      </c>
      <c r="AN937" s="100">
        <f>AN930/AN935</f>
        <v>149702.84907170548</v>
      </c>
      <c r="AO937" s="100">
        <f>AO930/AO935</f>
        <v>190580.52917972088</v>
      </c>
      <c r="AP937" s="100">
        <f>AP930/AP935</f>
        <v>137047.8580688789</v>
      </c>
    </row>
    <row r="938" spans="2:42" ht="12.75">
      <c r="B938" s="1" t="s">
        <v>357</v>
      </c>
      <c r="J938" s="64" t="s">
        <v>321</v>
      </c>
      <c r="K938" s="2">
        <f aca="true" t="shared" si="770" ref="K938:P938">K931/K935</f>
        <v>274077</v>
      </c>
      <c r="L938" s="2">
        <f t="shared" si="770"/>
        <v>133634.42692001062</v>
      </c>
      <c r="M938" s="2">
        <f t="shared" si="770"/>
        <v>167357.24789861633</v>
      </c>
      <c r="N938" s="2">
        <f t="shared" si="770"/>
        <v>104025.25144002003</v>
      </c>
      <c r="O938" s="2">
        <f t="shared" si="770"/>
        <v>138588.86518750753</v>
      </c>
      <c r="P938" s="2">
        <f t="shared" si="770"/>
        <v>195401.41231841952</v>
      </c>
      <c r="Q938" s="2">
        <f aca="true" t="shared" si="771" ref="Q938:AF938">Q931/Q935</f>
        <v>203845.9701342282</v>
      </c>
      <c r="R938" s="2">
        <f t="shared" si="771"/>
        <v>186745.82831916286</v>
      </c>
      <c r="S938" s="2">
        <f t="shared" si="771"/>
        <v>173878.60747365057</v>
      </c>
      <c r="T938" s="2">
        <f t="shared" si="771"/>
        <v>155389.68830762818</v>
      </c>
      <c r="U938" s="2">
        <f t="shared" si="771"/>
        <v>113504.72031823745</v>
      </c>
      <c r="V938" s="2">
        <f t="shared" si="771"/>
        <v>72520.6669</v>
      </c>
      <c r="W938" s="2">
        <f t="shared" si="771"/>
        <v>85639.09720451201</v>
      </c>
      <c r="X938" s="2">
        <f t="shared" si="771"/>
        <v>518262.65383499366</v>
      </c>
      <c r="Y938" s="2">
        <f t="shared" si="771"/>
        <v>147511.69246921828</v>
      </c>
      <c r="Z938" s="2">
        <f t="shared" si="771"/>
        <v>200576.98164622157</v>
      </c>
      <c r="AA938" s="2">
        <f t="shared" si="771"/>
        <v>263915.08464351005</v>
      </c>
      <c r="AB938" s="2">
        <f t="shared" si="771"/>
        <v>277281.48429602885</v>
      </c>
      <c r="AC938" s="2">
        <f t="shared" si="771"/>
        <v>264604.30673803727</v>
      </c>
      <c r="AD938" s="2">
        <f t="shared" si="771"/>
        <v>180927.28208662188</v>
      </c>
      <c r="AE938" s="2">
        <f t="shared" si="771"/>
        <v>192606.649675754</v>
      </c>
      <c r="AF938" s="2">
        <f t="shared" si="771"/>
        <v>85791.04078721708</v>
      </c>
      <c r="AG938" s="2">
        <f>AG931/AG935</f>
        <v>85791.07701333637</v>
      </c>
      <c r="AH938" s="2">
        <f>AH931/AH935</f>
        <v>105537.4897522788</v>
      </c>
      <c r="AI938" s="2">
        <f>AI931/AI935</f>
        <v>82106.81712767015</v>
      </c>
      <c r="AL938" s="100">
        <f>AL931/AL935</f>
        <v>82695.96822548153</v>
      </c>
      <c r="AM938" s="100">
        <f>AM931/AM935</f>
        <v>86947.77064657985</v>
      </c>
      <c r="AN938" s="100">
        <f>AN931/AN935</f>
        <v>78383.7889389117</v>
      </c>
      <c r="AO938" s="100">
        <f>AO931/AO935</f>
        <v>84310.25494440376</v>
      </c>
      <c r="AP938" s="100">
        <f>AP931/AP935</f>
        <v>70063.8568769389</v>
      </c>
    </row>
    <row r="939" spans="2:42" ht="12.75">
      <c r="B939" s="1" t="s">
        <v>357</v>
      </c>
      <c r="J939" s="64" t="s">
        <v>322</v>
      </c>
      <c r="K939" s="2">
        <f aca="true" t="shared" si="772" ref="K939:P939">K932/K935</f>
        <v>1457148</v>
      </c>
      <c r="L939" s="2">
        <f t="shared" si="772"/>
        <v>1298408.9382141905</v>
      </c>
      <c r="M939" s="2">
        <f t="shared" si="772"/>
        <v>1476483.7601189706</v>
      </c>
      <c r="N939" s="2">
        <f t="shared" si="772"/>
        <v>1494161.3920611069</v>
      </c>
      <c r="O939" s="2">
        <f t="shared" si="772"/>
        <v>1544317.0699385023</v>
      </c>
      <c r="P939" s="2">
        <f t="shared" si="772"/>
        <v>1456085.8521789657</v>
      </c>
      <c r="Q939" s="2">
        <f aca="true" t="shared" si="773" ref="Q939:AF939">Q932/Q935</f>
        <v>1586949.143064877</v>
      </c>
      <c r="R939" s="2">
        <f t="shared" si="773"/>
        <v>1694179.2129932418</v>
      </c>
      <c r="S939" s="2">
        <f t="shared" si="773"/>
        <v>1672191.2878739487</v>
      </c>
      <c r="T939" s="2">
        <f t="shared" si="773"/>
        <v>1743499.7045644016</v>
      </c>
      <c r="U939" s="2">
        <f t="shared" si="773"/>
        <v>1713737.476846185</v>
      </c>
      <c r="V939" s="2">
        <f t="shared" si="773"/>
        <v>1681190.3105</v>
      </c>
      <c r="W939" s="2">
        <f t="shared" si="773"/>
        <v>1701401.2661108386</v>
      </c>
      <c r="X939" s="2">
        <f t="shared" si="773"/>
        <v>1792601.573072831</v>
      </c>
      <c r="Y939" s="2">
        <f t="shared" si="773"/>
        <v>1861681.198816455</v>
      </c>
      <c r="Z939" s="2">
        <f t="shared" si="773"/>
        <v>1958700.1561944003</v>
      </c>
      <c r="AA939" s="2">
        <f t="shared" si="773"/>
        <v>2116460.9466179158</v>
      </c>
      <c r="AB939" s="2">
        <f t="shared" si="773"/>
        <v>2201914.277978339</v>
      </c>
      <c r="AC939" s="2">
        <f t="shared" si="773"/>
        <v>2281968.3311000317</v>
      </c>
      <c r="AD939" s="2">
        <f t="shared" si="773"/>
        <v>2261158.038641654</v>
      </c>
      <c r="AE939" s="2">
        <f t="shared" si="773"/>
        <v>2279714.770840547</v>
      </c>
      <c r="AF939" s="2">
        <f t="shared" si="773"/>
        <v>88760.75953640664</v>
      </c>
      <c r="AG939" s="2">
        <f>AG932/AG935</f>
        <v>87756.18509794564</v>
      </c>
      <c r="AH939" s="2">
        <f>AH932/AH935</f>
        <v>75591.83557031905</v>
      </c>
      <c r="AI939" s="2">
        <f>AI932/AI935</f>
        <v>89643.12103041811</v>
      </c>
      <c r="AL939" s="100">
        <f>AL932/AL935</f>
        <v>85397.67406884312</v>
      </c>
      <c r="AM939" s="100">
        <f>AM932/AM935</f>
        <v>75017.3020294113</v>
      </c>
      <c r="AN939" s="100">
        <f>AN932/AN935</f>
        <v>80952.03013228366</v>
      </c>
      <c r="AO939" s="100">
        <f>AO932/AO935</f>
        <v>89028.54809451348</v>
      </c>
      <c r="AP939" s="100">
        <f>AP932/AP935</f>
        <v>87074.24429109384</v>
      </c>
    </row>
    <row r="940" spans="2:42" ht="12.75">
      <c r="B940" s="1" t="s">
        <v>357</v>
      </c>
      <c r="J940" s="64" t="s">
        <v>323</v>
      </c>
      <c r="K940" s="2">
        <f aca="true" t="shared" si="774" ref="K940:P940">K933/K935</f>
        <v>1032721</v>
      </c>
      <c r="L940" s="2">
        <f t="shared" si="774"/>
        <v>978206.9735583309</v>
      </c>
      <c r="M940" s="2">
        <f t="shared" si="774"/>
        <v>976212.9158153369</v>
      </c>
      <c r="N940" s="2">
        <f t="shared" si="774"/>
        <v>1006190.0006260956</v>
      </c>
      <c r="O940" s="2">
        <f t="shared" si="774"/>
        <v>966354.9516459664</v>
      </c>
      <c r="P940" s="2">
        <f t="shared" si="774"/>
        <v>1191341.6500871584</v>
      </c>
      <c r="Q940" s="2">
        <f aca="true" t="shared" si="775" ref="Q940:AF940">Q933/Q935</f>
        <v>1281159.2259507831</v>
      </c>
      <c r="R940" s="2">
        <f t="shared" si="775"/>
        <v>1225080.8634183563</v>
      </c>
      <c r="S940" s="2">
        <f t="shared" si="775"/>
        <v>1228348.616735867</v>
      </c>
      <c r="T940" s="2">
        <f t="shared" si="775"/>
        <v>1371631.573989162</v>
      </c>
      <c r="U940" s="2">
        <f t="shared" si="775"/>
        <v>1296341.9622772336</v>
      </c>
      <c r="V940" s="2">
        <f t="shared" si="775"/>
        <v>1181967.5962</v>
      </c>
      <c r="W940" s="2">
        <f t="shared" si="775"/>
        <v>1211101.5039725355</v>
      </c>
      <c r="X940" s="2">
        <f t="shared" si="775"/>
        <v>1238096.4574910533</v>
      </c>
      <c r="Y940" s="2">
        <f t="shared" si="775"/>
        <v>1265986.4239763292</v>
      </c>
      <c r="Z940" s="2">
        <f t="shared" si="775"/>
        <v>1356219.7908043824</v>
      </c>
      <c r="AA940" s="2">
        <f t="shared" si="775"/>
        <v>1549458.0546617915</v>
      </c>
      <c r="AB940" s="2">
        <f t="shared" si="775"/>
        <v>1546539.3457581224</v>
      </c>
      <c r="AC940" s="2">
        <f t="shared" si="775"/>
        <v>1573253.306207034</v>
      </c>
      <c r="AD940" s="2">
        <f t="shared" si="775"/>
        <v>1558008.6894942934</v>
      </c>
      <c r="AE940" s="2">
        <f t="shared" si="775"/>
        <v>1645035.7031879397</v>
      </c>
      <c r="AF940" s="2">
        <f t="shared" si="775"/>
        <v>1598288.7771831583</v>
      </c>
      <c r="AG940" s="2">
        <f>AG933/AG935</f>
        <v>1598661.459422968</v>
      </c>
      <c r="AH940" s="2">
        <f>AH933/AH935</f>
        <v>1634281.6301285368</v>
      </c>
      <c r="AI940" s="2">
        <f>AI933/AI935</f>
        <v>1603962.9104725586</v>
      </c>
      <c r="AL940" s="100">
        <f>AL933/AL935</f>
        <v>1591656.834197562</v>
      </c>
      <c r="AM940" s="100">
        <f>AM933/AM935</f>
        <v>1567469.8618896788</v>
      </c>
      <c r="AN940" s="100">
        <f>AN933/AN935</f>
        <v>1532097.2808207595</v>
      </c>
      <c r="AO940" s="100">
        <f>AO933/AO935</f>
        <v>1608923.3466305065</v>
      </c>
      <c r="AP940" s="100">
        <f>AP933/AP935</f>
        <v>1541229.440609812</v>
      </c>
    </row>
    <row r="941" spans="2:30" ht="15.75">
      <c r="B941" s="1" t="s">
        <v>357</v>
      </c>
      <c r="AC941" s="14"/>
      <c r="AD941" s="14"/>
    </row>
    <row r="942" spans="1:30" ht="15.75">
      <c r="A942" s="74" t="s">
        <v>347</v>
      </c>
      <c r="B942" s="1" t="s">
        <v>357</v>
      </c>
      <c r="AC942" s="14"/>
      <c r="AD942" s="14"/>
    </row>
    <row r="943" spans="1:30" ht="15.75">
      <c r="A943" s="75" t="s">
        <v>348</v>
      </c>
      <c r="B943" s="1" t="s">
        <v>357</v>
      </c>
      <c r="AC943" s="14"/>
      <c r="AD943" s="14"/>
    </row>
    <row r="944" spans="1:30" ht="15.75">
      <c r="A944" s="74" t="s">
        <v>421</v>
      </c>
      <c r="B944" s="1" t="s">
        <v>357</v>
      </c>
      <c r="AC944" s="14"/>
      <c r="AD944" s="14"/>
    </row>
    <row r="945" spans="2:30" ht="15.75">
      <c r="B945" s="1" t="s">
        <v>357</v>
      </c>
      <c r="AC945" s="14"/>
      <c r="AD945" s="14"/>
    </row>
    <row r="946" spans="2:30" ht="15.75">
      <c r="B946" s="1" t="s">
        <v>357</v>
      </c>
      <c r="U946" s="11">
        <f>683.9/2137</f>
        <v>0.3200280767430978</v>
      </c>
      <c r="V946" s="2">
        <f>Z932-S932</f>
        <v>708949</v>
      </c>
      <c r="AC946" s="14"/>
      <c r="AD946" s="14"/>
    </row>
    <row r="947" spans="1:30" ht="15.75">
      <c r="A947" s="1"/>
      <c r="B947" s="1" t="s">
        <v>357</v>
      </c>
      <c r="AC947" s="14"/>
      <c r="AD947" s="14"/>
    </row>
    <row r="948" spans="1:30" ht="15.75">
      <c r="A948" s="1"/>
      <c r="B948" s="1" t="s">
        <v>357</v>
      </c>
      <c r="V948" s="2" t="s">
        <v>63</v>
      </c>
      <c r="AC948" s="14"/>
      <c r="AD948" s="14"/>
    </row>
    <row r="949" spans="1:30" ht="15.75">
      <c r="A949" s="1"/>
      <c r="B949" s="1" t="s">
        <v>357</v>
      </c>
      <c r="V949" s="2" t="s">
        <v>64</v>
      </c>
      <c r="AC949" s="14"/>
      <c r="AD949" s="14"/>
    </row>
    <row r="950" spans="2:30" ht="15.75">
      <c r="B950" s="1" t="s">
        <v>357</v>
      </c>
      <c r="V950" s="2" t="s">
        <v>65</v>
      </c>
      <c r="AC950" s="14"/>
      <c r="AD950" s="14"/>
    </row>
    <row r="951" spans="2:30" ht="15.75">
      <c r="B951" s="1" t="s">
        <v>357</v>
      </c>
      <c r="V951" s="2" t="s">
        <v>66</v>
      </c>
      <c r="AC951" s="14"/>
      <c r="AD951" s="14"/>
    </row>
    <row r="952" spans="2:30" ht="15.75">
      <c r="B952" s="1" t="s">
        <v>357</v>
      </c>
      <c r="AC952" s="14"/>
      <c r="AD952" s="14"/>
    </row>
    <row r="953" spans="2:30" ht="15.75">
      <c r="B953" s="1" t="s">
        <v>357</v>
      </c>
      <c r="AC953" s="14"/>
      <c r="AD953" s="14"/>
    </row>
    <row r="954" spans="2:30" ht="15.75">
      <c r="B954" s="1" t="s">
        <v>357</v>
      </c>
      <c r="AC954" s="14"/>
      <c r="AD954" s="14"/>
    </row>
    <row r="955" spans="2:30" ht="15.75">
      <c r="B955" s="1" t="s">
        <v>357</v>
      </c>
      <c r="AC955" s="14"/>
      <c r="AD955" s="14"/>
    </row>
    <row r="956" spans="2:30" ht="15.75">
      <c r="B956" s="1" t="s">
        <v>357</v>
      </c>
      <c r="AC956" s="14"/>
      <c r="AD956" s="14"/>
    </row>
    <row r="957" spans="2:30" ht="15.75">
      <c r="B957" s="1" t="s">
        <v>357</v>
      </c>
      <c r="AC957" s="14"/>
      <c r="AD957" s="14"/>
    </row>
    <row r="958" spans="2:30" ht="15.75">
      <c r="B958" s="1" t="s">
        <v>357</v>
      </c>
      <c r="AC958" s="14"/>
      <c r="AD958" s="14"/>
    </row>
    <row r="1015" ht="12"/>
    <row r="1016" ht="12"/>
    <row r="1017" ht="12"/>
    <row r="1018" ht="12"/>
    <row r="1199" ht="12"/>
    <row r="1200" ht="12"/>
    <row r="1201" ht="12"/>
    <row r="1202" ht="12"/>
    <row r="1203" ht="12"/>
  </sheetData>
  <printOptions horizontalCentered="1"/>
  <pageMargins left="0.24" right="0.25" top="0.75" bottom="0.81" header="0.5" footer="0.21"/>
  <pageSetup fitToHeight="0" horizontalDpi="600" verticalDpi="600" orientation="landscape" paperSize="5" scale="75" r:id="rId3"/>
  <headerFooter alignWithMargins="0">
    <oddHeader>&amp;LOFFICE OF BUDGET, DOI&amp;C&amp;"Geneva,Bold"&amp;12DEPARTMENT OF THE INTERIOR APPROPRIATIONS HISTORY TABLE ($ in 000's)&amp;R&amp;D</oddHeader>
    <oddFooter>&amp;LFY01 excludes BIA/SCIP and firefighting transfers [SGL can't support scoring rules yet].
FY02 has Counter-Terrorism supp, PL 106-117.
FY03 &amp; 04 not adjt'd yet to for fire repayment transfers.  &amp;C- &amp;P -</oddFooter>
  </headerFooter>
  <rowBreaks count="12" manualBreakCount="12">
    <brk id="58" max="40" man="1"/>
    <brk id="96" max="40" man="1"/>
    <brk id="252" max="40" man="1"/>
    <brk id="399" max="40" man="1"/>
    <brk id="456" max="255" man="1"/>
    <brk id="496" max="40" man="1"/>
    <brk id="583" max="40" man="1"/>
    <brk id="688" max="255" man="1"/>
    <brk id="751" max="255" man="1"/>
    <brk id="793" max="40" man="1"/>
    <brk id="849" max="40" man="1"/>
    <brk id="885" max="4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Towle</dc:creator>
  <cp:keywords/>
  <dc:description/>
  <cp:lastModifiedBy> </cp:lastModifiedBy>
  <cp:lastPrinted>2007-04-04T13:34:18Z</cp:lastPrinted>
  <dcterms:created xsi:type="dcterms:W3CDTF">1999-02-08T16:08:21Z</dcterms:created>
  <dcterms:modified xsi:type="dcterms:W3CDTF">2007-07-18T18:44:04Z</dcterms:modified>
  <cp:category/>
  <cp:version/>
  <cp:contentType/>
  <cp:contentStatus/>
</cp:coreProperties>
</file>