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New Indoor_Outdoor Values" sheetId="1" r:id="rId1"/>
    <sheet name="m3 of air breathed per location" sheetId="2" r:id="rId2"/>
  </sheets>
  <definedNames>
    <definedName name="_xlnm.Print_Area" localSheetId="0">'New Indoor_Outdoor Values'!$A$1:$W$120</definedName>
  </definedNames>
  <calcPr fullCalcOnLoad="1"/>
</workbook>
</file>

<file path=xl/sharedStrings.xml><?xml version="1.0" encoding="utf-8"?>
<sst xmlns="http://schemas.openxmlformats.org/spreadsheetml/2006/main" count="299" uniqueCount="81">
  <si>
    <t>Time Spent Outdoors</t>
  </si>
  <si>
    <t>Exposure Factors Handbook, EPA 1997, Table 15-132,133</t>
  </si>
  <si>
    <t>Age</t>
  </si>
  <si>
    <t>GENII Age/Gender Category</t>
  </si>
  <si>
    <t>mean number of minutes spent outdoors per 24 hour period</t>
  </si>
  <si>
    <t>mean outdoor hours/day</t>
  </si>
  <si>
    <t>mean outdoor hours/yr</t>
  </si>
  <si>
    <t>mean number of minutes spent indoors per 24 hour period</t>
  </si>
  <si>
    <t>mean indoor hours/day</t>
  </si>
  <si>
    <t>mean indoor hours/yr</t>
  </si>
  <si>
    <t>1-4</t>
  </si>
  <si>
    <t>Infant</t>
  </si>
  <si>
    <t>Preschooler</t>
  </si>
  <si>
    <t>5-11</t>
  </si>
  <si>
    <t>Schoolchild</t>
  </si>
  <si>
    <t>12-17</t>
  </si>
  <si>
    <t>Teenager</t>
  </si>
  <si>
    <t>18-64</t>
  </si>
  <si>
    <t>Adult Male</t>
  </si>
  <si>
    <t>Adult Female</t>
  </si>
  <si>
    <t>Receptor Group</t>
  </si>
  <si>
    <t>Family Member</t>
  </si>
  <si>
    <t>Location</t>
  </si>
  <si>
    <t>Outdoor Hrs. per year (at residence)</t>
  </si>
  <si>
    <t xml:space="preserve">Indoor Hrs. per year (at residence) </t>
  </si>
  <si>
    <t>Total Hr/yr @ location</t>
  </si>
  <si>
    <t>Hr/yr unaccounted for</t>
  </si>
  <si>
    <r>
      <t>Indoor Fraction (F</t>
    </r>
    <r>
      <rPr>
        <vertAlign val="subscript"/>
        <sz val="8"/>
        <rFont val="Arial"/>
        <family val="2"/>
      </rPr>
      <t>i</t>
    </r>
    <r>
      <rPr>
        <sz val="8"/>
        <rFont val="Arial"/>
        <family val="0"/>
      </rPr>
      <t>)</t>
    </r>
  </si>
  <si>
    <t>Rural Family #1</t>
  </si>
  <si>
    <t>Girard</t>
  </si>
  <si>
    <t>Waynesboro</t>
  </si>
  <si>
    <t>Rural Family #2</t>
  </si>
  <si>
    <t>Williston</t>
  </si>
  <si>
    <t>Urban/Suburban Family</t>
  </si>
  <si>
    <t>Augusta</t>
  </si>
  <si>
    <t>Onsite SRS</t>
  </si>
  <si>
    <t>Delivery Person</t>
  </si>
  <si>
    <t>Martin</t>
  </si>
  <si>
    <t>Barnwell</t>
  </si>
  <si>
    <t>Allendale</t>
  </si>
  <si>
    <t>Outdoors Person</t>
  </si>
  <si>
    <t>Jackson</t>
  </si>
  <si>
    <t>Family Living Near River</t>
  </si>
  <si>
    <t>Migrant Family</t>
  </si>
  <si>
    <t>New Ellenton</t>
  </si>
  <si>
    <t>Outdoor Hr/yr spent at work</t>
  </si>
  <si>
    <t>Outdoor Hr/yr spent at school</t>
  </si>
  <si>
    <t>Outdoor Hr/yr spent swimming</t>
  </si>
  <si>
    <t>Outdoor Hr/yr spent shoreline</t>
  </si>
  <si>
    <t>Indoor Hr/yr spent at work</t>
  </si>
  <si>
    <t>Indoor Hr/yr spent at Church</t>
  </si>
  <si>
    <t>Indoor Hr/yr spent at school</t>
  </si>
  <si>
    <t>Total Indoor hours per year</t>
  </si>
  <si>
    <t>Outdoor Hr/yr spent boating</t>
  </si>
  <si>
    <t>For External Soil Exposure</t>
  </si>
  <si>
    <r>
      <t>Inhalation Rates For Each Age Group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/year breathed)</t>
    </r>
  </si>
  <si>
    <t>Inhalation - Exposure Factors Handbook Table 5-23</t>
  </si>
  <si>
    <t>Age/Gender Group</t>
  </si>
  <si>
    <t>Long-Term Mean Recommended Value m3/d</t>
  </si>
  <si>
    <t>m3/yr</t>
  </si>
  <si>
    <t>GENII Categories</t>
  </si>
  <si>
    <t>x 0.0119</t>
  </si>
  <si>
    <t>Infants &lt;1</t>
  </si>
  <si>
    <t>Children 1-2</t>
  </si>
  <si>
    <t>Preschool 1-5</t>
  </si>
  <si>
    <t>Children 3-5</t>
  </si>
  <si>
    <t>Children 6-8</t>
  </si>
  <si>
    <t>Schoolchild 6-12</t>
  </si>
  <si>
    <t>Children 9-11 Male</t>
  </si>
  <si>
    <t>Children 12-14 Male</t>
  </si>
  <si>
    <t>Teen</t>
  </si>
  <si>
    <t>Children 15-18 Male</t>
  </si>
  <si>
    <t>Adults 19-65+ Male</t>
  </si>
  <si>
    <t>Adults 19-65+ Female</t>
  </si>
  <si>
    <t>Total Outdoor Hours per year (out of water)</t>
  </si>
  <si>
    <r>
      <t>Outdoor Fraction (F</t>
    </r>
    <r>
      <rPr>
        <vertAlign val="subscript"/>
        <sz val="8"/>
        <rFont val="Arial"/>
        <family val="2"/>
      </rPr>
      <t>o</t>
    </r>
    <r>
      <rPr>
        <sz val="8"/>
        <rFont val="Arial"/>
        <family val="0"/>
      </rPr>
      <t>) (from  outdoor hours out of water)</t>
    </r>
  </si>
  <si>
    <t>External Soil Adjustment factor for amount of time spent indoors and outdoors (out of water).</t>
  </si>
  <si>
    <t>Total Outdoor Hours per year (in water)</t>
  </si>
  <si>
    <t xml:space="preserve">Total Hours Out Of Water 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</si>
  <si>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of air breathed per member per location</t>
    </r>
  </si>
  <si>
    <t>Weighted Average m3/yr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</si>
</sst>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_(* #,##0.0000_);_(* \(#,##0.0000\);_(* &quot;-&quot;??_);_(@_)"/>
    <numFmt numFmtId="168" formatCode="0.0000"/>
  </numFmts>
  <fonts count="7">
    <font>
      <sz val="10"/>
      <name val="Arial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quotePrefix="1">
      <alignment horizontal="center"/>
    </xf>
    <xf numFmtId="164" fontId="1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0" fontId="1" fillId="0" borderId="0" xfId="0" applyFont="1" applyAlignment="1">
      <alignment horizontal="center" vertical="center" wrapText="1"/>
    </xf>
    <xf numFmtId="166" fontId="1" fillId="0" borderId="0" xfId="15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66" fontId="1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tabSelected="1" workbookViewId="0" topLeftCell="A1">
      <selection activeCell="H2674" sqref="H2673:H2674"/>
    </sheetView>
  </sheetViews>
  <sheetFormatPr defaultColWidth="9.140625" defaultRowHeight="12.75"/>
  <cols>
    <col min="4" max="4" width="9.8515625" style="0" customWidth="1"/>
    <col min="16" max="16" width="10.28125" style="0" customWidth="1"/>
    <col min="17" max="17" width="10.421875" style="0" customWidth="1"/>
    <col min="20" max="20" width="11.421875" style="0" customWidth="1"/>
    <col min="21" max="21" width="9.421875" style="0" customWidth="1"/>
    <col min="22" max="22" width="16.140625" style="0" customWidth="1"/>
  </cols>
  <sheetData>
    <row r="1" spans="1:5" ht="12.75">
      <c r="A1" s="1" t="s">
        <v>0</v>
      </c>
      <c r="B1" s="2"/>
      <c r="C1" s="1"/>
      <c r="D1" s="1"/>
      <c r="E1" s="1"/>
    </row>
    <row r="2" spans="1:5" ht="12.75">
      <c r="A2" s="1" t="s">
        <v>1</v>
      </c>
      <c r="B2" s="2"/>
      <c r="C2" s="1"/>
      <c r="D2" s="1"/>
      <c r="E2" s="1"/>
    </row>
    <row r="4" spans="1:20" ht="78.75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/>
      <c r="J4" s="4"/>
      <c r="K4" s="4"/>
      <c r="L4" s="4"/>
      <c r="M4" s="4"/>
      <c r="N4" s="4"/>
      <c r="O4" s="4"/>
      <c r="P4" s="4"/>
      <c r="Q4" s="4"/>
      <c r="R4" s="4"/>
      <c r="T4" s="4"/>
    </row>
    <row r="5" spans="1:20" ht="12.75">
      <c r="A5" s="5" t="s">
        <v>10</v>
      </c>
      <c r="B5" s="6" t="s">
        <v>11</v>
      </c>
      <c r="C5" s="7">
        <v>195.652</v>
      </c>
      <c r="D5" s="7">
        <f aca="true" t="shared" si="0" ref="D5:D10">C5/60</f>
        <v>3.2608666666666664</v>
      </c>
      <c r="E5" s="7">
        <f aca="true" t="shared" si="1" ref="E5:E10">D5*365</f>
        <v>1190.2163333333333</v>
      </c>
      <c r="F5" s="7">
        <v>1211.64</v>
      </c>
      <c r="G5" s="7">
        <f aca="true" t="shared" si="2" ref="G5:G10">F5/60</f>
        <v>20.194000000000003</v>
      </c>
      <c r="H5" s="7">
        <f aca="true" t="shared" si="3" ref="H5:H10">G5*365</f>
        <v>7370.810000000001</v>
      </c>
      <c r="I5" s="7"/>
      <c r="J5" s="7"/>
      <c r="K5" s="7"/>
      <c r="L5" s="7"/>
      <c r="M5" s="7"/>
      <c r="N5" s="7"/>
      <c r="O5" s="7"/>
      <c r="P5" s="7"/>
      <c r="Q5" s="7"/>
      <c r="R5" s="7"/>
      <c r="T5" s="7"/>
    </row>
    <row r="6" spans="1:20" ht="12.75">
      <c r="A6" s="5" t="s">
        <v>10</v>
      </c>
      <c r="B6" s="6" t="s">
        <v>12</v>
      </c>
      <c r="C6" s="7">
        <v>195.652</v>
      </c>
      <c r="D6" s="7">
        <f t="shared" si="0"/>
        <v>3.2608666666666664</v>
      </c>
      <c r="E6" s="7">
        <f t="shared" si="1"/>
        <v>1190.2163333333333</v>
      </c>
      <c r="F6" s="7">
        <v>1211.64</v>
      </c>
      <c r="G6" s="7">
        <f t="shared" si="2"/>
        <v>20.194000000000003</v>
      </c>
      <c r="H6" s="7">
        <f t="shared" si="3"/>
        <v>7370.810000000001</v>
      </c>
      <c r="I6" s="7"/>
      <c r="J6" s="7"/>
      <c r="K6" s="7"/>
      <c r="L6" s="7"/>
      <c r="M6" s="7"/>
      <c r="N6" s="7"/>
      <c r="O6" s="7"/>
      <c r="P6" s="7"/>
      <c r="Q6" s="7"/>
      <c r="R6" s="7"/>
      <c r="T6" s="7"/>
    </row>
    <row r="7" spans="1:20" ht="12.75">
      <c r="A7" s="5" t="s">
        <v>13</v>
      </c>
      <c r="B7" s="6" t="s">
        <v>14</v>
      </c>
      <c r="C7" s="7">
        <v>187.564</v>
      </c>
      <c r="D7" s="7">
        <f t="shared" si="0"/>
        <v>3.1260666666666665</v>
      </c>
      <c r="E7" s="7">
        <f t="shared" si="1"/>
        <v>1141.0143333333333</v>
      </c>
      <c r="F7" s="7">
        <v>1005.13</v>
      </c>
      <c r="G7" s="7">
        <f t="shared" si="2"/>
        <v>16.752166666666668</v>
      </c>
      <c r="H7" s="7">
        <f t="shared" si="3"/>
        <v>6114.5408333333335</v>
      </c>
      <c r="I7" s="7"/>
      <c r="J7" s="7"/>
      <c r="K7" s="7"/>
      <c r="L7" s="7"/>
      <c r="M7" s="7"/>
      <c r="N7" s="7"/>
      <c r="O7" s="7"/>
      <c r="P7" s="7"/>
      <c r="Q7" s="7"/>
      <c r="R7" s="7"/>
      <c r="T7" s="7"/>
    </row>
    <row r="8" spans="1:20" ht="12.75">
      <c r="A8" s="5" t="s">
        <v>15</v>
      </c>
      <c r="B8" s="6" t="s">
        <v>16</v>
      </c>
      <c r="C8" s="7">
        <v>135.26</v>
      </c>
      <c r="D8" s="7">
        <f t="shared" si="0"/>
        <v>2.2543333333333333</v>
      </c>
      <c r="E8" s="7">
        <f t="shared" si="1"/>
        <v>822.8316666666667</v>
      </c>
      <c r="F8" s="7">
        <v>969.5</v>
      </c>
      <c r="G8" s="7">
        <f t="shared" si="2"/>
        <v>16.158333333333335</v>
      </c>
      <c r="H8" s="7">
        <f t="shared" si="3"/>
        <v>5897.791666666667</v>
      </c>
      <c r="I8" s="7"/>
      <c r="J8" s="7"/>
      <c r="K8" s="7"/>
      <c r="L8" s="7"/>
      <c r="M8" s="7"/>
      <c r="N8" s="7"/>
      <c r="O8" s="7"/>
      <c r="P8" s="7"/>
      <c r="Q8" s="7"/>
      <c r="R8" s="7"/>
      <c r="T8" s="7"/>
    </row>
    <row r="9" spans="1:20" ht="12.75">
      <c r="A9" s="5" t="s">
        <v>17</v>
      </c>
      <c r="B9" s="6" t="s">
        <v>18</v>
      </c>
      <c r="C9" s="7">
        <v>144.244</v>
      </c>
      <c r="D9" s="7">
        <f t="shared" si="0"/>
        <v>2.4040666666666666</v>
      </c>
      <c r="E9" s="7">
        <f t="shared" si="1"/>
        <v>877.4843333333333</v>
      </c>
      <c r="F9" s="7">
        <v>947.91</v>
      </c>
      <c r="G9" s="7">
        <f t="shared" si="2"/>
        <v>15.798499999999999</v>
      </c>
      <c r="H9" s="7">
        <f t="shared" si="3"/>
        <v>5766.452499999999</v>
      </c>
      <c r="I9" s="7"/>
      <c r="J9" s="7"/>
      <c r="K9" s="7"/>
      <c r="L9" s="7"/>
      <c r="M9" s="7"/>
      <c r="N9" s="7"/>
      <c r="O9" s="7"/>
      <c r="P9" s="7"/>
      <c r="Q9" s="7"/>
      <c r="R9" s="7"/>
      <c r="T9" s="7"/>
    </row>
    <row r="10" spans="1:20" ht="12.75">
      <c r="A10" s="5" t="s">
        <v>17</v>
      </c>
      <c r="B10" s="6" t="s">
        <v>19</v>
      </c>
      <c r="C10" s="7">
        <v>144.244</v>
      </c>
      <c r="D10" s="7">
        <f t="shared" si="0"/>
        <v>2.4040666666666666</v>
      </c>
      <c r="E10" s="7">
        <f t="shared" si="1"/>
        <v>877.4843333333333</v>
      </c>
      <c r="F10" s="7">
        <v>947.91</v>
      </c>
      <c r="G10" s="7">
        <f t="shared" si="2"/>
        <v>15.798499999999999</v>
      </c>
      <c r="H10" s="7">
        <f t="shared" si="3"/>
        <v>5766.452499999999</v>
      </c>
      <c r="I10" s="7"/>
      <c r="J10" s="7"/>
      <c r="K10" s="7"/>
      <c r="L10" s="7"/>
      <c r="M10" s="7"/>
      <c r="N10" s="7"/>
      <c r="O10" s="7"/>
      <c r="P10" s="7"/>
      <c r="Q10" s="7"/>
      <c r="R10" s="7"/>
      <c r="T10" s="7"/>
    </row>
    <row r="11" spans="20:22" ht="12.75">
      <c r="T11" s="32" t="s">
        <v>54</v>
      </c>
      <c r="U11" s="33"/>
      <c r="V11" s="34"/>
    </row>
    <row r="12" spans="1:24" ht="29.25" customHeight="1">
      <c r="A12" s="38" t="s">
        <v>20</v>
      </c>
      <c r="B12" s="38"/>
      <c r="C12" s="35" t="s">
        <v>21</v>
      </c>
      <c r="D12" s="35" t="s">
        <v>22</v>
      </c>
      <c r="E12" s="35" t="s">
        <v>23</v>
      </c>
      <c r="F12" s="35" t="s">
        <v>24</v>
      </c>
      <c r="G12" s="35" t="s">
        <v>45</v>
      </c>
      <c r="H12" s="35" t="s">
        <v>46</v>
      </c>
      <c r="I12" s="35" t="s">
        <v>48</v>
      </c>
      <c r="J12" s="35" t="s">
        <v>53</v>
      </c>
      <c r="K12" s="35" t="s">
        <v>47</v>
      </c>
      <c r="L12" s="35" t="s">
        <v>49</v>
      </c>
      <c r="M12" s="35" t="s">
        <v>51</v>
      </c>
      <c r="N12" s="35" t="s">
        <v>50</v>
      </c>
      <c r="O12" s="40" t="s">
        <v>25</v>
      </c>
      <c r="P12" s="35" t="s">
        <v>26</v>
      </c>
      <c r="Q12" s="35" t="s">
        <v>74</v>
      </c>
      <c r="R12" s="35" t="s">
        <v>77</v>
      </c>
      <c r="S12" s="35" t="s">
        <v>52</v>
      </c>
      <c r="T12" s="37" t="s">
        <v>75</v>
      </c>
      <c r="U12" s="37" t="s">
        <v>27</v>
      </c>
      <c r="V12" s="35" t="s">
        <v>76</v>
      </c>
      <c r="W12" s="35" t="s">
        <v>78</v>
      </c>
      <c r="X12" s="43" t="s">
        <v>79</v>
      </c>
    </row>
    <row r="13" spans="1:24" ht="31.5" customHeight="1">
      <c r="A13" s="39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1"/>
      <c r="P13" s="36"/>
      <c r="Q13" s="37"/>
      <c r="R13" s="36"/>
      <c r="S13" s="37"/>
      <c r="T13" s="36"/>
      <c r="U13" s="36"/>
      <c r="V13" s="36"/>
      <c r="W13" s="36"/>
      <c r="X13" s="43"/>
    </row>
    <row r="14" spans="1:24" ht="12.75">
      <c r="A14" s="26" t="s">
        <v>28</v>
      </c>
      <c r="B14" s="26"/>
      <c r="C14" s="8" t="s">
        <v>11</v>
      </c>
      <c r="D14" s="9" t="s">
        <v>29</v>
      </c>
      <c r="E14" s="10">
        <f>1190-2</f>
        <v>1188</v>
      </c>
      <c r="F14" s="10">
        <f>7371-9</f>
        <v>7362</v>
      </c>
      <c r="G14" s="10">
        <v>0</v>
      </c>
      <c r="H14" s="10">
        <v>0</v>
      </c>
      <c r="I14" s="10">
        <v>85</v>
      </c>
      <c r="J14" s="10">
        <v>0</v>
      </c>
      <c r="K14" s="10">
        <v>21</v>
      </c>
      <c r="L14" s="10">
        <v>0</v>
      </c>
      <c r="M14" s="10">
        <v>0</v>
      </c>
      <c r="N14" s="10">
        <v>104</v>
      </c>
      <c r="O14" s="10">
        <f>(E14+F14+G14+H14+I14+K14+L14+M14+N14+J14)</f>
        <v>8760</v>
      </c>
      <c r="P14" s="10">
        <f>(8760-O14)</f>
        <v>0</v>
      </c>
      <c r="Q14" s="10">
        <f>E14+G14+H14+I14</f>
        <v>1273</v>
      </c>
      <c r="R14" s="10">
        <f>K14+J14</f>
        <v>21</v>
      </c>
      <c r="S14" s="10">
        <f>F14+L14+M14+N14</f>
        <v>7466</v>
      </c>
      <c r="T14" s="22">
        <f>Q14/(O14-R14)</f>
        <v>0.14566884082847006</v>
      </c>
      <c r="U14" s="22">
        <f>S14/(O14-R14)</f>
        <v>0.8543311591715299</v>
      </c>
      <c r="V14" s="23">
        <f>(0.7*U14+1*T14)</f>
        <v>0.743700652248541</v>
      </c>
      <c r="W14" s="20">
        <f>(O14-R14)</f>
        <v>8739</v>
      </c>
      <c r="X14" s="24">
        <v>0.743700652248541</v>
      </c>
    </row>
    <row r="15" spans="1:24" ht="12.75">
      <c r="A15" s="27"/>
      <c r="B15" s="27"/>
      <c r="C15" s="8" t="s">
        <v>12</v>
      </c>
      <c r="D15" s="9" t="s">
        <v>29</v>
      </c>
      <c r="E15" s="10">
        <f>1190-2</f>
        <v>1188</v>
      </c>
      <c r="F15" s="10">
        <f>7371-9</f>
        <v>7362</v>
      </c>
      <c r="G15" s="10">
        <v>0</v>
      </c>
      <c r="H15" s="10">
        <v>0</v>
      </c>
      <c r="I15" s="10">
        <v>85</v>
      </c>
      <c r="J15" s="10">
        <v>0</v>
      </c>
      <c r="K15" s="10">
        <v>21</v>
      </c>
      <c r="L15" s="10">
        <v>0</v>
      </c>
      <c r="M15" s="10">
        <v>0</v>
      </c>
      <c r="N15" s="10">
        <v>104</v>
      </c>
      <c r="O15" s="10">
        <f aca="true" t="shared" si="4" ref="O15:O66">(E15+F15+G15+H15+I15+K15+L15+M15+N15+J15)</f>
        <v>8760</v>
      </c>
      <c r="P15" s="10">
        <f>(8760-O15)</f>
        <v>0</v>
      </c>
      <c r="Q15" s="10">
        <f aca="true" t="shared" si="5" ref="Q15:Q66">E15+G15+H15+I15</f>
        <v>1273</v>
      </c>
      <c r="R15" s="10">
        <f aca="true" t="shared" si="6" ref="R15:R66">K15+J15</f>
        <v>21</v>
      </c>
      <c r="S15" s="10">
        <f aca="true" t="shared" si="7" ref="S15:S66">F15+L15+M15+N15</f>
        <v>7466</v>
      </c>
      <c r="T15" s="22">
        <f aca="true" t="shared" si="8" ref="T15:T66">Q15/(O15-R15)</f>
        <v>0.14566884082847006</v>
      </c>
      <c r="U15" s="22">
        <f aca="true" t="shared" si="9" ref="U15:U66">S15/(O15-R15)</f>
        <v>0.8543311591715299</v>
      </c>
      <c r="V15" s="23">
        <f aca="true" t="shared" si="10" ref="V15:V66">(0.7*U15+1*T15)</f>
        <v>0.743700652248541</v>
      </c>
      <c r="W15" s="20">
        <f aca="true" t="shared" si="11" ref="W15:W66">(O15-R15)</f>
        <v>8739</v>
      </c>
      <c r="X15" s="25">
        <v>0.743700652248541</v>
      </c>
    </row>
    <row r="16" spans="1:24" ht="12.75">
      <c r="A16" s="27"/>
      <c r="B16" s="27"/>
      <c r="C16" s="8" t="s">
        <v>14</v>
      </c>
      <c r="D16" s="9" t="s">
        <v>29</v>
      </c>
      <c r="E16" s="10">
        <f>1141+5</f>
        <v>1146</v>
      </c>
      <c r="F16" s="10">
        <f>6115+29</f>
        <v>6144</v>
      </c>
      <c r="G16" s="10">
        <v>0</v>
      </c>
      <c r="H16" s="10">
        <v>360</v>
      </c>
      <c r="I16" s="10">
        <v>85</v>
      </c>
      <c r="J16" s="10">
        <v>0</v>
      </c>
      <c r="K16" s="10">
        <v>21</v>
      </c>
      <c r="L16" s="10">
        <v>0</v>
      </c>
      <c r="M16" s="10">
        <v>900</v>
      </c>
      <c r="N16" s="10">
        <v>104</v>
      </c>
      <c r="O16" s="10">
        <f t="shared" si="4"/>
        <v>8760</v>
      </c>
      <c r="P16" s="10">
        <f>(8760-O16)</f>
        <v>0</v>
      </c>
      <c r="Q16" s="10">
        <f t="shared" si="5"/>
        <v>1591</v>
      </c>
      <c r="R16" s="10">
        <f t="shared" si="6"/>
        <v>21</v>
      </c>
      <c r="S16" s="10">
        <f t="shared" si="7"/>
        <v>7148</v>
      </c>
      <c r="T16" s="22">
        <f t="shared" si="8"/>
        <v>0.18205744364343746</v>
      </c>
      <c r="U16" s="22">
        <f t="shared" si="9"/>
        <v>0.8179425563565625</v>
      </c>
      <c r="V16" s="23">
        <f t="shared" si="10"/>
        <v>0.7546172330930312</v>
      </c>
      <c r="W16" s="20">
        <f t="shared" si="11"/>
        <v>8739</v>
      </c>
      <c r="X16" s="23">
        <v>0.7546172330930312</v>
      </c>
    </row>
    <row r="17" spans="1:24" ht="12.75">
      <c r="A17" s="27"/>
      <c r="B17" s="27"/>
      <c r="C17" s="8" t="s">
        <v>16</v>
      </c>
      <c r="D17" s="9" t="s">
        <v>29</v>
      </c>
      <c r="E17" s="10">
        <f>823+70</f>
        <v>893</v>
      </c>
      <c r="F17" s="10">
        <f>5898+499</f>
        <v>6397</v>
      </c>
      <c r="G17" s="10">
        <v>0</v>
      </c>
      <c r="H17" s="10">
        <v>0</v>
      </c>
      <c r="I17" s="10">
        <v>85</v>
      </c>
      <c r="J17" s="10">
        <v>0</v>
      </c>
      <c r="K17" s="10">
        <v>21</v>
      </c>
      <c r="L17" s="10">
        <v>0</v>
      </c>
      <c r="M17" s="11">
        <v>0</v>
      </c>
      <c r="N17" s="10">
        <v>104</v>
      </c>
      <c r="O17" s="10">
        <f t="shared" si="4"/>
        <v>7500</v>
      </c>
      <c r="P17" s="10">
        <f>(8760-O17-O18)</f>
        <v>0</v>
      </c>
      <c r="Q17" s="10">
        <f t="shared" si="5"/>
        <v>978</v>
      </c>
      <c r="R17" s="10">
        <f t="shared" si="6"/>
        <v>21</v>
      </c>
      <c r="S17" s="10">
        <f t="shared" si="7"/>
        <v>6501</v>
      </c>
      <c r="T17" s="22">
        <f t="shared" si="8"/>
        <v>0.13076614520657842</v>
      </c>
      <c r="U17" s="22">
        <f t="shared" si="9"/>
        <v>0.8692338547934216</v>
      </c>
      <c r="V17" s="23">
        <f t="shared" si="10"/>
        <v>0.7392298435619735</v>
      </c>
      <c r="W17" s="20">
        <f t="shared" si="11"/>
        <v>7479</v>
      </c>
      <c r="X17" s="23">
        <v>0.7392298435619735</v>
      </c>
    </row>
    <row r="18" spans="1:24" ht="12.75">
      <c r="A18" s="27"/>
      <c r="B18" s="27"/>
      <c r="C18" s="8" t="s">
        <v>16</v>
      </c>
      <c r="D18" s="9" t="s">
        <v>30</v>
      </c>
      <c r="E18" s="10">
        <v>0</v>
      </c>
      <c r="F18" s="10">
        <v>0</v>
      </c>
      <c r="G18" s="10">
        <v>0</v>
      </c>
      <c r="H18" s="10">
        <v>360</v>
      </c>
      <c r="I18" s="10">
        <v>0</v>
      </c>
      <c r="J18" s="10">
        <v>0</v>
      </c>
      <c r="K18" s="10">
        <v>0</v>
      </c>
      <c r="L18" s="10">
        <v>0</v>
      </c>
      <c r="M18" s="10">
        <v>900</v>
      </c>
      <c r="N18" s="10">
        <v>0</v>
      </c>
      <c r="O18" s="10">
        <f t="shared" si="4"/>
        <v>1260</v>
      </c>
      <c r="P18" s="10">
        <v>0</v>
      </c>
      <c r="Q18" s="10">
        <f t="shared" si="5"/>
        <v>360</v>
      </c>
      <c r="R18" s="10">
        <f t="shared" si="6"/>
        <v>0</v>
      </c>
      <c r="S18" s="10">
        <f t="shared" si="7"/>
        <v>900</v>
      </c>
      <c r="T18" s="22">
        <f t="shared" si="8"/>
        <v>0.2857142857142857</v>
      </c>
      <c r="U18" s="22">
        <f t="shared" si="9"/>
        <v>0.7142857142857143</v>
      </c>
      <c r="V18" s="23">
        <f t="shared" si="10"/>
        <v>0.7857142857142857</v>
      </c>
      <c r="W18" s="20">
        <f t="shared" si="11"/>
        <v>1260</v>
      </c>
      <c r="X18" s="23">
        <v>0.7857142857142857</v>
      </c>
    </row>
    <row r="19" spans="1:24" ht="12.75">
      <c r="A19" s="27"/>
      <c r="B19" s="27"/>
      <c r="C19" s="8" t="s">
        <v>18</v>
      </c>
      <c r="D19" s="9" t="s">
        <v>29</v>
      </c>
      <c r="E19" s="10">
        <f>877-12</f>
        <v>865</v>
      </c>
      <c r="F19" s="10">
        <f>5766-81</f>
        <v>5685</v>
      </c>
      <c r="G19" s="10">
        <v>1750</v>
      </c>
      <c r="H19" s="10">
        <v>0</v>
      </c>
      <c r="I19" s="10">
        <v>85</v>
      </c>
      <c r="J19" s="10">
        <v>0</v>
      </c>
      <c r="K19" s="10">
        <v>21</v>
      </c>
      <c r="L19" s="10">
        <v>250</v>
      </c>
      <c r="M19" s="10">
        <v>0</v>
      </c>
      <c r="N19" s="10">
        <v>104</v>
      </c>
      <c r="O19" s="10">
        <f t="shared" si="4"/>
        <v>8760</v>
      </c>
      <c r="P19" s="10">
        <f aca="true" t="shared" si="12" ref="P19:P30">(8760-O19)</f>
        <v>0</v>
      </c>
      <c r="Q19" s="10">
        <f t="shared" si="5"/>
        <v>2700</v>
      </c>
      <c r="R19" s="10">
        <f t="shared" si="6"/>
        <v>21</v>
      </c>
      <c r="S19" s="10">
        <f t="shared" si="7"/>
        <v>6039</v>
      </c>
      <c r="T19" s="22">
        <f t="shared" si="8"/>
        <v>0.30895983522142123</v>
      </c>
      <c r="U19" s="22">
        <f t="shared" si="9"/>
        <v>0.6910401647785788</v>
      </c>
      <c r="V19" s="23">
        <f t="shared" si="10"/>
        <v>0.7926879505664264</v>
      </c>
      <c r="W19" s="20">
        <f t="shared" si="11"/>
        <v>8739</v>
      </c>
      <c r="X19" s="23">
        <v>0.7926879505664264</v>
      </c>
    </row>
    <row r="20" spans="1:24" ht="12.75">
      <c r="A20" s="28"/>
      <c r="B20" s="28"/>
      <c r="C20" s="8" t="s">
        <v>19</v>
      </c>
      <c r="D20" s="9" t="s">
        <v>29</v>
      </c>
      <c r="E20" s="10">
        <f>877+252</f>
        <v>1129</v>
      </c>
      <c r="F20" s="10">
        <f>5766+1655</f>
        <v>7421</v>
      </c>
      <c r="G20" s="10">
        <v>0</v>
      </c>
      <c r="H20" s="10">
        <v>0</v>
      </c>
      <c r="I20" s="10">
        <v>85</v>
      </c>
      <c r="J20" s="10">
        <v>0</v>
      </c>
      <c r="K20" s="10">
        <v>21</v>
      </c>
      <c r="L20" s="10">
        <v>0</v>
      </c>
      <c r="M20" s="10">
        <v>0</v>
      </c>
      <c r="N20" s="10">
        <v>104</v>
      </c>
      <c r="O20" s="10">
        <f t="shared" si="4"/>
        <v>8760</v>
      </c>
      <c r="P20" s="10">
        <f t="shared" si="12"/>
        <v>0</v>
      </c>
      <c r="Q20" s="10">
        <f t="shared" si="5"/>
        <v>1214</v>
      </c>
      <c r="R20" s="10">
        <f t="shared" si="6"/>
        <v>21</v>
      </c>
      <c r="S20" s="10">
        <f t="shared" si="7"/>
        <v>7525</v>
      </c>
      <c r="T20" s="22">
        <f t="shared" si="8"/>
        <v>0.13891749628103903</v>
      </c>
      <c r="U20" s="22">
        <f t="shared" si="9"/>
        <v>0.861082503718961</v>
      </c>
      <c r="V20" s="23">
        <f t="shared" si="10"/>
        <v>0.7416752488843117</v>
      </c>
      <c r="W20" s="20">
        <f t="shared" si="11"/>
        <v>8739</v>
      </c>
      <c r="X20" s="23">
        <v>0.7416752488843117</v>
      </c>
    </row>
    <row r="21" spans="1:24" ht="12.75">
      <c r="A21" s="26" t="s">
        <v>31</v>
      </c>
      <c r="B21" s="26"/>
      <c r="C21" s="8" t="s">
        <v>11</v>
      </c>
      <c r="D21" s="9" t="s">
        <v>32</v>
      </c>
      <c r="E21" s="10">
        <f>1190-2</f>
        <v>1188</v>
      </c>
      <c r="F21" s="10">
        <f>7371-9</f>
        <v>7362</v>
      </c>
      <c r="G21" s="10">
        <v>0</v>
      </c>
      <c r="H21" s="10">
        <v>0</v>
      </c>
      <c r="I21" s="10">
        <v>85</v>
      </c>
      <c r="J21" s="10">
        <v>0</v>
      </c>
      <c r="K21" s="10">
        <v>21</v>
      </c>
      <c r="L21" s="10">
        <v>0</v>
      </c>
      <c r="M21" s="10">
        <v>0</v>
      </c>
      <c r="N21" s="10">
        <v>104</v>
      </c>
      <c r="O21" s="10">
        <f t="shared" si="4"/>
        <v>8760</v>
      </c>
      <c r="P21" s="10">
        <f t="shared" si="12"/>
        <v>0</v>
      </c>
      <c r="Q21" s="10">
        <f t="shared" si="5"/>
        <v>1273</v>
      </c>
      <c r="R21" s="10">
        <f t="shared" si="6"/>
        <v>21</v>
      </c>
      <c r="S21" s="10">
        <f t="shared" si="7"/>
        <v>7466</v>
      </c>
      <c r="T21" s="22">
        <f t="shared" si="8"/>
        <v>0.14566884082847006</v>
      </c>
      <c r="U21" s="22">
        <f t="shared" si="9"/>
        <v>0.8543311591715299</v>
      </c>
      <c r="V21" s="23">
        <f t="shared" si="10"/>
        <v>0.743700652248541</v>
      </c>
      <c r="W21" s="20">
        <f t="shared" si="11"/>
        <v>8739</v>
      </c>
      <c r="X21" s="23">
        <v>0.743700652248541</v>
      </c>
    </row>
    <row r="22" spans="1:24" ht="12.75">
      <c r="A22" s="27"/>
      <c r="B22" s="27"/>
      <c r="C22" s="8" t="s">
        <v>12</v>
      </c>
      <c r="D22" s="9" t="s">
        <v>32</v>
      </c>
      <c r="E22" s="10">
        <f>1190-2</f>
        <v>1188</v>
      </c>
      <c r="F22" s="10">
        <f>7371-9</f>
        <v>7362</v>
      </c>
      <c r="G22" s="10">
        <v>0</v>
      </c>
      <c r="H22" s="10">
        <v>0</v>
      </c>
      <c r="I22" s="10">
        <v>85</v>
      </c>
      <c r="J22" s="10">
        <v>0</v>
      </c>
      <c r="K22" s="10">
        <v>21</v>
      </c>
      <c r="L22" s="10">
        <v>0</v>
      </c>
      <c r="M22" s="10">
        <v>0</v>
      </c>
      <c r="N22" s="10">
        <v>104</v>
      </c>
      <c r="O22" s="10">
        <f t="shared" si="4"/>
        <v>8760</v>
      </c>
      <c r="P22" s="10">
        <f t="shared" si="12"/>
        <v>0</v>
      </c>
      <c r="Q22" s="10">
        <f t="shared" si="5"/>
        <v>1273</v>
      </c>
      <c r="R22" s="10">
        <f t="shared" si="6"/>
        <v>21</v>
      </c>
      <c r="S22" s="10">
        <f t="shared" si="7"/>
        <v>7466</v>
      </c>
      <c r="T22" s="22">
        <f t="shared" si="8"/>
        <v>0.14566884082847006</v>
      </c>
      <c r="U22" s="22">
        <f t="shared" si="9"/>
        <v>0.8543311591715299</v>
      </c>
      <c r="V22" s="23">
        <f t="shared" si="10"/>
        <v>0.743700652248541</v>
      </c>
      <c r="W22" s="20">
        <f t="shared" si="11"/>
        <v>8739</v>
      </c>
      <c r="X22" s="23">
        <v>0.743700652248541</v>
      </c>
    </row>
    <row r="23" spans="1:24" ht="12.75">
      <c r="A23" s="27"/>
      <c r="B23" s="27"/>
      <c r="C23" s="8" t="s">
        <v>14</v>
      </c>
      <c r="D23" s="9" t="s">
        <v>32</v>
      </c>
      <c r="E23" s="10">
        <f>1141+5</f>
        <v>1146</v>
      </c>
      <c r="F23" s="10">
        <f>6115+29</f>
        <v>6144</v>
      </c>
      <c r="G23" s="10">
        <v>0</v>
      </c>
      <c r="H23" s="10">
        <v>360</v>
      </c>
      <c r="I23" s="10">
        <v>85</v>
      </c>
      <c r="J23" s="10">
        <v>0</v>
      </c>
      <c r="K23" s="10">
        <v>21</v>
      </c>
      <c r="L23" s="10">
        <v>0</v>
      </c>
      <c r="M23" s="10">
        <v>900</v>
      </c>
      <c r="N23" s="10">
        <v>104</v>
      </c>
      <c r="O23" s="10">
        <f t="shared" si="4"/>
        <v>8760</v>
      </c>
      <c r="P23" s="10">
        <f t="shared" si="12"/>
        <v>0</v>
      </c>
      <c r="Q23" s="10">
        <f t="shared" si="5"/>
        <v>1591</v>
      </c>
      <c r="R23" s="10">
        <f t="shared" si="6"/>
        <v>21</v>
      </c>
      <c r="S23" s="10">
        <f t="shared" si="7"/>
        <v>7148</v>
      </c>
      <c r="T23" s="22">
        <f t="shared" si="8"/>
        <v>0.18205744364343746</v>
      </c>
      <c r="U23" s="22">
        <f t="shared" si="9"/>
        <v>0.8179425563565625</v>
      </c>
      <c r="V23" s="23">
        <f t="shared" si="10"/>
        <v>0.7546172330930312</v>
      </c>
      <c r="W23" s="20">
        <f t="shared" si="11"/>
        <v>8739</v>
      </c>
      <c r="X23" s="23">
        <v>0.7546172330930312</v>
      </c>
    </row>
    <row r="24" spans="1:24" ht="12.75">
      <c r="A24" s="27"/>
      <c r="B24" s="27"/>
      <c r="C24" s="8" t="s">
        <v>16</v>
      </c>
      <c r="D24" s="9" t="s">
        <v>32</v>
      </c>
      <c r="E24" s="10">
        <f>823+70</f>
        <v>893</v>
      </c>
      <c r="F24" s="10">
        <f>5898+499</f>
        <v>6397</v>
      </c>
      <c r="G24" s="10">
        <v>0</v>
      </c>
      <c r="H24" s="10">
        <v>360</v>
      </c>
      <c r="I24" s="10">
        <v>85</v>
      </c>
      <c r="J24" s="10">
        <v>0</v>
      </c>
      <c r="K24" s="10">
        <v>21</v>
      </c>
      <c r="L24" s="11">
        <v>0</v>
      </c>
      <c r="M24" s="11">
        <v>900</v>
      </c>
      <c r="N24" s="10">
        <v>104</v>
      </c>
      <c r="O24" s="10">
        <f t="shared" si="4"/>
        <v>8760</v>
      </c>
      <c r="P24" s="10">
        <f t="shared" si="12"/>
        <v>0</v>
      </c>
      <c r="Q24" s="10">
        <f t="shared" si="5"/>
        <v>1338</v>
      </c>
      <c r="R24" s="10">
        <f t="shared" si="6"/>
        <v>21</v>
      </c>
      <c r="S24" s="10">
        <f t="shared" si="7"/>
        <v>7401</v>
      </c>
      <c r="T24" s="22">
        <f t="shared" si="8"/>
        <v>0.1531067627875043</v>
      </c>
      <c r="U24" s="22">
        <f t="shared" si="9"/>
        <v>0.8468932372124958</v>
      </c>
      <c r="V24" s="23">
        <f t="shared" si="10"/>
        <v>0.7459320288362512</v>
      </c>
      <c r="W24" s="20">
        <f t="shared" si="11"/>
        <v>8739</v>
      </c>
      <c r="X24" s="23">
        <v>0.7459320288362512</v>
      </c>
    </row>
    <row r="25" spans="1:24" ht="12.75">
      <c r="A25" s="27"/>
      <c r="B25" s="27"/>
      <c r="C25" s="8" t="s">
        <v>18</v>
      </c>
      <c r="D25" s="9" t="s">
        <v>32</v>
      </c>
      <c r="E25" s="10">
        <f>877-12</f>
        <v>865</v>
      </c>
      <c r="F25" s="10">
        <f>5766-81</f>
        <v>5685</v>
      </c>
      <c r="G25" s="10">
        <v>1750</v>
      </c>
      <c r="H25" s="10">
        <v>0</v>
      </c>
      <c r="I25" s="10">
        <v>85</v>
      </c>
      <c r="J25" s="10">
        <v>0</v>
      </c>
      <c r="K25" s="10">
        <v>21</v>
      </c>
      <c r="L25" s="10">
        <v>250</v>
      </c>
      <c r="M25" s="10">
        <v>0</v>
      </c>
      <c r="N25" s="10">
        <v>104</v>
      </c>
      <c r="O25" s="10">
        <f t="shared" si="4"/>
        <v>8760</v>
      </c>
      <c r="P25" s="10">
        <f t="shared" si="12"/>
        <v>0</v>
      </c>
      <c r="Q25" s="10">
        <f t="shared" si="5"/>
        <v>2700</v>
      </c>
      <c r="R25" s="10">
        <f t="shared" si="6"/>
        <v>21</v>
      </c>
      <c r="S25" s="10">
        <f t="shared" si="7"/>
        <v>6039</v>
      </c>
      <c r="T25" s="22">
        <f t="shared" si="8"/>
        <v>0.30895983522142123</v>
      </c>
      <c r="U25" s="22">
        <f t="shared" si="9"/>
        <v>0.6910401647785788</v>
      </c>
      <c r="V25" s="23">
        <f t="shared" si="10"/>
        <v>0.7926879505664264</v>
      </c>
      <c r="W25" s="20">
        <f t="shared" si="11"/>
        <v>8739</v>
      </c>
      <c r="X25" s="23">
        <v>0.7926879505664264</v>
      </c>
    </row>
    <row r="26" spans="1:24" ht="12.75">
      <c r="A26" s="28"/>
      <c r="B26" s="28"/>
      <c r="C26" s="8" t="s">
        <v>19</v>
      </c>
      <c r="D26" s="9" t="s">
        <v>32</v>
      </c>
      <c r="E26" s="10">
        <f>877+252</f>
        <v>1129</v>
      </c>
      <c r="F26" s="10">
        <f>5766+1655</f>
        <v>7421</v>
      </c>
      <c r="G26" s="10">
        <v>0</v>
      </c>
      <c r="H26" s="10">
        <v>0</v>
      </c>
      <c r="I26" s="10">
        <v>85</v>
      </c>
      <c r="J26" s="10">
        <v>0</v>
      </c>
      <c r="K26" s="10">
        <v>21</v>
      </c>
      <c r="L26" s="10">
        <v>0</v>
      </c>
      <c r="M26" s="10">
        <v>0</v>
      </c>
      <c r="N26" s="10">
        <v>104</v>
      </c>
      <c r="O26" s="10">
        <f t="shared" si="4"/>
        <v>8760</v>
      </c>
      <c r="P26" s="10">
        <f t="shared" si="12"/>
        <v>0</v>
      </c>
      <c r="Q26" s="10">
        <f t="shared" si="5"/>
        <v>1214</v>
      </c>
      <c r="R26" s="10">
        <f t="shared" si="6"/>
        <v>21</v>
      </c>
      <c r="S26" s="10">
        <f t="shared" si="7"/>
        <v>7525</v>
      </c>
      <c r="T26" s="22">
        <f t="shared" si="8"/>
        <v>0.13891749628103903</v>
      </c>
      <c r="U26" s="22">
        <f t="shared" si="9"/>
        <v>0.861082503718961</v>
      </c>
      <c r="V26" s="23">
        <f t="shared" si="10"/>
        <v>0.7416752488843117</v>
      </c>
      <c r="W26" s="20">
        <f t="shared" si="11"/>
        <v>8739</v>
      </c>
      <c r="X26" s="23">
        <v>0.7416752488843117</v>
      </c>
    </row>
    <row r="27" spans="1:24" ht="12.75">
      <c r="A27" s="26" t="s">
        <v>33</v>
      </c>
      <c r="B27" s="26"/>
      <c r="C27" s="8" t="s">
        <v>11</v>
      </c>
      <c r="D27" s="9" t="s">
        <v>34</v>
      </c>
      <c r="E27" s="10">
        <f>1190-2</f>
        <v>1188</v>
      </c>
      <c r="F27" s="10">
        <f>7371-9</f>
        <v>7362</v>
      </c>
      <c r="G27" s="10">
        <v>0</v>
      </c>
      <c r="H27" s="10">
        <v>0</v>
      </c>
      <c r="I27" s="10">
        <v>85</v>
      </c>
      <c r="J27" s="10">
        <v>0</v>
      </c>
      <c r="K27" s="10">
        <v>21</v>
      </c>
      <c r="L27" s="10">
        <v>0</v>
      </c>
      <c r="M27" s="10">
        <v>0</v>
      </c>
      <c r="N27" s="10">
        <v>104</v>
      </c>
      <c r="O27" s="10">
        <f t="shared" si="4"/>
        <v>8760</v>
      </c>
      <c r="P27" s="10">
        <f t="shared" si="12"/>
        <v>0</v>
      </c>
      <c r="Q27" s="10">
        <f t="shared" si="5"/>
        <v>1273</v>
      </c>
      <c r="R27" s="10">
        <f t="shared" si="6"/>
        <v>21</v>
      </c>
      <c r="S27" s="10">
        <f t="shared" si="7"/>
        <v>7466</v>
      </c>
      <c r="T27" s="22">
        <f t="shared" si="8"/>
        <v>0.14566884082847006</v>
      </c>
      <c r="U27" s="22">
        <f t="shared" si="9"/>
        <v>0.8543311591715299</v>
      </c>
      <c r="V27" s="23">
        <f t="shared" si="10"/>
        <v>0.743700652248541</v>
      </c>
      <c r="W27" s="20">
        <f t="shared" si="11"/>
        <v>8739</v>
      </c>
      <c r="X27" s="23">
        <v>0.743700652248541</v>
      </c>
    </row>
    <row r="28" spans="1:24" ht="12.75">
      <c r="A28" s="27"/>
      <c r="B28" s="27"/>
      <c r="C28" s="8" t="s">
        <v>12</v>
      </c>
      <c r="D28" s="9" t="s">
        <v>34</v>
      </c>
      <c r="E28" s="10">
        <f>1190-2</f>
        <v>1188</v>
      </c>
      <c r="F28" s="10">
        <f>7371-9</f>
        <v>7362</v>
      </c>
      <c r="G28" s="10">
        <v>0</v>
      </c>
      <c r="H28" s="10">
        <v>0</v>
      </c>
      <c r="I28" s="10">
        <v>85</v>
      </c>
      <c r="J28" s="10">
        <v>0</v>
      </c>
      <c r="K28" s="10">
        <v>21</v>
      </c>
      <c r="L28" s="10">
        <v>0</v>
      </c>
      <c r="M28" s="10">
        <v>0</v>
      </c>
      <c r="N28" s="10">
        <v>104</v>
      </c>
      <c r="O28" s="10">
        <f t="shared" si="4"/>
        <v>8760</v>
      </c>
      <c r="P28" s="10">
        <f t="shared" si="12"/>
        <v>0</v>
      </c>
      <c r="Q28" s="10">
        <f t="shared" si="5"/>
        <v>1273</v>
      </c>
      <c r="R28" s="10">
        <f t="shared" si="6"/>
        <v>21</v>
      </c>
      <c r="S28" s="10">
        <f t="shared" si="7"/>
        <v>7466</v>
      </c>
      <c r="T28" s="22">
        <f t="shared" si="8"/>
        <v>0.14566884082847006</v>
      </c>
      <c r="U28" s="22">
        <f t="shared" si="9"/>
        <v>0.8543311591715299</v>
      </c>
      <c r="V28" s="23">
        <f t="shared" si="10"/>
        <v>0.743700652248541</v>
      </c>
      <c r="W28" s="20">
        <f t="shared" si="11"/>
        <v>8739</v>
      </c>
      <c r="X28" s="23">
        <v>0.743700652248541</v>
      </c>
    </row>
    <row r="29" spans="1:24" ht="12.75">
      <c r="A29" s="27"/>
      <c r="B29" s="27"/>
      <c r="C29" s="8" t="s">
        <v>14</v>
      </c>
      <c r="D29" s="9" t="s">
        <v>34</v>
      </c>
      <c r="E29" s="10">
        <f>1141+5</f>
        <v>1146</v>
      </c>
      <c r="F29" s="10">
        <f>6115+29</f>
        <v>6144</v>
      </c>
      <c r="G29" s="10">
        <v>0</v>
      </c>
      <c r="H29" s="10">
        <v>360</v>
      </c>
      <c r="I29" s="10">
        <v>85</v>
      </c>
      <c r="J29" s="10">
        <v>0</v>
      </c>
      <c r="K29" s="10">
        <v>21</v>
      </c>
      <c r="L29" s="10">
        <v>0</v>
      </c>
      <c r="M29" s="10">
        <v>900</v>
      </c>
      <c r="N29" s="10">
        <v>104</v>
      </c>
      <c r="O29" s="10">
        <f t="shared" si="4"/>
        <v>8760</v>
      </c>
      <c r="P29" s="10">
        <f t="shared" si="12"/>
        <v>0</v>
      </c>
      <c r="Q29" s="10">
        <f t="shared" si="5"/>
        <v>1591</v>
      </c>
      <c r="R29" s="10">
        <f t="shared" si="6"/>
        <v>21</v>
      </c>
      <c r="S29" s="10">
        <f t="shared" si="7"/>
        <v>7148</v>
      </c>
      <c r="T29" s="22">
        <f t="shared" si="8"/>
        <v>0.18205744364343746</v>
      </c>
      <c r="U29" s="22">
        <f t="shared" si="9"/>
        <v>0.8179425563565625</v>
      </c>
      <c r="V29" s="23">
        <f t="shared" si="10"/>
        <v>0.7546172330930312</v>
      </c>
      <c r="W29" s="20">
        <f t="shared" si="11"/>
        <v>8739</v>
      </c>
      <c r="X29" s="23">
        <v>0.7546172330930312</v>
      </c>
    </row>
    <row r="30" spans="1:24" ht="12.75">
      <c r="A30" s="27"/>
      <c r="B30" s="27"/>
      <c r="C30" s="8" t="s">
        <v>16</v>
      </c>
      <c r="D30" s="9" t="s">
        <v>34</v>
      </c>
      <c r="E30" s="10">
        <f>823+70</f>
        <v>893</v>
      </c>
      <c r="F30" s="10">
        <f>5898+499</f>
        <v>6397</v>
      </c>
      <c r="G30" s="10">
        <v>0</v>
      </c>
      <c r="H30" s="10">
        <v>360</v>
      </c>
      <c r="I30" s="10">
        <v>85</v>
      </c>
      <c r="J30" s="10">
        <v>0</v>
      </c>
      <c r="K30" s="10">
        <v>21</v>
      </c>
      <c r="L30" s="11">
        <v>0</v>
      </c>
      <c r="M30" s="11">
        <v>900</v>
      </c>
      <c r="N30" s="10">
        <v>104</v>
      </c>
      <c r="O30" s="10">
        <f t="shared" si="4"/>
        <v>8760</v>
      </c>
      <c r="P30" s="10">
        <f t="shared" si="12"/>
        <v>0</v>
      </c>
      <c r="Q30" s="10">
        <f t="shared" si="5"/>
        <v>1338</v>
      </c>
      <c r="R30" s="10">
        <f t="shared" si="6"/>
        <v>21</v>
      </c>
      <c r="S30" s="10">
        <f t="shared" si="7"/>
        <v>7401</v>
      </c>
      <c r="T30" s="22">
        <f t="shared" si="8"/>
        <v>0.1531067627875043</v>
      </c>
      <c r="U30" s="22">
        <f t="shared" si="9"/>
        <v>0.8468932372124958</v>
      </c>
      <c r="V30" s="23">
        <f t="shared" si="10"/>
        <v>0.7459320288362512</v>
      </c>
      <c r="W30" s="20">
        <f t="shared" si="11"/>
        <v>8739</v>
      </c>
      <c r="X30" s="23">
        <v>0.7459320288362512</v>
      </c>
    </row>
    <row r="31" spans="1:24" ht="12.75">
      <c r="A31" s="27"/>
      <c r="B31" s="27"/>
      <c r="C31" s="8" t="s">
        <v>18</v>
      </c>
      <c r="D31" s="9" t="s">
        <v>34</v>
      </c>
      <c r="E31" s="10">
        <f>877-12</f>
        <v>865</v>
      </c>
      <c r="F31" s="10">
        <f>5766-81</f>
        <v>5685</v>
      </c>
      <c r="G31" s="10">
        <v>0</v>
      </c>
      <c r="H31" s="10">
        <v>0</v>
      </c>
      <c r="I31" s="10">
        <v>85</v>
      </c>
      <c r="J31" s="10">
        <v>0</v>
      </c>
      <c r="K31" s="10">
        <v>21</v>
      </c>
      <c r="L31" s="10">
        <v>0</v>
      </c>
      <c r="M31" s="10">
        <v>0</v>
      </c>
      <c r="N31" s="10">
        <v>104</v>
      </c>
      <c r="O31" s="10">
        <f t="shared" si="4"/>
        <v>6760</v>
      </c>
      <c r="P31" s="10">
        <f>(6760-O31)</f>
        <v>0</v>
      </c>
      <c r="Q31" s="10">
        <f t="shared" si="5"/>
        <v>950</v>
      </c>
      <c r="R31" s="10">
        <f t="shared" si="6"/>
        <v>21</v>
      </c>
      <c r="S31" s="10">
        <f t="shared" si="7"/>
        <v>5789</v>
      </c>
      <c r="T31" s="22">
        <f t="shared" si="8"/>
        <v>0.14097047039620123</v>
      </c>
      <c r="U31" s="22">
        <f t="shared" si="9"/>
        <v>0.8590295296037987</v>
      </c>
      <c r="V31" s="23">
        <f t="shared" si="10"/>
        <v>0.7422911411188603</v>
      </c>
      <c r="W31" s="20">
        <f t="shared" si="11"/>
        <v>6739</v>
      </c>
      <c r="X31" s="23">
        <v>0.7422911411188603</v>
      </c>
    </row>
    <row r="32" spans="1:24" ht="12.75">
      <c r="A32" s="27"/>
      <c r="B32" s="27"/>
      <c r="C32" s="8" t="s">
        <v>18</v>
      </c>
      <c r="D32" s="9" t="s">
        <v>35</v>
      </c>
      <c r="E32" s="10">
        <v>0</v>
      </c>
      <c r="F32" s="10">
        <v>0</v>
      </c>
      <c r="G32" s="10">
        <v>250</v>
      </c>
      <c r="H32" s="10">
        <v>0</v>
      </c>
      <c r="I32" s="10">
        <v>0</v>
      </c>
      <c r="J32" s="10">
        <v>0</v>
      </c>
      <c r="K32" s="10">
        <v>0</v>
      </c>
      <c r="L32" s="10">
        <v>1750</v>
      </c>
      <c r="M32" s="10">
        <v>0</v>
      </c>
      <c r="N32" s="10">
        <v>0</v>
      </c>
      <c r="O32" s="10">
        <f>(E32+F32+G32+H32+I32+K32+L32+M32+N32+J32)</f>
        <v>2000</v>
      </c>
      <c r="P32" s="10">
        <v>0</v>
      </c>
      <c r="Q32" s="10">
        <f t="shared" si="5"/>
        <v>250</v>
      </c>
      <c r="R32" s="10">
        <f t="shared" si="6"/>
        <v>0</v>
      </c>
      <c r="S32" s="10">
        <f t="shared" si="7"/>
        <v>1750</v>
      </c>
      <c r="T32" s="22">
        <f t="shared" si="8"/>
        <v>0.125</v>
      </c>
      <c r="U32" s="22">
        <f t="shared" si="9"/>
        <v>0.875</v>
      </c>
      <c r="V32" s="23">
        <f t="shared" si="10"/>
        <v>0.7374999999999999</v>
      </c>
      <c r="W32" s="20">
        <f t="shared" si="11"/>
        <v>2000</v>
      </c>
      <c r="X32" s="23">
        <v>0.7375</v>
      </c>
    </row>
    <row r="33" spans="1:24" ht="12.75">
      <c r="A33" s="27"/>
      <c r="B33" s="27"/>
      <c r="C33" s="8" t="s">
        <v>19</v>
      </c>
      <c r="D33" s="9" t="s">
        <v>34</v>
      </c>
      <c r="E33" s="10">
        <f>877+252</f>
        <v>1129</v>
      </c>
      <c r="F33" s="10">
        <f>5766+1655</f>
        <v>7421</v>
      </c>
      <c r="G33" s="10">
        <v>0</v>
      </c>
      <c r="H33" s="10">
        <v>0</v>
      </c>
      <c r="I33" s="10">
        <v>85</v>
      </c>
      <c r="J33" s="10">
        <v>0</v>
      </c>
      <c r="K33" s="10">
        <v>21</v>
      </c>
      <c r="L33" s="10">
        <v>0</v>
      </c>
      <c r="M33" s="10">
        <v>0</v>
      </c>
      <c r="N33" s="10">
        <v>104</v>
      </c>
      <c r="O33" s="10">
        <f t="shared" si="4"/>
        <v>8760</v>
      </c>
      <c r="P33" s="10">
        <f>(8760-O33)</f>
        <v>0</v>
      </c>
      <c r="Q33" s="10">
        <f t="shared" si="5"/>
        <v>1214</v>
      </c>
      <c r="R33" s="10">
        <f t="shared" si="6"/>
        <v>21</v>
      </c>
      <c r="S33" s="10">
        <f t="shared" si="7"/>
        <v>7525</v>
      </c>
      <c r="T33" s="22">
        <f t="shared" si="8"/>
        <v>0.13891749628103903</v>
      </c>
      <c r="U33" s="22">
        <f t="shared" si="9"/>
        <v>0.861082503718961</v>
      </c>
      <c r="V33" s="23">
        <f t="shared" si="10"/>
        <v>0.7416752488843117</v>
      </c>
      <c r="W33" s="20">
        <f t="shared" si="11"/>
        <v>8739</v>
      </c>
      <c r="X33" s="23">
        <v>0.7416752488843117</v>
      </c>
    </row>
    <row r="34" spans="1:24" ht="12.75">
      <c r="A34" s="26" t="s">
        <v>36</v>
      </c>
      <c r="B34" s="29"/>
      <c r="C34" s="8" t="s">
        <v>11</v>
      </c>
      <c r="D34" s="9" t="s">
        <v>37</v>
      </c>
      <c r="E34" s="10">
        <v>0</v>
      </c>
      <c r="F34" s="10">
        <v>0</v>
      </c>
      <c r="G34" s="10">
        <v>0</v>
      </c>
      <c r="H34" s="10">
        <v>0</v>
      </c>
      <c r="I34" s="10">
        <v>85</v>
      </c>
      <c r="J34" s="10">
        <v>96</v>
      </c>
      <c r="K34" s="10">
        <v>21</v>
      </c>
      <c r="L34" s="10">
        <v>0</v>
      </c>
      <c r="M34" s="10">
        <v>0</v>
      </c>
      <c r="N34" s="10">
        <v>104</v>
      </c>
      <c r="O34" s="10">
        <f>(E34+F34+G34+H34+I34+K34+L34+M34+N34+J34)</f>
        <v>306</v>
      </c>
      <c r="P34" s="10">
        <f>(306-O34)</f>
        <v>0</v>
      </c>
      <c r="Q34" s="10">
        <f t="shared" si="5"/>
        <v>85</v>
      </c>
      <c r="R34" s="10">
        <f t="shared" si="6"/>
        <v>117</v>
      </c>
      <c r="S34" s="10">
        <f t="shared" si="7"/>
        <v>104</v>
      </c>
      <c r="T34" s="22">
        <f t="shared" si="8"/>
        <v>0.4497354497354497</v>
      </c>
      <c r="U34" s="22">
        <f t="shared" si="9"/>
        <v>0.5502645502645502</v>
      </c>
      <c r="V34" s="23">
        <f t="shared" si="10"/>
        <v>0.8349206349206348</v>
      </c>
      <c r="W34" s="20">
        <f t="shared" si="11"/>
        <v>189</v>
      </c>
      <c r="X34" s="23">
        <v>0.8349206349206348</v>
      </c>
    </row>
    <row r="35" spans="1:24" ht="12.75">
      <c r="A35" s="27"/>
      <c r="B35" s="30"/>
      <c r="C35" s="8" t="s">
        <v>11</v>
      </c>
      <c r="D35" s="9" t="s">
        <v>38</v>
      </c>
      <c r="E35" s="10">
        <f>1190-15</f>
        <v>1175</v>
      </c>
      <c r="F35" s="10">
        <f>7371-92</f>
        <v>7279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f t="shared" si="4"/>
        <v>8454</v>
      </c>
      <c r="P35" s="10">
        <f>(8454-O35)</f>
        <v>0</v>
      </c>
      <c r="Q35" s="10">
        <f t="shared" si="5"/>
        <v>1175</v>
      </c>
      <c r="R35" s="10">
        <f t="shared" si="6"/>
        <v>0</v>
      </c>
      <c r="S35" s="10">
        <f t="shared" si="7"/>
        <v>7279</v>
      </c>
      <c r="T35" s="22">
        <f t="shared" si="8"/>
        <v>0.13898746155665956</v>
      </c>
      <c r="U35" s="22">
        <f t="shared" si="9"/>
        <v>0.8610125384433405</v>
      </c>
      <c r="V35" s="23">
        <f t="shared" si="10"/>
        <v>0.7416962384669978</v>
      </c>
      <c r="W35" s="20">
        <f t="shared" si="11"/>
        <v>8454</v>
      </c>
      <c r="X35" s="23">
        <v>0.7416962384669978</v>
      </c>
    </row>
    <row r="36" spans="1:24" ht="12.75">
      <c r="A36" s="27"/>
      <c r="B36" s="30"/>
      <c r="C36" s="8" t="s">
        <v>12</v>
      </c>
      <c r="D36" s="9" t="s">
        <v>37</v>
      </c>
      <c r="E36" s="10">
        <v>0</v>
      </c>
      <c r="F36" s="10">
        <v>0</v>
      </c>
      <c r="G36" s="10">
        <v>0</v>
      </c>
      <c r="H36" s="10">
        <v>0</v>
      </c>
      <c r="I36" s="10">
        <v>85</v>
      </c>
      <c r="J36" s="10">
        <v>96</v>
      </c>
      <c r="K36" s="10">
        <v>21</v>
      </c>
      <c r="L36" s="10">
        <v>0</v>
      </c>
      <c r="M36" s="10">
        <v>0</v>
      </c>
      <c r="N36" s="10">
        <v>104</v>
      </c>
      <c r="O36" s="10">
        <f t="shared" si="4"/>
        <v>306</v>
      </c>
      <c r="P36" s="10">
        <f>(306-O36)</f>
        <v>0</v>
      </c>
      <c r="Q36" s="10">
        <f t="shared" si="5"/>
        <v>85</v>
      </c>
      <c r="R36" s="10">
        <f t="shared" si="6"/>
        <v>117</v>
      </c>
      <c r="S36" s="10">
        <f t="shared" si="7"/>
        <v>104</v>
      </c>
      <c r="T36" s="22">
        <f t="shared" si="8"/>
        <v>0.4497354497354497</v>
      </c>
      <c r="U36" s="22">
        <f t="shared" si="9"/>
        <v>0.5502645502645502</v>
      </c>
      <c r="V36" s="23">
        <f t="shared" si="10"/>
        <v>0.8349206349206348</v>
      </c>
      <c r="W36" s="20">
        <f t="shared" si="11"/>
        <v>189</v>
      </c>
      <c r="X36" s="23">
        <v>0.8349206349206348</v>
      </c>
    </row>
    <row r="37" spans="1:24" ht="12.75">
      <c r="A37" s="27"/>
      <c r="B37" s="30"/>
      <c r="C37" s="8" t="s">
        <v>12</v>
      </c>
      <c r="D37" s="9" t="s">
        <v>38</v>
      </c>
      <c r="E37" s="10">
        <f>1190-15</f>
        <v>1175</v>
      </c>
      <c r="F37" s="10">
        <f>7371-92</f>
        <v>7279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f t="shared" si="4"/>
        <v>8454</v>
      </c>
      <c r="P37" s="10">
        <f>(8454-O37)</f>
        <v>0</v>
      </c>
      <c r="Q37" s="10">
        <f t="shared" si="5"/>
        <v>1175</v>
      </c>
      <c r="R37" s="10">
        <f t="shared" si="6"/>
        <v>0</v>
      </c>
      <c r="S37" s="10">
        <f t="shared" si="7"/>
        <v>7279</v>
      </c>
      <c r="T37" s="22">
        <f t="shared" si="8"/>
        <v>0.13898746155665956</v>
      </c>
      <c r="U37" s="22">
        <f t="shared" si="9"/>
        <v>0.8610125384433405</v>
      </c>
      <c r="V37" s="23">
        <f t="shared" si="10"/>
        <v>0.7416962384669978</v>
      </c>
      <c r="W37" s="20">
        <f t="shared" si="11"/>
        <v>8454</v>
      </c>
      <c r="X37" s="23">
        <v>0.7416962384669978</v>
      </c>
    </row>
    <row r="38" spans="1:24" ht="12.75">
      <c r="A38" s="27"/>
      <c r="B38" s="30"/>
      <c r="C38" s="8" t="s">
        <v>14</v>
      </c>
      <c r="D38" s="9" t="s">
        <v>37</v>
      </c>
      <c r="E38" s="10">
        <v>0</v>
      </c>
      <c r="F38" s="10">
        <v>0</v>
      </c>
      <c r="G38" s="10">
        <v>0</v>
      </c>
      <c r="H38" s="10">
        <v>0</v>
      </c>
      <c r="I38" s="10">
        <v>85</v>
      </c>
      <c r="J38" s="10">
        <v>96</v>
      </c>
      <c r="K38" s="10">
        <v>21</v>
      </c>
      <c r="L38" s="10">
        <v>0</v>
      </c>
      <c r="M38" s="10">
        <v>0</v>
      </c>
      <c r="N38" s="10">
        <v>104</v>
      </c>
      <c r="O38" s="10">
        <f t="shared" si="4"/>
        <v>306</v>
      </c>
      <c r="P38" s="10">
        <f>(306-O38)</f>
        <v>0</v>
      </c>
      <c r="Q38" s="10">
        <f t="shared" si="5"/>
        <v>85</v>
      </c>
      <c r="R38" s="10">
        <f t="shared" si="6"/>
        <v>117</v>
      </c>
      <c r="S38" s="10">
        <f t="shared" si="7"/>
        <v>104</v>
      </c>
      <c r="T38" s="22">
        <f t="shared" si="8"/>
        <v>0.4497354497354497</v>
      </c>
      <c r="U38" s="22">
        <f t="shared" si="9"/>
        <v>0.5502645502645502</v>
      </c>
      <c r="V38" s="23">
        <f t="shared" si="10"/>
        <v>0.8349206349206348</v>
      </c>
      <c r="W38" s="20">
        <f t="shared" si="11"/>
        <v>189</v>
      </c>
      <c r="X38" s="23">
        <v>0.8349206349206348</v>
      </c>
    </row>
    <row r="39" spans="1:24" ht="12.75">
      <c r="A39" s="27"/>
      <c r="B39" s="30"/>
      <c r="C39" s="8" t="s">
        <v>14</v>
      </c>
      <c r="D39" s="9" t="s">
        <v>38</v>
      </c>
      <c r="E39" s="10">
        <f>1141-10</f>
        <v>1131</v>
      </c>
      <c r="F39" s="10">
        <f>6115-52</f>
        <v>6063</v>
      </c>
      <c r="G39" s="10">
        <v>0</v>
      </c>
      <c r="H39" s="10">
        <v>360</v>
      </c>
      <c r="I39" s="10">
        <v>0</v>
      </c>
      <c r="J39" s="10">
        <v>0</v>
      </c>
      <c r="K39" s="10">
        <v>0</v>
      </c>
      <c r="L39" s="10">
        <v>0</v>
      </c>
      <c r="M39" s="10">
        <v>900</v>
      </c>
      <c r="N39" s="10">
        <v>0</v>
      </c>
      <c r="O39" s="10">
        <f t="shared" si="4"/>
        <v>8454</v>
      </c>
      <c r="P39" s="10">
        <f>(8454-O39)</f>
        <v>0</v>
      </c>
      <c r="Q39" s="10">
        <f t="shared" si="5"/>
        <v>1491</v>
      </c>
      <c r="R39" s="10">
        <f t="shared" si="6"/>
        <v>0</v>
      </c>
      <c r="S39" s="10">
        <f t="shared" si="7"/>
        <v>6963</v>
      </c>
      <c r="T39" s="22">
        <f t="shared" si="8"/>
        <v>0.17636621717530163</v>
      </c>
      <c r="U39" s="22">
        <f t="shared" si="9"/>
        <v>0.8236337828246983</v>
      </c>
      <c r="V39" s="23">
        <f t="shared" si="10"/>
        <v>0.7529098651525905</v>
      </c>
      <c r="W39" s="20">
        <f t="shared" si="11"/>
        <v>8454</v>
      </c>
      <c r="X39" s="23">
        <v>0.7529098651525905</v>
      </c>
    </row>
    <row r="40" spans="1:24" ht="12.75">
      <c r="A40" s="27"/>
      <c r="B40" s="30"/>
      <c r="C40" s="8" t="s">
        <v>16</v>
      </c>
      <c r="D40" s="9" t="s">
        <v>37</v>
      </c>
      <c r="E40" s="10">
        <v>0</v>
      </c>
      <c r="F40" s="10">
        <v>0</v>
      </c>
      <c r="G40" s="10">
        <v>0</v>
      </c>
      <c r="H40" s="10">
        <v>0</v>
      </c>
      <c r="I40" s="10">
        <v>85</v>
      </c>
      <c r="J40" s="10">
        <v>96</v>
      </c>
      <c r="K40" s="10">
        <v>21</v>
      </c>
      <c r="L40" s="10">
        <v>0</v>
      </c>
      <c r="M40" s="10">
        <v>0</v>
      </c>
      <c r="N40" s="10">
        <v>104</v>
      </c>
      <c r="O40" s="10">
        <f t="shared" si="4"/>
        <v>306</v>
      </c>
      <c r="P40" s="10">
        <f>(306-O40)</f>
        <v>0</v>
      </c>
      <c r="Q40" s="10">
        <f t="shared" si="5"/>
        <v>85</v>
      </c>
      <c r="R40" s="10">
        <f t="shared" si="6"/>
        <v>117</v>
      </c>
      <c r="S40" s="10">
        <f t="shared" si="7"/>
        <v>104</v>
      </c>
      <c r="T40" s="22">
        <f t="shared" si="8"/>
        <v>0.4497354497354497</v>
      </c>
      <c r="U40" s="22">
        <f t="shared" si="9"/>
        <v>0.5502645502645502</v>
      </c>
      <c r="V40" s="23">
        <f t="shared" si="10"/>
        <v>0.8349206349206348</v>
      </c>
      <c r="W40" s="20">
        <f t="shared" si="11"/>
        <v>189</v>
      </c>
      <c r="X40" s="23">
        <v>0.8349206349206348</v>
      </c>
    </row>
    <row r="41" spans="1:24" ht="12.75">
      <c r="A41" s="27"/>
      <c r="B41" s="30"/>
      <c r="C41" s="8" t="s">
        <v>16</v>
      </c>
      <c r="D41" s="9" t="s">
        <v>38</v>
      </c>
      <c r="E41" s="10">
        <f>823+58</f>
        <v>881</v>
      </c>
      <c r="F41" s="10">
        <f>5898+415</f>
        <v>6313</v>
      </c>
      <c r="G41" s="10">
        <v>0</v>
      </c>
      <c r="H41" s="10">
        <v>360</v>
      </c>
      <c r="I41" s="10">
        <v>0</v>
      </c>
      <c r="J41" s="10">
        <v>0</v>
      </c>
      <c r="K41" s="10">
        <v>0</v>
      </c>
      <c r="L41" s="10">
        <v>0</v>
      </c>
      <c r="M41" s="10">
        <v>900</v>
      </c>
      <c r="N41" s="10">
        <v>0</v>
      </c>
      <c r="O41" s="10">
        <f t="shared" si="4"/>
        <v>8454</v>
      </c>
      <c r="P41" s="10">
        <f>(8454-O41)</f>
        <v>0</v>
      </c>
      <c r="Q41" s="10">
        <f t="shared" si="5"/>
        <v>1241</v>
      </c>
      <c r="R41" s="10">
        <f t="shared" si="6"/>
        <v>0</v>
      </c>
      <c r="S41" s="10">
        <f t="shared" si="7"/>
        <v>7213</v>
      </c>
      <c r="T41" s="22">
        <f t="shared" si="8"/>
        <v>0.14679441684409747</v>
      </c>
      <c r="U41" s="22">
        <f t="shared" si="9"/>
        <v>0.8532055831559026</v>
      </c>
      <c r="V41" s="23">
        <f t="shared" si="10"/>
        <v>0.7440383250532292</v>
      </c>
      <c r="W41" s="20">
        <f t="shared" si="11"/>
        <v>8454</v>
      </c>
      <c r="X41" s="23">
        <v>0.7440383250532292</v>
      </c>
    </row>
    <row r="42" spans="1:24" ht="12.75">
      <c r="A42" s="27"/>
      <c r="B42" s="30"/>
      <c r="C42" s="8" t="s">
        <v>18</v>
      </c>
      <c r="D42" s="9" t="s">
        <v>37</v>
      </c>
      <c r="E42" s="10">
        <v>0</v>
      </c>
      <c r="F42" s="10">
        <v>0</v>
      </c>
      <c r="G42" s="10">
        <v>0</v>
      </c>
      <c r="H42" s="10">
        <v>0</v>
      </c>
      <c r="I42" s="10">
        <v>85</v>
      </c>
      <c r="J42" s="10">
        <v>96</v>
      </c>
      <c r="K42" s="10">
        <v>21</v>
      </c>
      <c r="L42" s="10">
        <v>0</v>
      </c>
      <c r="M42" s="10">
        <v>0</v>
      </c>
      <c r="N42" s="10">
        <v>104</v>
      </c>
      <c r="O42" s="10">
        <f t="shared" si="4"/>
        <v>306</v>
      </c>
      <c r="P42" s="10">
        <f>(306-O42)</f>
        <v>0</v>
      </c>
      <c r="Q42" s="10">
        <f t="shared" si="5"/>
        <v>85</v>
      </c>
      <c r="R42" s="10">
        <f t="shared" si="6"/>
        <v>117</v>
      </c>
      <c r="S42" s="10">
        <f t="shared" si="7"/>
        <v>104</v>
      </c>
      <c r="T42" s="22">
        <f t="shared" si="8"/>
        <v>0.4497354497354497</v>
      </c>
      <c r="U42" s="22">
        <f t="shared" si="9"/>
        <v>0.5502645502645502</v>
      </c>
      <c r="V42" s="23">
        <f t="shared" si="10"/>
        <v>0.8349206349206348</v>
      </c>
      <c r="W42" s="20">
        <f t="shared" si="11"/>
        <v>189</v>
      </c>
      <c r="X42" s="23">
        <v>0.8349206349206348</v>
      </c>
    </row>
    <row r="43" spans="1:24" ht="12.75">
      <c r="A43" s="27"/>
      <c r="B43" s="30"/>
      <c r="C43" s="8" t="s">
        <v>18</v>
      </c>
      <c r="D43" s="9" t="s">
        <v>38</v>
      </c>
      <c r="E43" s="10">
        <f>877-25</f>
        <v>852</v>
      </c>
      <c r="F43" s="10">
        <f>5766-164</f>
        <v>5602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f t="shared" si="4"/>
        <v>6454</v>
      </c>
      <c r="P43" s="10">
        <f>(6454-O43)</f>
        <v>0</v>
      </c>
      <c r="Q43" s="10">
        <f t="shared" si="5"/>
        <v>852</v>
      </c>
      <c r="R43" s="10">
        <f t="shared" si="6"/>
        <v>0</v>
      </c>
      <c r="S43" s="10">
        <f t="shared" si="7"/>
        <v>5602</v>
      </c>
      <c r="T43" s="22">
        <f t="shared" si="8"/>
        <v>0.13201115587232723</v>
      </c>
      <c r="U43" s="22">
        <f t="shared" si="9"/>
        <v>0.8679888441276727</v>
      </c>
      <c r="V43" s="23">
        <f t="shared" si="10"/>
        <v>0.7396033467616981</v>
      </c>
      <c r="W43" s="20">
        <f t="shared" si="11"/>
        <v>6454</v>
      </c>
      <c r="X43" s="23">
        <v>0.7396033467616981</v>
      </c>
    </row>
    <row r="44" spans="1:24" ht="12.75">
      <c r="A44" s="27"/>
      <c r="B44" s="30"/>
      <c r="C44" s="8" t="s">
        <v>18</v>
      </c>
      <c r="D44" s="9" t="s">
        <v>35</v>
      </c>
      <c r="E44" s="10">
        <v>0</v>
      </c>
      <c r="F44" s="10">
        <v>0</v>
      </c>
      <c r="G44" s="10">
        <v>200</v>
      </c>
      <c r="H44" s="10">
        <v>0</v>
      </c>
      <c r="I44" s="10">
        <v>0</v>
      </c>
      <c r="J44" s="10">
        <v>0</v>
      </c>
      <c r="K44" s="10">
        <v>0</v>
      </c>
      <c r="L44" s="10">
        <v>200</v>
      </c>
      <c r="M44" s="10">
        <v>0</v>
      </c>
      <c r="N44" s="10">
        <v>0</v>
      </c>
      <c r="O44" s="10">
        <f t="shared" si="4"/>
        <v>400</v>
      </c>
      <c r="P44" s="10">
        <f>(400-O44)</f>
        <v>0</v>
      </c>
      <c r="Q44" s="10">
        <f t="shared" si="5"/>
        <v>200</v>
      </c>
      <c r="R44" s="10">
        <f t="shared" si="6"/>
        <v>0</v>
      </c>
      <c r="S44" s="10">
        <f t="shared" si="7"/>
        <v>200</v>
      </c>
      <c r="T44" s="22">
        <f t="shared" si="8"/>
        <v>0.5</v>
      </c>
      <c r="U44" s="22">
        <f t="shared" si="9"/>
        <v>0.5</v>
      </c>
      <c r="V44" s="23">
        <f t="shared" si="10"/>
        <v>0.85</v>
      </c>
      <c r="W44" s="20">
        <f t="shared" si="11"/>
        <v>400</v>
      </c>
      <c r="X44" s="23">
        <v>0.85</v>
      </c>
    </row>
    <row r="45" spans="1:24" ht="12.75">
      <c r="A45" s="27"/>
      <c r="B45" s="30"/>
      <c r="C45" s="8" t="s">
        <v>18</v>
      </c>
      <c r="D45" s="9" t="s">
        <v>39</v>
      </c>
      <c r="E45" s="10">
        <v>0</v>
      </c>
      <c r="F45" s="10">
        <v>0</v>
      </c>
      <c r="G45" s="10">
        <v>250</v>
      </c>
      <c r="H45" s="10">
        <v>0</v>
      </c>
      <c r="I45" s="10">
        <v>0</v>
      </c>
      <c r="J45" s="10">
        <v>0</v>
      </c>
      <c r="K45" s="10">
        <v>0</v>
      </c>
      <c r="L45" s="10">
        <v>1350</v>
      </c>
      <c r="M45" s="10">
        <v>0</v>
      </c>
      <c r="N45" s="10">
        <v>0</v>
      </c>
      <c r="O45" s="10">
        <f t="shared" si="4"/>
        <v>1600</v>
      </c>
      <c r="P45" s="10">
        <f>(1600-O45)</f>
        <v>0</v>
      </c>
      <c r="Q45" s="10">
        <f t="shared" si="5"/>
        <v>250</v>
      </c>
      <c r="R45" s="10">
        <f t="shared" si="6"/>
        <v>0</v>
      </c>
      <c r="S45" s="10">
        <f t="shared" si="7"/>
        <v>1350</v>
      </c>
      <c r="T45" s="22">
        <f t="shared" si="8"/>
        <v>0.15625</v>
      </c>
      <c r="U45" s="22">
        <f t="shared" si="9"/>
        <v>0.84375</v>
      </c>
      <c r="V45" s="23">
        <f t="shared" si="10"/>
        <v>0.746875</v>
      </c>
      <c r="W45" s="20">
        <f t="shared" si="11"/>
        <v>1600</v>
      </c>
      <c r="X45" s="23">
        <v>0.746875</v>
      </c>
    </row>
    <row r="46" spans="1:24" ht="12.75">
      <c r="A46" s="27"/>
      <c r="B46" s="30"/>
      <c r="C46" s="8" t="s">
        <v>19</v>
      </c>
      <c r="D46" s="9" t="s">
        <v>37</v>
      </c>
      <c r="E46" s="10">
        <v>0</v>
      </c>
      <c r="F46" s="10">
        <v>0</v>
      </c>
      <c r="G46" s="10">
        <v>0</v>
      </c>
      <c r="H46" s="10">
        <v>0</v>
      </c>
      <c r="I46" s="10">
        <v>85</v>
      </c>
      <c r="J46" s="10">
        <v>96</v>
      </c>
      <c r="K46" s="10">
        <v>21</v>
      </c>
      <c r="L46" s="10">
        <v>0</v>
      </c>
      <c r="M46" s="10">
        <v>0</v>
      </c>
      <c r="N46" s="10">
        <v>104</v>
      </c>
      <c r="O46" s="10">
        <f t="shared" si="4"/>
        <v>306</v>
      </c>
      <c r="P46" s="10">
        <f>(306-O46)</f>
        <v>0</v>
      </c>
      <c r="Q46" s="10">
        <f t="shared" si="5"/>
        <v>85</v>
      </c>
      <c r="R46" s="10">
        <f t="shared" si="6"/>
        <v>117</v>
      </c>
      <c r="S46" s="10">
        <f t="shared" si="7"/>
        <v>104</v>
      </c>
      <c r="T46" s="22">
        <f t="shared" si="8"/>
        <v>0.4497354497354497</v>
      </c>
      <c r="U46" s="22">
        <f t="shared" si="9"/>
        <v>0.5502645502645502</v>
      </c>
      <c r="V46" s="23">
        <f t="shared" si="10"/>
        <v>0.8349206349206348</v>
      </c>
      <c r="W46" s="20">
        <f t="shared" si="11"/>
        <v>189</v>
      </c>
      <c r="X46" s="23">
        <v>0.8349206349206348</v>
      </c>
    </row>
    <row r="47" spans="1:24" ht="12.75">
      <c r="A47" s="28"/>
      <c r="B47" s="31"/>
      <c r="C47" s="8" t="s">
        <v>19</v>
      </c>
      <c r="D47" s="9" t="s">
        <v>38</v>
      </c>
      <c r="E47" s="10">
        <f>877+239</f>
        <v>1116</v>
      </c>
      <c r="F47" s="10">
        <f>5766+1572</f>
        <v>7338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4"/>
        <v>8454</v>
      </c>
      <c r="P47" s="10">
        <f>(8454-O47)</f>
        <v>0</v>
      </c>
      <c r="Q47" s="10">
        <f t="shared" si="5"/>
        <v>1116</v>
      </c>
      <c r="R47" s="10">
        <f t="shared" si="6"/>
        <v>0</v>
      </c>
      <c r="S47" s="10">
        <f t="shared" si="7"/>
        <v>7338</v>
      </c>
      <c r="T47" s="22">
        <f t="shared" si="8"/>
        <v>0.1320085166784954</v>
      </c>
      <c r="U47" s="22">
        <f t="shared" si="9"/>
        <v>0.8679914833215047</v>
      </c>
      <c r="V47" s="23">
        <f t="shared" si="10"/>
        <v>0.7396025550035485</v>
      </c>
      <c r="W47" s="20">
        <f t="shared" si="11"/>
        <v>8454</v>
      </c>
      <c r="X47" s="23">
        <v>0.7396025550035485</v>
      </c>
    </row>
    <row r="48" spans="1:24" ht="12.75">
      <c r="A48" s="26" t="s">
        <v>40</v>
      </c>
      <c r="B48" s="26"/>
      <c r="C48" s="8" t="s">
        <v>11</v>
      </c>
      <c r="D48" s="9" t="s">
        <v>41</v>
      </c>
      <c r="E48" s="10">
        <f>1190-15</f>
        <v>1175</v>
      </c>
      <c r="F48" s="10">
        <f>7371-92</f>
        <v>7279</v>
      </c>
      <c r="G48" s="10">
        <v>0</v>
      </c>
      <c r="H48" s="10">
        <v>0</v>
      </c>
      <c r="I48" s="10">
        <v>85</v>
      </c>
      <c r="J48" s="10">
        <v>96</v>
      </c>
      <c r="K48" s="10">
        <v>21</v>
      </c>
      <c r="L48" s="10">
        <v>0</v>
      </c>
      <c r="M48" s="10">
        <v>0</v>
      </c>
      <c r="N48" s="10">
        <v>104</v>
      </c>
      <c r="O48" s="10">
        <f>(E48+F48+G48+H48+I48+K48+L48+M48+N48+J48)</f>
        <v>8760</v>
      </c>
      <c r="P48" s="10">
        <f>(8760-O48)</f>
        <v>0</v>
      </c>
      <c r="Q48" s="10">
        <f t="shared" si="5"/>
        <v>1260</v>
      </c>
      <c r="R48" s="10">
        <f t="shared" si="6"/>
        <v>117</v>
      </c>
      <c r="S48" s="10">
        <f t="shared" si="7"/>
        <v>7383</v>
      </c>
      <c r="T48" s="22">
        <f t="shared" si="8"/>
        <v>0.14578271433530024</v>
      </c>
      <c r="U48" s="22">
        <f t="shared" si="9"/>
        <v>0.8542172856646998</v>
      </c>
      <c r="V48" s="23">
        <f t="shared" si="10"/>
        <v>0.7437348143005901</v>
      </c>
      <c r="W48" s="20">
        <f t="shared" si="11"/>
        <v>8643</v>
      </c>
      <c r="X48" s="23">
        <v>0.7437348143005901</v>
      </c>
    </row>
    <row r="49" spans="1:24" ht="12.75">
      <c r="A49" s="27"/>
      <c r="B49" s="27"/>
      <c r="C49" s="8" t="s">
        <v>12</v>
      </c>
      <c r="D49" s="9" t="s">
        <v>41</v>
      </c>
      <c r="E49" s="10">
        <f>1190-15</f>
        <v>1175</v>
      </c>
      <c r="F49" s="10">
        <f>7371-92</f>
        <v>7279</v>
      </c>
      <c r="G49" s="10">
        <v>0</v>
      </c>
      <c r="H49" s="10">
        <v>0</v>
      </c>
      <c r="I49" s="10">
        <v>85</v>
      </c>
      <c r="J49" s="10">
        <v>96</v>
      </c>
      <c r="K49" s="10">
        <v>21</v>
      </c>
      <c r="L49" s="10">
        <v>0</v>
      </c>
      <c r="M49" s="10">
        <v>0</v>
      </c>
      <c r="N49" s="10">
        <v>104</v>
      </c>
      <c r="O49" s="10">
        <f>(E49+F49+G49+H49+I49+K49+L49+M49+N49+J49)</f>
        <v>8760</v>
      </c>
      <c r="P49" s="10">
        <f>(8760-O49)</f>
        <v>0</v>
      </c>
      <c r="Q49" s="10">
        <f t="shared" si="5"/>
        <v>1260</v>
      </c>
      <c r="R49" s="10">
        <f t="shared" si="6"/>
        <v>117</v>
      </c>
      <c r="S49" s="10">
        <f t="shared" si="7"/>
        <v>7383</v>
      </c>
      <c r="T49" s="22">
        <f t="shared" si="8"/>
        <v>0.14578271433530024</v>
      </c>
      <c r="U49" s="22">
        <f t="shared" si="9"/>
        <v>0.8542172856646998</v>
      </c>
      <c r="V49" s="23">
        <f t="shared" si="10"/>
        <v>0.7437348143005901</v>
      </c>
      <c r="W49" s="20">
        <f t="shared" si="11"/>
        <v>8643</v>
      </c>
      <c r="X49" s="23">
        <v>0.7437348143005901</v>
      </c>
    </row>
    <row r="50" spans="1:24" ht="12.75">
      <c r="A50" s="27"/>
      <c r="B50" s="27"/>
      <c r="C50" s="8" t="s">
        <v>14</v>
      </c>
      <c r="D50" s="9" t="s">
        <v>41</v>
      </c>
      <c r="E50" s="10">
        <f>1141-10</f>
        <v>1131</v>
      </c>
      <c r="F50" s="10">
        <f>6115-52</f>
        <v>6063</v>
      </c>
      <c r="G50" s="10">
        <v>0</v>
      </c>
      <c r="H50" s="10">
        <v>360</v>
      </c>
      <c r="I50" s="10">
        <v>85</v>
      </c>
      <c r="J50" s="10">
        <v>96</v>
      </c>
      <c r="K50" s="10">
        <v>21</v>
      </c>
      <c r="L50" s="10">
        <v>0</v>
      </c>
      <c r="M50" s="10">
        <v>900</v>
      </c>
      <c r="N50" s="10">
        <v>104</v>
      </c>
      <c r="O50" s="10">
        <f>(E50+F50+G50+H50+I50+K50+L50+M50+N50+J50)</f>
        <v>8760</v>
      </c>
      <c r="P50" s="10">
        <f>(8760-O50)</f>
        <v>0</v>
      </c>
      <c r="Q50" s="10">
        <f t="shared" si="5"/>
        <v>1576</v>
      </c>
      <c r="R50" s="10">
        <f t="shared" si="6"/>
        <v>117</v>
      </c>
      <c r="S50" s="10">
        <f t="shared" si="7"/>
        <v>7067</v>
      </c>
      <c r="T50" s="22">
        <f t="shared" si="8"/>
        <v>0.1823440934860581</v>
      </c>
      <c r="U50" s="22">
        <f t="shared" si="9"/>
        <v>0.8176559065139419</v>
      </c>
      <c r="V50" s="23">
        <f t="shared" si="10"/>
        <v>0.7547032280458174</v>
      </c>
      <c r="W50" s="20">
        <f t="shared" si="11"/>
        <v>8643</v>
      </c>
      <c r="X50" s="23">
        <v>0.7547032280458174</v>
      </c>
    </row>
    <row r="51" spans="1:24" ht="12.75">
      <c r="A51" s="27"/>
      <c r="B51" s="27"/>
      <c r="C51" s="8" t="s">
        <v>16</v>
      </c>
      <c r="D51" s="9" t="s">
        <v>41</v>
      </c>
      <c r="E51" s="10">
        <f>823+58</f>
        <v>881</v>
      </c>
      <c r="F51" s="10">
        <f>5898+415</f>
        <v>6313</v>
      </c>
      <c r="G51" s="10">
        <v>0</v>
      </c>
      <c r="H51" s="10">
        <v>360</v>
      </c>
      <c r="I51" s="10">
        <v>85</v>
      </c>
      <c r="J51" s="10">
        <v>96</v>
      </c>
      <c r="K51" s="10">
        <v>21</v>
      </c>
      <c r="L51" s="10">
        <v>0</v>
      </c>
      <c r="M51" s="10">
        <v>900</v>
      </c>
      <c r="N51" s="10">
        <v>104</v>
      </c>
      <c r="O51" s="10">
        <f t="shared" si="4"/>
        <v>8760</v>
      </c>
      <c r="P51" s="10">
        <f>8760-O51</f>
        <v>0</v>
      </c>
      <c r="Q51" s="10">
        <f t="shared" si="5"/>
        <v>1326</v>
      </c>
      <c r="R51" s="10">
        <f t="shared" si="6"/>
        <v>117</v>
      </c>
      <c r="S51" s="10">
        <f t="shared" si="7"/>
        <v>7317</v>
      </c>
      <c r="T51" s="22">
        <f t="shared" si="8"/>
        <v>0.1534189517528636</v>
      </c>
      <c r="U51" s="22">
        <f t="shared" si="9"/>
        <v>0.8465810482471364</v>
      </c>
      <c r="V51" s="23">
        <f t="shared" si="10"/>
        <v>0.746025685525859</v>
      </c>
      <c r="W51" s="20">
        <f t="shared" si="11"/>
        <v>8643</v>
      </c>
      <c r="X51" s="23">
        <v>0.746025685525859</v>
      </c>
    </row>
    <row r="52" spans="1:24" ht="12.75">
      <c r="A52" s="27"/>
      <c r="B52" s="27"/>
      <c r="C52" s="8" t="s">
        <v>18</v>
      </c>
      <c r="D52" s="9" t="s">
        <v>41</v>
      </c>
      <c r="E52" s="10">
        <f>877-25</f>
        <v>852</v>
      </c>
      <c r="F52" s="10">
        <f>5766-164</f>
        <v>5602</v>
      </c>
      <c r="G52" s="10">
        <v>0</v>
      </c>
      <c r="H52" s="10">
        <v>0</v>
      </c>
      <c r="I52" s="10">
        <v>85</v>
      </c>
      <c r="J52" s="10">
        <v>96</v>
      </c>
      <c r="K52" s="10">
        <v>21</v>
      </c>
      <c r="L52" s="10">
        <v>0</v>
      </c>
      <c r="M52" s="10">
        <v>0</v>
      </c>
      <c r="N52" s="10">
        <v>104</v>
      </c>
      <c r="O52" s="10">
        <f>(E52+F52+G52+H52+I52+K52+L52+M52+N52+J52)</f>
        <v>6760</v>
      </c>
      <c r="P52" s="10">
        <f>6760-O52</f>
        <v>0</v>
      </c>
      <c r="Q52" s="10">
        <f t="shared" si="5"/>
        <v>937</v>
      </c>
      <c r="R52" s="10">
        <f t="shared" si="6"/>
        <v>117</v>
      </c>
      <c r="S52" s="10">
        <f t="shared" si="7"/>
        <v>5706</v>
      </c>
      <c r="T52" s="22">
        <f t="shared" si="8"/>
        <v>0.14105073009182598</v>
      </c>
      <c r="U52" s="22">
        <f t="shared" si="9"/>
        <v>0.858949269908174</v>
      </c>
      <c r="V52" s="23">
        <f t="shared" si="10"/>
        <v>0.7423152190275477</v>
      </c>
      <c r="W52" s="20">
        <f t="shared" si="11"/>
        <v>6643</v>
      </c>
      <c r="X52" s="23">
        <v>0.7423152190275477</v>
      </c>
    </row>
    <row r="53" spans="1:24" ht="12.75">
      <c r="A53" s="27"/>
      <c r="B53" s="27"/>
      <c r="C53" s="8" t="s">
        <v>18</v>
      </c>
      <c r="D53" s="9" t="s">
        <v>35</v>
      </c>
      <c r="E53" s="10">
        <v>0</v>
      </c>
      <c r="F53" s="10">
        <v>0</v>
      </c>
      <c r="G53" s="10">
        <v>2000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si="4"/>
        <v>2000</v>
      </c>
      <c r="P53" s="10">
        <f>2000-O53</f>
        <v>0</v>
      </c>
      <c r="Q53" s="10">
        <f t="shared" si="5"/>
        <v>2000</v>
      </c>
      <c r="R53" s="10">
        <f t="shared" si="6"/>
        <v>0</v>
      </c>
      <c r="S53" s="10">
        <f t="shared" si="7"/>
        <v>0</v>
      </c>
      <c r="T53" s="22">
        <f t="shared" si="8"/>
        <v>1</v>
      </c>
      <c r="U53" s="22">
        <f t="shared" si="9"/>
        <v>0</v>
      </c>
      <c r="V53" s="23">
        <f t="shared" si="10"/>
        <v>1</v>
      </c>
      <c r="W53" s="20">
        <f t="shared" si="11"/>
        <v>2000</v>
      </c>
      <c r="X53" s="23">
        <v>1</v>
      </c>
    </row>
    <row r="54" spans="1:24" ht="12.75">
      <c r="A54" s="28"/>
      <c r="B54" s="28"/>
      <c r="C54" s="8" t="s">
        <v>19</v>
      </c>
      <c r="D54" s="9" t="s">
        <v>41</v>
      </c>
      <c r="E54" s="10">
        <f>877+239</f>
        <v>1116</v>
      </c>
      <c r="F54" s="10">
        <f>5766+1572</f>
        <v>7338</v>
      </c>
      <c r="G54" s="10">
        <v>0</v>
      </c>
      <c r="H54" s="10">
        <v>0</v>
      </c>
      <c r="I54" s="10">
        <v>85</v>
      </c>
      <c r="J54" s="10">
        <v>96</v>
      </c>
      <c r="K54" s="10">
        <v>21</v>
      </c>
      <c r="L54" s="10">
        <v>0</v>
      </c>
      <c r="M54" s="10">
        <v>0</v>
      </c>
      <c r="N54" s="10">
        <v>104</v>
      </c>
      <c r="O54" s="10">
        <f t="shared" si="4"/>
        <v>8760</v>
      </c>
      <c r="P54" s="10">
        <f aca="true" t="shared" si="13" ref="P54:P60">8760-O54</f>
        <v>0</v>
      </c>
      <c r="Q54" s="10">
        <f t="shared" si="5"/>
        <v>1201</v>
      </c>
      <c r="R54" s="10">
        <f t="shared" si="6"/>
        <v>117</v>
      </c>
      <c r="S54" s="10">
        <f t="shared" si="7"/>
        <v>7442</v>
      </c>
      <c r="T54" s="22">
        <f t="shared" si="8"/>
        <v>0.13895638088626636</v>
      </c>
      <c r="U54" s="22">
        <f t="shared" si="9"/>
        <v>0.8610436191137336</v>
      </c>
      <c r="V54" s="23">
        <f t="shared" si="10"/>
        <v>0.7416869142658798</v>
      </c>
      <c r="W54" s="20">
        <f t="shared" si="11"/>
        <v>8643</v>
      </c>
      <c r="X54" s="23">
        <v>0.7416869142658798</v>
      </c>
    </row>
    <row r="55" spans="1:24" ht="12.75">
      <c r="A55" s="26" t="s">
        <v>42</v>
      </c>
      <c r="B55" s="26"/>
      <c r="C55" s="8" t="s">
        <v>11</v>
      </c>
      <c r="D55" s="9" t="s">
        <v>37</v>
      </c>
      <c r="E55" s="10">
        <f>1190-28</f>
        <v>1162</v>
      </c>
      <c r="F55" s="10">
        <f>7371-175</f>
        <v>7196</v>
      </c>
      <c r="G55" s="10">
        <v>0</v>
      </c>
      <c r="H55" s="10">
        <v>0</v>
      </c>
      <c r="I55" s="10">
        <v>85</v>
      </c>
      <c r="J55" s="10">
        <v>192</v>
      </c>
      <c r="K55" s="10">
        <v>21</v>
      </c>
      <c r="L55" s="10">
        <v>0</v>
      </c>
      <c r="M55" s="10">
        <v>0</v>
      </c>
      <c r="N55" s="10">
        <v>104</v>
      </c>
      <c r="O55" s="10">
        <f t="shared" si="4"/>
        <v>8760</v>
      </c>
      <c r="P55" s="10">
        <f t="shared" si="13"/>
        <v>0</v>
      </c>
      <c r="Q55" s="10">
        <f t="shared" si="5"/>
        <v>1247</v>
      </c>
      <c r="R55" s="10">
        <f t="shared" si="6"/>
        <v>213</v>
      </c>
      <c r="S55" s="10">
        <f t="shared" si="7"/>
        <v>7300</v>
      </c>
      <c r="T55" s="22">
        <f t="shared" si="8"/>
        <v>0.1458991458991459</v>
      </c>
      <c r="U55" s="22">
        <f t="shared" si="9"/>
        <v>0.8541008541008541</v>
      </c>
      <c r="V55" s="23">
        <f t="shared" si="10"/>
        <v>0.7437697437697437</v>
      </c>
      <c r="W55" s="20">
        <f t="shared" si="11"/>
        <v>8547</v>
      </c>
      <c r="X55" s="23">
        <v>0.7437697437697437</v>
      </c>
    </row>
    <row r="56" spans="1:24" ht="12.75">
      <c r="A56" s="27"/>
      <c r="B56" s="27"/>
      <c r="C56" s="8" t="s">
        <v>12</v>
      </c>
      <c r="D56" s="9" t="s">
        <v>37</v>
      </c>
      <c r="E56" s="10">
        <f>1190-28</f>
        <v>1162</v>
      </c>
      <c r="F56" s="10">
        <f>7371-175</f>
        <v>7196</v>
      </c>
      <c r="G56" s="10">
        <v>0</v>
      </c>
      <c r="H56" s="10">
        <v>0</v>
      </c>
      <c r="I56" s="10">
        <v>85</v>
      </c>
      <c r="J56" s="10">
        <v>192</v>
      </c>
      <c r="K56" s="10">
        <v>21</v>
      </c>
      <c r="L56" s="10">
        <v>0</v>
      </c>
      <c r="M56" s="10">
        <v>0</v>
      </c>
      <c r="N56" s="10">
        <v>104</v>
      </c>
      <c r="O56" s="10">
        <f t="shared" si="4"/>
        <v>8760</v>
      </c>
      <c r="P56" s="10">
        <f t="shared" si="13"/>
        <v>0</v>
      </c>
      <c r="Q56" s="10">
        <f t="shared" si="5"/>
        <v>1247</v>
      </c>
      <c r="R56" s="10">
        <f t="shared" si="6"/>
        <v>213</v>
      </c>
      <c r="S56" s="10">
        <f t="shared" si="7"/>
        <v>7300</v>
      </c>
      <c r="T56" s="22">
        <f t="shared" si="8"/>
        <v>0.1458991458991459</v>
      </c>
      <c r="U56" s="22">
        <f t="shared" si="9"/>
        <v>0.8541008541008541</v>
      </c>
      <c r="V56" s="23">
        <f t="shared" si="10"/>
        <v>0.7437697437697437</v>
      </c>
      <c r="W56" s="20">
        <f t="shared" si="11"/>
        <v>8547</v>
      </c>
      <c r="X56" s="23">
        <v>0.7437697437697437</v>
      </c>
    </row>
    <row r="57" spans="1:24" ht="12.75">
      <c r="A57" s="27"/>
      <c r="B57" s="27"/>
      <c r="C57" s="8" t="s">
        <v>14</v>
      </c>
      <c r="D57" s="9" t="s">
        <v>37</v>
      </c>
      <c r="E57" s="10">
        <f>1141-25</f>
        <v>1116</v>
      </c>
      <c r="F57" s="10">
        <f>6115-133</f>
        <v>5982</v>
      </c>
      <c r="G57" s="10">
        <v>0</v>
      </c>
      <c r="H57" s="10">
        <v>360</v>
      </c>
      <c r="I57" s="10">
        <v>85</v>
      </c>
      <c r="J57" s="10">
        <v>192</v>
      </c>
      <c r="K57" s="10">
        <v>21</v>
      </c>
      <c r="L57" s="10">
        <v>0</v>
      </c>
      <c r="M57" s="10">
        <v>900</v>
      </c>
      <c r="N57" s="10">
        <v>104</v>
      </c>
      <c r="O57" s="10">
        <f t="shared" si="4"/>
        <v>8760</v>
      </c>
      <c r="P57" s="10">
        <f t="shared" si="13"/>
        <v>0</v>
      </c>
      <c r="Q57" s="10">
        <f t="shared" si="5"/>
        <v>1561</v>
      </c>
      <c r="R57" s="10">
        <f t="shared" si="6"/>
        <v>213</v>
      </c>
      <c r="S57" s="10">
        <f t="shared" si="7"/>
        <v>6986</v>
      </c>
      <c r="T57" s="22">
        <f t="shared" si="8"/>
        <v>0.18263718263718265</v>
      </c>
      <c r="U57" s="22">
        <f t="shared" si="9"/>
        <v>0.8173628173628174</v>
      </c>
      <c r="V57" s="23">
        <f t="shared" si="10"/>
        <v>0.7547911547911548</v>
      </c>
      <c r="W57" s="20">
        <f t="shared" si="11"/>
        <v>8547</v>
      </c>
      <c r="X57" s="23">
        <v>0.7547911547911548</v>
      </c>
    </row>
    <row r="58" spans="1:24" ht="12.75">
      <c r="A58" s="27"/>
      <c r="B58" s="27"/>
      <c r="C58" s="8" t="s">
        <v>16</v>
      </c>
      <c r="D58" s="9" t="s">
        <v>37</v>
      </c>
      <c r="E58" s="10">
        <f>823+46</f>
        <v>869</v>
      </c>
      <c r="F58" s="10">
        <f>5898+331</f>
        <v>6229</v>
      </c>
      <c r="G58" s="10">
        <v>0</v>
      </c>
      <c r="H58" s="10">
        <v>360</v>
      </c>
      <c r="I58" s="10">
        <v>85</v>
      </c>
      <c r="J58" s="10">
        <v>192</v>
      </c>
      <c r="K58" s="10">
        <v>21</v>
      </c>
      <c r="L58" s="10">
        <v>0</v>
      </c>
      <c r="M58" s="10">
        <v>900</v>
      </c>
      <c r="N58" s="10">
        <v>104</v>
      </c>
      <c r="O58" s="10">
        <f t="shared" si="4"/>
        <v>8760</v>
      </c>
      <c r="P58" s="10">
        <f t="shared" si="13"/>
        <v>0</v>
      </c>
      <c r="Q58" s="10">
        <f t="shared" si="5"/>
        <v>1314</v>
      </c>
      <c r="R58" s="10">
        <f t="shared" si="6"/>
        <v>213</v>
      </c>
      <c r="S58" s="10">
        <f t="shared" si="7"/>
        <v>7233</v>
      </c>
      <c r="T58" s="22">
        <f t="shared" si="8"/>
        <v>0.15373815373815375</v>
      </c>
      <c r="U58" s="22">
        <f t="shared" si="9"/>
        <v>0.8462618462618463</v>
      </c>
      <c r="V58" s="23">
        <f t="shared" si="10"/>
        <v>0.746121446121446</v>
      </c>
      <c r="W58" s="20">
        <f t="shared" si="11"/>
        <v>8547</v>
      </c>
      <c r="X58" s="23">
        <v>0.746121446121446</v>
      </c>
    </row>
    <row r="59" spans="1:24" ht="12.75">
      <c r="A59" s="27"/>
      <c r="B59" s="27"/>
      <c r="C59" s="8" t="s">
        <v>18</v>
      </c>
      <c r="D59" s="9" t="s">
        <v>37</v>
      </c>
      <c r="E59" s="10">
        <f>877-38</f>
        <v>839</v>
      </c>
      <c r="F59" s="10">
        <f>5766-247</f>
        <v>5519</v>
      </c>
      <c r="G59" s="10">
        <v>250</v>
      </c>
      <c r="H59" s="10">
        <v>0</v>
      </c>
      <c r="I59" s="10">
        <v>85</v>
      </c>
      <c r="J59" s="10">
        <v>192</v>
      </c>
      <c r="K59" s="10">
        <v>21</v>
      </c>
      <c r="L59" s="10">
        <v>1750</v>
      </c>
      <c r="M59" s="10">
        <v>0</v>
      </c>
      <c r="N59" s="10">
        <v>104</v>
      </c>
      <c r="O59" s="10">
        <f t="shared" si="4"/>
        <v>8760</v>
      </c>
      <c r="P59" s="10">
        <f t="shared" si="13"/>
        <v>0</v>
      </c>
      <c r="Q59" s="10">
        <f t="shared" si="5"/>
        <v>1174</v>
      </c>
      <c r="R59" s="10">
        <f t="shared" si="6"/>
        <v>213</v>
      </c>
      <c r="S59" s="10">
        <f t="shared" si="7"/>
        <v>7373</v>
      </c>
      <c r="T59" s="22">
        <f t="shared" si="8"/>
        <v>0.13735813735813734</v>
      </c>
      <c r="U59" s="22">
        <f t="shared" si="9"/>
        <v>0.8626418626418626</v>
      </c>
      <c r="V59" s="23">
        <f t="shared" si="10"/>
        <v>0.7412074412074412</v>
      </c>
      <c r="W59" s="20">
        <f t="shared" si="11"/>
        <v>8547</v>
      </c>
      <c r="X59" s="23">
        <v>0.7412074412074412</v>
      </c>
    </row>
    <row r="60" spans="1:24" ht="12.75">
      <c r="A60" s="28"/>
      <c r="B60" s="28"/>
      <c r="C60" s="8" t="s">
        <v>19</v>
      </c>
      <c r="D60" s="9" t="s">
        <v>37</v>
      </c>
      <c r="E60" s="10">
        <f>877+226</f>
        <v>1103</v>
      </c>
      <c r="F60" s="10">
        <f>5766+1489</f>
        <v>7255</v>
      </c>
      <c r="G60" s="10">
        <v>0</v>
      </c>
      <c r="H60" s="10">
        <v>0</v>
      </c>
      <c r="I60" s="10">
        <v>85</v>
      </c>
      <c r="J60" s="10">
        <v>192</v>
      </c>
      <c r="K60" s="10">
        <v>21</v>
      </c>
      <c r="L60" s="10">
        <v>0</v>
      </c>
      <c r="M60" s="10">
        <v>0</v>
      </c>
      <c r="N60" s="10">
        <v>104</v>
      </c>
      <c r="O60" s="10">
        <f>(E60+F60+G60+H60+I60+K60+L60+M60+N60+J60)</f>
        <v>8760</v>
      </c>
      <c r="P60" s="10">
        <f t="shared" si="13"/>
        <v>0</v>
      </c>
      <c r="Q60" s="10">
        <f t="shared" si="5"/>
        <v>1188</v>
      </c>
      <c r="R60" s="10">
        <f t="shared" si="6"/>
        <v>213</v>
      </c>
      <c r="S60" s="10">
        <f t="shared" si="7"/>
        <v>7359</v>
      </c>
      <c r="T60" s="22">
        <f t="shared" si="8"/>
        <v>0.138996138996139</v>
      </c>
      <c r="U60" s="22">
        <f t="shared" si="9"/>
        <v>0.861003861003861</v>
      </c>
      <c r="V60" s="23">
        <f t="shared" si="10"/>
        <v>0.7416988416988417</v>
      </c>
      <c r="W60" s="20">
        <f t="shared" si="11"/>
        <v>8547</v>
      </c>
      <c r="X60" s="23">
        <v>0.7416988416988417</v>
      </c>
    </row>
    <row r="61" spans="1:24" ht="12.75">
      <c r="A61" s="26" t="s">
        <v>43</v>
      </c>
      <c r="B61" s="26"/>
      <c r="C61" s="8" t="s">
        <v>11</v>
      </c>
      <c r="D61" s="9" t="s">
        <v>44</v>
      </c>
      <c r="E61" s="10">
        <f>595-1</f>
        <v>594</v>
      </c>
      <c r="F61" s="10">
        <f>3686-5</f>
        <v>3681</v>
      </c>
      <c r="G61" s="10">
        <v>0</v>
      </c>
      <c r="H61" s="10">
        <v>0</v>
      </c>
      <c r="I61" s="10">
        <f aca="true" t="shared" si="14" ref="I61:I66">(85/2)</f>
        <v>42.5</v>
      </c>
      <c r="J61" s="10">
        <v>0</v>
      </c>
      <c r="K61" s="10">
        <f aca="true" t="shared" si="15" ref="K61:K66">(21/2)</f>
        <v>10.5</v>
      </c>
      <c r="L61" s="10">
        <v>0</v>
      </c>
      <c r="M61" s="10">
        <v>0</v>
      </c>
      <c r="N61" s="10">
        <f aca="true" t="shared" si="16" ref="N61:N66">(104/2)</f>
        <v>52</v>
      </c>
      <c r="O61" s="10">
        <f>(E61+F61+G61+H61+I61+K61+L61+M61+N61+J61)</f>
        <v>4380</v>
      </c>
      <c r="P61" s="10">
        <f aca="true" t="shared" si="17" ref="P61:P66">4380-O61</f>
        <v>0</v>
      </c>
      <c r="Q61" s="10">
        <f t="shared" si="5"/>
        <v>636.5</v>
      </c>
      <c r="R61" s="10">
        <f t="shared" si="6"/>
        <v>10.5</v>
      </c>
      <c r="S61" s="10">
        <f>F61+L61+M61+N61</f>
        <v>3733</v>
      </c>
      <c r="T61" s="22">
        <f t="shared" si="8"/>
        <v>0.14566884082847006</v>
      </c>
      <c r="U61" s="22">
        <f t="shared" si="9"/>
        <v>0.8543311591715299</v>
      </c>
      <c r="V61" s="23">
        <f t="shared" si="10"/>
        <v>0.743700652248541</v>
      </c>
      <c r="W61" s="20">
        <f t="shared" si="11"/>
        <v>4369.5</v>
      </c>
      <c r="X61" s="23">
        <v>0.743700652248541</v>
      </c>
    </row>
    <row r="62" spans="1:24" ht="12.75">
      <c r="A62" s="27"/>
      <c r="B62" s="27"/>
      <c r="C62" s="8" t="s">
        <v>12</v>
      </c>
      <c r="D62" s="9" t="s">
        <v>44</v>
      </c>
      <c r="E62" s="10">
        <f>595-1</f>
        <v>594</v>
      </c>
      <c r="F62" s="10">
        <f>3686-5</f>
        <v>3681</v>
      </c>
      <c r="G62" s="10">
        <v>0</v>
      </c>
      <c r="H62" s="10">
        <v>0</v>
      </c>
      <c r="I62" s="10">
        <f t="shared" si="14"/>
        <v>42.5</v>
      </c>
      <c r="J62" s="10">
        <v>0</v>
      </c>
      <c r="K62" s="10">
        <f t="shared" si="15"/>
        <v>10.5</v>
      </c>
      <c r="L62" s="10">
        <v>0</v>
      </c>
      <c r="M62" s="10">
        <v>0</v>
      </c>
      <c r="N62" s="10">
        <f t="shared" si="16"/>
        <v>52</v>
      </c>
      <c r="O62" s="10">
        <f t="shared" si="4"/>
        <v>4380</v>
      </c>
      <c r="P62" s="10">
        <f t="shared" si="17"/>
        <v>0</v>
      </c>
      <c r="Q62" s="10">
        <f t="shared" si="5"/>
        <v>636.5</v>
      </c>
      <c r="R62" s="10">
        <f t="shared" si="6"/>
        <v>10.5</v>
      </c>
      <c r="S62" s="10">
        <f>F62+L62+M62+N62</f>
        <v>3733</v>
      </c>
      <c r="T62" s="22">
        <f t="shared" si="8"/>
        <v>0.14566884082847006</v>
      </c>
      <c r="U62" s="22">
        <f t="shared" si="9"/>
        <v>0.8543311591715299</v>
      </c>
      <c r="V62" s="23">
        <f t="shared" si="10"/>
        <v>0.743700652248541</v>
      </c>
      <c r="W62" s="20">
        <f t="shared" si="11"/>
        <v>4369.5</v>
      </c>
      <c r="X62" s="23">
        <v>0.743700652248541</v>
      </c>
    </row>
    <row r="63" spans="1:24" ht="12.75">
      <c r="A63" s="27"/>
      <c r="B63" s="27"/>
      <c r="C63" s="8" t="s">
        <v>14</v>
      </c>
      <c r="D63" s="9" t="s">
        <v>44</v>
      </c>
      <c r="E63" s="10">
        <f>571+3</f>
        <v>574</v>
      </c>
      <c r="F63" s="10">
        <f>3058+13</f>
        <v>3071</v>
      </c>
      <c r="G63" s="10">
        <v>0</v>
      </c>
      <c r="H63" s="10">
        <f>(360/2)</f>
        <v>180</v>
      </c>
      <c r="I63" s="10">
        <f t="shared" si="14"/>
        <v>42.5</v>
      </c>
      <c r="J63" s="10">
        <v>0</v>
      </c>
      <c r="K63" s="10">
        <f t="shared" si="15"/>
        <v>10.5</v>
      </c>
      <c r="L63" s="10">
        <v>0</v>
      </c>
      <c r="M63" s="10">
        <f>(900/2)</f>
        <v>450</v>
      </c>
      <c r="N63" s="10">
        <f t="shared" si="16"/>
        <v>52</v>
      </c>
      <c r="O63" s="10">
        <f t="shared" si="4"/>
        <v>4380</v>
      </c>
      <c r="P63" s="10">
        <f t="shared" si="17"/>
        <v>0</v>
      </c>
      <c r="Q63" s="10">
        <f t="shared" si="5"/>
        <v>796.5</v>
      </c>
      <c r="R63" s="10">
        <f t="shared" si="6"/>
        <v>10.5</v>
      </c>
      <c r="S63" s="10">
        <f t="shared" si="7"/>
        <v>3573</v>
      </c>
      <c r="T63" s="22">
        <f t="shared" si="8"/>
        <v>0.1822863027806385</v>
      </c>
      <c r="U63" s="22">
        <f t="shared" si="9"/>
        <v>0.8177136972193615</v>
      </c>
      <c r="V63" s="23">
        <f t="shared" si="10"/>
        <v>0.7546858908341915</v>
      </c>
      <c r="W63" s="20">
        <f t="shared" si="11"/>
        <v>4369.5</v>
      </c>
      <c r="X63" s="23">
        <v>0.7546858908341915</v>
      </c>
    </row>
    <row r="64" spans="1:24" ht="12.75">
      <c r="A64" s="27"/>
      <c r="B64" s="27"/>
      <c r="C64" s="8" t="s">
        <v>16</v>
      </c>
      <c r="D64" s="9" t="s">
        <v>44</v>
      </c>
      <c r="E64" s="10">
        <f>412+35</f>
        <v>447</v>
      </c>
      <c r="F64" s="10">
        <f>2949+249</f>
        <v>3198</v>
      </c>
      <c r="G64" s="10">
        <v>0</v>
      </c>
      <c r="H64" s="10">
        <f>(360/2)</f>
        <v>180</v>
      </c>
      <c r="I64" s="10">
        <f t="shared" si="14"/>
        <v>42.5</v>
      </c>
      <c r="J64" s="10">
        <v>0</v>
      </c>
      <c r="K64" s="10">
        <f t="shared" si="15"/>
        <v>10.5</v>
      </c>
      <c r="L64" s="10">
        <v>0</v>
      </c>
      <c r="M64" s="10">
        <f>(900/2)</f>
        <v>450</v>
      </c>
      <c r="N64" s="10">
        <f t="shared" si="16"/>
        <v>52</v>
      </c>
      <c r="O64" s="10">
        <f t="shared" si="4"/>
        <v>4380</v>
      </c>
      <c r="P64" s="10">
        <f t="shared" si="17"/>
        <v>0</v>
      </c>
      <c r="Q64" s="10">
        <f t="shared" si="5"/>
        <v>669.5</v>
      </c>
      <c r="R64" s="10">
        <f t="shared" si="6"/>
        <v>10.5</v>
      </c>
      <c r="S64" s="10">
        <f t="shared" si="7"/>
        <v>3700</v>
      </c>
      <c r="T64" s="22">
        <f t="shared" si="8"/>
        <v>0.15322119235610482</v>
      </c>
      <c r="U64" s="22">
        <f t="shared" si="9"/>
        <v>0.8467788076438952</v>
      </c>
      <c r="V64" s="23">
        <f t="shared" si="10"/>
        <v>0.7459663577068314</v>
      </c>
      <c r="W64" s="20">
        <f t="shared" si="11"/>
        <v>4369.5</v>
      </c>
      <c r="X64" s="23">
        <v>0.7459663577068314</v>
      </c>
    </row>
    <row r="65" spans="1:24" ht="12.75">
      <c r="A65" s="27"/>
      <c r="B65" s="27"/>
      <c r="C65" s="8" t="s">
        <v>18</v>
      </c>
      <c r="D65" s="9" t="s">
        <v>44</v>
      </c>
      <c r="E65" s="10">
        <f>439-6</f>
        <v>433</v>
      </c>
      <c r="F65" s="10">
        <f>2883-41</f>
        <v>2842</v>
      </c>
      <c r="G65" s="10">
        <f>(1750/2)</f>
        <v>875</v>
      </c>
      <c r="H65" s="10">
        <v>0</v>
      </c>
      <c r="I65" s="10">
        <f t="shared" si="14"/>
        <v>42.5</v>
      </c>
      <c r="J65" s="10">
        <v>0</v>
      </c>
      <c r="K65" s="10">
        <f t="shared" si="15"/>
        <v>10.5</v>
      </c>
      <c r="L65" s="10">
        <f>(250/2)</f>
        <v>125</v>
      </c>
      <c r="M65" s="10">
        <v>0</v>
      </c>
      <c r="N65" s="10">
        <f t="shared" si="16"/>
        <v>52</v>
      </c>
      <c r="O65" s="10">
        <f t="shared" si="4"/>
        <v>4380</v>
      </c>
      <c r="P65" s="10">
        <f t="shared" si="17"/>
        <v>0</v>
      </c>
      <c r="Q65" s="10">
        <f t="shared" si="5"/>
        <v>1350.5</v>
      </c>
      <c r="R65" s="10">
        <f t="shared" si="6"/>
        <v>10.5</v>
      </c>
      <c r="S65" s="10">
        <f t="shared" si="7"/>
        <v>3019</v>
      </c>
      <c r="T65" s="22">
        <f t="shared" si="8"/>
        <v>0.30907426479002176</v>
      </c>
      <c r="U65" s="22">
        <f t="shared" si="9"/>
        <v>0.6909257352099782</v>
      </c>
      <c r="V65" s="23">
        <f t="shared" si="10"/>
        <v>0.7927222794370066</v>
      </c>
      <c r="W65" s="20">
        <f t="shared" si="11"/>
        <v>4369.5</v>
      </c>
      <c r="X65" s="23">
        <v>0.7927222794370066</v>
      </c>
    </row>
    <row r="66" spans="1:24" ht="12.75">
      <c r="A66" s="28"/>
      <c r="B66" s="28"/>
      <c r="C66" s="8" t="s">
        <v>19</v>
      </c>
      <c r="D66" s="9" t="s">
        <v>44</v>
      </c>
      <c r="E66" s="10">
        <f>439+126</f>
        <v>565</v>
      </c>
      <c r="F66" s="10">
        <f>2883+827</f>
        <v>3710</v>
      </c>
      <c r="G66" s="10">
        <v>0</v>
      </c>
      <c r="H66" s="10">
        <v>0</v>
      </c>
      <c r="I66" s="10">
        <f t="shared" si="14"/>
        <v>42.5</v>
      </c>
      <c r="J66" s="10">
        <v>0</v>
      </c>
      <c r="K66" s="10">
        <f t="shared" si="15"/>
        <v>10.5</v>
      </c>
      <c r="L66" s="10">
        <v>0</v>
      </c>
      <c r="M66" s="10">
        <v>0</v>
      </c>
      <c r="N66" s="10">
        <f t="shared" si="16"/>
        <v>52</v>
      </c>
      <c r="O66" s="10">
        <f t="shared" si="4"/>
        <v>4380</v>
      </c>
      <c r="P66" s="10">
        <f t="shared" si="17"/>
        <v>0</v>
      </c>
      <c r="Q66" s="10">
        <f t="shared" si="5"/>
        <v>607.5</v>
      </c>
      <c r="R66" s="10">
        <f t="shared" si="6"/>
        <v>10.5</v>
      </c>
      <c r="S66" s="10">
        <f t="shared" si="7"/>
        <v>3762</v>
      </c>
      <c r="T66" s="22">
        <f t="shared" si="8"/>
        <v>0.13903192584963955</v>
      </c>
      <c r="U66" s="22">
        <f t="shared" si="9"/>
        <v>0.8609680741503605</v>
      </c>
      <c r="V66" s="23">
        <f t="shared" si="10"/>
        <v>0.7417095777548918</v>
      </c>
      <c r="W66" s="20">
        <f t="shared" si="11"/>
        <v>4369.5</v>
      </c>
      <c r="X66" s="23">
        <v>0.7417095777548918</v>
      </c>
    </row>
    <row r="68" spans="4:8" ht="12.75">
      <c r="D68" s="26"/>
      <c r="E68" s="26"/>
      <c r="F68" s="8"/>
      <c r="G68" s="9"/>
      <c r="H68" s="24"/>
    </row>
    <row r="69" spans="4:8" ht="12.75">
      <c r="D69" s="27"/>
      <c r="E69" s="27"/>
      <c r="F69" s="8"/>
      <c r="G69" s="9"/>
      <c r="H69" s="25"/>
    </row>
    <row r="70" spans="4:8" ht="12.75">
      <c r="D70" s="27"/>
      <c r="E70" s="27"/>
      <c r="F70" s="8"/>
      <c r="G70" s="9"/>
      <c r="H70" s="23"/>
    </row>
    <row r="71" spans="4:8" ht="12.75">
      <c r="D71" s="27"/>
      <c r="E71" s="27"/>
      <c r="F71" s="8"/>
      <c r="G71" s="9"/>
      <c r="H71" s="23"/>
    </row>
    <row r="72" spans="4:8" ht="12.75">
      <c r="D72" s="27"/>
      <c r="E72" s="27"/>
      <c r="F72" s="8"/>
      <c r="G72" s="9"/>
      <c r="H72" s="23"/>
    </row>
    <row r="73" spans="4:8" ht="12.75">
      <c r="D73" s="27"/>
      <c r="E73" s="27"/>
      <c r="F73" s="8"/>
      <c r="G73" s="9"/>
      <c r="H73" s="23"/>
    </row>
    <row r="74" spans="4:8" ht="12.75">
      <c r="D74" s="28"/>
      <c r="E74" s="28"/>
      <c r="F74" s="8"/>
      <c r="G74" s="9"/>
      <c r="H74" s="23"/>
    </row>
    <row r="75" spans="4:8" ht="12.75">
      <c r="D75" s="26"/>
      <c r="E75" s="26"/>
      <c r="F75" s="8"/>
      <c r="G75" s="9"/>
      <c r="H75" s="23"/>
    </row>
    <row r="76" spans="4:8" ht="12.75">
      <c r="D76" s="27"/>
      <c r="E76" s="27"/>
      <c r="F76" s="8"/>
      <c r="G76" s="9"/>
      <c r="H76" s="23"/>
    </row>
    <row r="77" spans="4:8" ht="12.75">
      <c r="D77" s="27"/>
      <c r="E77" s="27"/>
      <c r="F77" s="8"/>
      <c r="G77" s="9"/>
      <c r="H77" s="23"/>
    </row>
    <row r="78" spans="4:8" ht="12.75">
      <c r="D78" s="27"/>
      <c r="E78" s="27"/>
      <c r="F78" s="8"/>
      <c r="G78" s="9"/>
      <c r="H78" s="23"/>
    </row>
    <row r="79" spans="4:8" ht="12.75">
      <c r="D79" s="27"/>
      <c r="E79" s="27"/>
      <c r="F79" s="8"/>
      <c r="G79" s="9"/>
      <c r="H79" s="23"/>
    </row>
    <row r="80" spans="4:8" ht="12.75">
      <c r="D80" s="28"/>
      <c r="E80" s="28"/>
      <c r="F80" s="8"/>
      <c r="G80" s="9"/>
      <c r="H80" s="23"/>
    </row>
    <row r="81" spans="4:8" ht="12.75">
      <c r="D81" s="26"/>
      <c r="E81" s="26"/>
      <c r="F81" s="8"/>
      <c r="G81" s="9"/>
      <c r="H81" s="23"/>
    </row>
    <row r="82" spans="4:8" ht="12.75">
      <c r="D82" s="27"/>
      <c r="E82" s="27"/>
      <c r="F82" s="8"/>
      <c r="G82" s="9"/>
      <c r="H82" s="23"/>
    </row>
    <row r="83" spans="4:8" ht="12.75">
      <c r="D83" s="27"/>
      <c r="E83" s="27"/>
      <c r="F83" s="8"/>
      <c r="G83" s="9"/>
      <c r="H83" s="23"/>
    </row>
    <row r="84" spans="4:8" ht="12.75">
      <c r="D84" s="27"/>
      <c r="E84" s="27"/>
      <c r="F84" s="8"/>
      <c r="G84" s="9"/>
      <c r="H84" s="23"/>
    </row>
    <row r="85" spans="4:8" ht="12.75">
      <c r="D85" s="27"/>
      <c r="E85" s="27"/>
      <c r="F85" s="8"/>
      <c r="G85" s="9"/>
      <c r="H85" s="23"/>
    </row>
    <row r="86" spans="4:8" ht="12.75">
      <c r="D86" s="27"/>
      <c r="E86" s="27"/>
      <c r="F86" s="8"/>
      <c r="G86" s="9"/>
      <c r="H86" s="23"/>
    </row>
    <row r="87" spans="4:8" ht="12.75">
      <c r="D87" s="27"/>
      <c r="E87" s="27"/>
      <c r="F87" s="8"/>
      <c r="G87" s="9"/>
      <c r="H87" s="23"/>
    </row>
    <row r="88" spans="4:8" ht="12.75">
      <c r="D88" s="26"/>
      <c r="E88" s="29"/>
      <c r="F88" s="8"/>
      <c r="G88" s="9"/>
      <c r="H88" s="23"/>
    </row>
    <row r="89" spans="4:8" ht="12.75">
      <c r="D89" s="27"/>
      <c r="E89" s="30"/>
      <c r="F89" s="8"/>
      <c r="G89" s="9"/>
      <c r="H89" s="23"/>
    </row>
    <row r="90" spans="4:8" ht="12.75">
      <c r="D90" s="27"/>
      <c r="E90" s="30"/>
      <c r="F90" s="8"/>
      <c r="G90" s="9"/>
      <c r="H90" s="23"/>
    </row>
    <row r="91" spans="4:8" ht="12.75">
      <c r="D91" s="27"/>
      <c r="E91" s="30"/>
      <c r="F91" s="8"/>
      <c r="G91" s="9"/>
      <c r="H91" s="23"/>
    </row>
    <row r="92" spans="4:8" ht="12.75">
      <c r="D92" s="27"/>
      <c r="E92" s="30"/>
      <c r="F92" s="8"/>
      <c r="G92" s="9"/>
      <c r="H92" s="23"/>
    </row>
    <row r="93" spans="4:8" ht="12.75">
      <c r="D93" s="27"/>
      <c r="E93" s="30"/>
      <c r="F93" s="8"/>
      <c r="G93" s="9"/>
      <c r="H93" s="23"/>
    </row>
    <row r="94" spans="4:8" ht="12.75">
      <c r="D94" s="27"/>
      <c r="E94" s="30"/>
      <c r="F94" s="8"/>
      <c r="G94" s="9"/>
      <c r="H94" s="23"/>
    </row>
    <row r="95" spans="4:8" ht="12.75">
      <c r="D95" s="27"/>
      <c r="E95" s="30"/>
      <c r="F95" s="8"/>
      <c r="G95" s="9"/>
      <c r="H95" s="23"/>
    </row>
    <row r="96" spans="4:8" ht="12.75">
      <c r="D96" s="27"/>
      <c r="E96" s="30"/>
      <c r="F96" s="8"/>
      <c r="G96" s="9"/>
      <c r="H96" s="23"/>
    </row>
    <row r="97" spans="4:8" ht="12.75">
      <c r="D97" s="27"/>
      <c r="E97" s="30"/>
      <c r="F97" s="8"/>
      <c r="G97" s="9"/>
      <c r="H97" s="23"/>
    </row>
    <row r="98" spans="4:8" ht="12.75">
      <c r="D98" s="27"/>
      <c r="E98" s="30"/>
      <c r="F98" s="8"/>
      <c r="G98" s="9"/>
      <c r="H98" s="23"/>
    </row>
    <row r="99" spans="4:8" ht="12.75">
      <c r="D99" s="27"/>
      <c r="E99" s="30"/>
      <c r="F99" s="8"/>
      <c r="G99" s="9"/>
      <c r="H99" s="23"/>
    </row>
    <row r="100" spans="4:8" ht="12.75">
      <c r="D100" s="27"/>
      <c r="E100" s="30"/>
      <c r="F100" s="8"/>
      <c r="G100" s="9"/>
      <c r="H100" s="23"/>
    </row>
    <row r="101" spans="4:8" ht="12.75">
      <c r="D101" s="28"/>
      <c r="E101" s="31"/>
      <c r="F101" s="8"/>
      <c r="G101" s="9"/>
      <c r="H101" s="23"/>
    </row>
    <row r="102" spans="4:8" ht="12.75">
      <c r="D102" s="26"/>
      <c r="E102" s="26"/>
      <c r="F102" s="8"/>
      <c r="G102" s="9"/>
      <c r="H102" s="23"/>
    </row>
    <row r="103" spans="4:8" ht="12.75">
      <c r="D103" s="27"/>
      <c r="E103" s="27"/>
      <c r="F103" s="8"/>
      <c r="G103" s="9"/>
      <c r="H103" s="23"/>
    </row>
    <row r="104" spans="4:8" ht="12.75">
      <c r="D104" s="27"/>
      <c r="E104" s="27"/>
      <c r="F104" s="8"/>
      <c r="G104" s="9"/>
      <c r="H104" s="23"/>
    </row>
    <row r="105" spans="4:8" ht="12.75">
      <c r="D105" s="27"/>
      <c r="E105" s="27"/>
      <c r="F105" s="8"/>
      <c r="G105" s="9"/>
      <c r="H105" s="23"/>
    </row>
    <row r="106" spans="4:8" ht="12.75">
      <c r="D106" s="27"/>
      <c r="E106" s="27"/>
      <c r="F106" s="8"/>
      <c r="G106" s="9"/>
      <c r="H106" s="23"/>
    </row>
    <row r="107" spans="4:8" ht="12.75">
      <c r="D107" s="27"/>
      <c r="E107" s="27"/>
      <c r="F107" s="8"/>
      <c r="G107" s="9"/>
      <c r="H107" s="23"/>
    </row>
    <row r="108" spans="4:8" ht="12.75">
      <c r="D108" s="28"/>
      <c r="E108" s="28"/>
      <c r="F108" s="8"/>
      <c r="G108" s="9"/>
      <c r="H108" s="23"/>
    </row>
    <row r="109" spans="4:8" ht="12.75">
      <c r="D109" s="26"/>
      <c r="E109" s="26"/>
      <c r="F109" s="8"/>
      <c r="G109" s="9"/>
      <c r="H109" s="23"/>
    </row>
    <row r="110" spans="4:8" ht="12.75">
      <c r="D110" s="27"/>
      <c r="E110" s="27"/>
      <c r="F110" s="8"/>
      <c r="G110" s="9"/>
      <c r="H110" s="23"/>
    </row>
    <row r="111" spans="4:8" ht="12.75">
      <c r="D111" s="27"/>
      <c r="E111" s="27"/>
      <c r="F111" s="8"/>
      <c r="G111" s="9"/>
      <c r="H111" s="23"/>
    </row>
    <row r="112" spans="4:8" ht="12.75">
      <c r="D112" s="27"/>
      <c r="E112" s="27"/>
      <c r="F112" s="8"/>
      <c r="G112" s="9"/>
      <c r="H112" s="23"/>
    </row>
    <row r="113" spans="4:8" ht="12.75">
      <c r="D113" s="27"/>
      <c r="E113" s="27"/>
      <c r="F113" s="8"/>
      <c r="G113" s="9"/>
      <c r="H113" s="23"/>
    </row>
    <row r="114" spans="4:8" ht="12.75">
      <c r="D114" s="28"/>
      <c r="E114" s="28"/>
      <c r="F114" s="8"/>
      <c r="G114" s="9"/>
      <c r="H114" s="23"/>
    </row>
    <row r="115" spans="4:8" ht="12.75">
      <c r="D115" s="26"/>
      <c r="E115" s="26"/>
      <c r="F115" s="8"/>
      <c r="G115" s="9"/>
      <c r="H115" s="23"/>
    </row>
    <row r="116" spans="4:8" ht="12.75">
      <c r="D116" s="27"/>
      <c r="E116" s="27"/>
      <c r="F116" s="8"/>
      <c r="G116" s="9"/>
      <c r="H116" s="23"/>
    </row>
    <row r="117" spans="4:8" ht="12.75">
      <c r="D117" s="27"/>
      <c r="E117" s="27"/>
      <c r="F117" s="8"/>
      <c r="G117" s="9"/>
      <c r="H117" s="23"/>
    </row>
    <row r="118" spans="4:8" ht="12.75">
      <c r="D118" s="27"/>
      <c r="E118" s="27"/>
      <c r="F118" s="8"/>
      <c r="G118" s="9"/>
      <c r="H118" s="23"/>
    </row>
    <row r="119" spans="4:8" ht="12.75">
      <c r="D119" s="27"/>
      <c r="E119" s="27"/>
      <c r="F119" s="8"/>
      <c r="G119" s="9"/>
      <c r="H119" s="23"/>
    </row>
    <row r="120" spans="4:8" ht="12.75">
      <c r="D120" s="28"/>
      <c r="E120" s="28"/>
      <c r="F120" s="8"/>
      <c r="G120" s="9"/>
      <c r="H120" s="23"/>
    </row>
    <row r="121" ht="12.75">
      <c r="H121" s="23"/>
    </row>
    <row r="122" ht="12.75">
      <c r="H122" s="23"/>
    </row>
  </sheetData>
  <mergeCells count="38">
    <mergeCell ref="X12:X13"/>
    <mergeCell ref="W12:W13"/>
    <mergeCell ref="A12:B13"/>
    <mergeCell ref="C12:C13"/>
    <mergeCell ref="D12:D13"/>
    <mergeCell ref="E12:E13"/>
    <mergeCell ref="R12:R13"/>
    <mergeCell ref="F12:F13"/>
    <mergeCell ref="O12:O13"/>
    <mergeCell ref="N12:N13"/>
    <mergeCell ref="J12:J13"/>
    <mergeCell ref="A55:B60"/>
    <mergeCell ref="A61:B66"/>
    <mergeCell ref="U12:U13"/>
    <mergeCell ref="A14:B20"/>
    <mergeCell ref="A21:B26"/>
    <mergeCell ref="A27:B33"/>
    <mergeCell ref="K12:K13"/>
    <mergeCell ref="H12:H13"/>
    <mergeCell ref="G12:G13"/>
    <mergeCell ref="I12:I13"/>
    <mergeCell ref="A34:B47"/>
    <mergeCell ref="A48:B54"/>
    <mergeCell ref="L12:L13"/>
    <mergeCell ref="M12:M13"/>
    <mergeCell ref="D109:E114"/>
    <mergeCell ref="D115:E120"/>
    <mergeCell ref="T11:V11"/>
    <mergeCell ref="V12:V13"/>
    <mergeCell ref="P12:P13"/>
    <mergeCell ref="Q12:Q13"/>
    <mergeCell ref="S12:S13"/>
    <mergeCell ref="T12:T13"/>
    <mergeCell ref="D68:E74"/>
    <mergeCell ref="D75:E80"/>
    <mergeCell ref="D81:E87"/>
    <mergeCell ref="D88:E101"/>
    <mergeCell ref="D102:E108"/>
  </mergeCells>
  <printOptions/>
  <pageMargins left="0.75" right="0.75" top="1" bottom="1" header="0.5" footer="0.5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B10">
      <selection activeCell="E20" sqref="E20:E21"/>
    </sheetView>
  </sheetViews>
  <sheetFormatPr defaultColWidth="9.140625" defaultRowHeight="12.75"/>
  <cols>
    <col min="1" max="1" width="17.421875" style="0" customWidth="1"/>
    <col min="3" max="3" width="9.8515625" style="0" customWidth="1"/>
    <col min="4" max="4" width="12.7109375" style="0" customWidth="1"/>
    <col min="5" max="5" width="13.57421875" style="0" customWidth="1"/>
  </cols>
  <sheetData>
    <row r="1" spans="1:6" ht="14.25">
      <c r="A1" s="42" t="s">
        <v>55</v>
      </c>
      <c r="B1" s="42"/>
      <c r="C1" s="42"/>
      <c r="D1" s="42"/>
      <c r="E1" s="42"/>
      <c r="F1" s="42"/>
    </row>
    <row r="3" spans="1:8" ht="12.75">
      <c r="A3" s="42" t="s">
        <v>56</v>
      </c>
      <c r="B3" s="42"/>
      <c r="C3" s="42"/>
      <c r="D3" s="42"/>
      <c r="E3" s="42"/>
      <c r="F3" s="42"/>
      <c r="G3" s="42"/>
      <c r="H3" s="12"/>
    </row>
    <row r="4" spans="5:6" ht="12.75">
      <c r="E4" s="13"/>
      <c r="F4" s="13"/>
    </row>
    <row r="5" spans="1:11" ht="56.25">
      <c r="A5" s="14" t="s">
        <v>57</v>
      </c>
      <c r="B5" s="14" t="s">
        <v>58</v>
      </c>
      <c r="C5" s="14" t="s">
        <v>59</v>
      </c>
      <c r="D5" s="14" t="s">
        <v>60</v>
      </c>
      <c r="E5" s="15" t="s">
        <v>80</v>
      </c>
      <c r="F5" s="15"/>
      <c r="G5" s="14" t="s">
        <v>61</v>
      </c>
      <c r="H5" s="14"/>
      <c r="I5" s="14"/>
      <c r="J5" s="14"/>
      <c r="K5" s="14"/>
    </row>
    <row r="6" spans="1:11" ht="12.75">
      <c r="A6" s="16" t="s">
        <v>62</v>
      </c>
      <c r="B6" s="16">
        <v>4.5</v>
      </c>
      <c r="C6" s="16">
        <f aca="true" t="shared" si="0" ref="C6:C14">B6*365</f>
        <v>1642.5</v>
      </c>
      <c r="D6" s="16" t="s">
        <v>11</v>
      </c>
      <c r="E6" s="17">
        <f>C6</f>
        <v>1642.5</v>
      </c>
      <c r="F6" s="18">
        <f aca="true" t="shared" si="1" ref="F6:F14">1/84</f>
        <v>0.011904761904761904</v>
      </c>
      <c r="G6" s="19">
        <f aca="true" t="shared" si="2" ref="G6:G14">E6*F6</f>
        <v>19.553571428571427</v>
      </c>
      <c r="H6" s="19">
        <f aca="true" t="shared" si="3" ref="H6:H14">E6-G6</f>
        <v>1622.9464285714287</v>
      </c>
      <c r="I6" s="16"/>
      <c r="J6" s="16"/>
      <c r="K6" s="16"/>
    </row>
    <row r="7" spans="1:11" ht="12.75">
      <c r="A7" s="16" t="s">
        <v>63</v>
      </c>
      <c r="B7" s="16">
        <v>6.8</v>
      </c>
      <c r="C7" s="16">
        <f t="shared" si="0"/>
        <v>2482</v>
      </c>
      <c r="D7" s="16" t="s">
        <v>64</v>
      </c>
      <c r="E7" s="17">
        <f>(C7*2+C8*3)/5</f>
        <v>2810.5000000000005</v>
      </c>
      <c r="F7" s="18">
        <f t="shared" si="1"/>
        <v>0.011904761904761904</v>
      </c>
      <c r="G7" s="19">
        <f t="shared" si="2"/>
        <v>33.458333333333336</v>
      </c>
      <c r="H7" s="19">
        <f t="shared" si="3"/>
        <v>2777.041666666667</v>
      </c>
      <c r="I7" s="16"/>
      <c r="J7" s="16"/>
      <c r="K7" s="16"/>
    </row>
    <row r="8" spans="1:11" ht="12.75">
      <c r="A8" s="16" t="s">
        <v>65</v>
      </c>
      <c r="B8" s="16">
        <v>8.3</v>
      </c>
      <c r="C8" s="16">
        <f t="shared" si="0"/>
        <v>3029.5000000000005</v>
      </c>
      <c r="D8" s="16"/>
      <c r="E8" s="17"/>
      <c r="F8" s="18">
        <f t="shared" si="1"/>
        <v>0.011904761904761904</v>
      </c>
      <c r="G8" s="19">
        <f t="shared" si="2"/>
        <v>0</v>
      </c>
      <c r="H8" s="19">
        <f t="shared" si="3"/>
        <v>0</v>
      </c>
      <c r="I8" s="16"/>
      <c r="J8" s="16"/>
      <c r="K8" s="16"/>
    </row>
    <row r="9" spans="1:11" ht="12.75">
      <c r="A9" s="16" t="s">
        <v>66</v>
      </c>
      <c r="B9" s="16">
        <v>10</v>
      </c>
      <c r="C9" s="16">
        <f t="shared" si="0"/>
        <v>3650</v>
      </c>
      <c r="D9" s="16" t="s">
        <v>67</v>
      </c>
      <c r="E9" s="17">
        <f>(C9*3+C10*3)/6</f>
        <v>4380</v>
      </c>
      <c r="F9" s="18">
        <f t="shared" si="1"/>
        <v>0.011904761904761904</v>
      </c>
      <c r="G9" s="19">
        <f t="shared" si="2"/>
        <v>52.14285714285714</v>
      </c>
      <c r="H9" s="19">
        <f t="shared" si="3"/>
        <v>4327.857142857143</v>
      </c>
      <c r="I9" s="16"/>
      <c r="J9" s="16"/>
      <c r="K9" s="16"/>
    </row>
    <row r="10" spans="1:11" ht="12.75">
      <c r="A10" s="16" t="s">
        <v>68</v>
      </c>
      <c r="B10" s="16">
        <v>14</v>
      </c>
      <c r="C10" s="16">
        <f t="shared" si="0"/>
        <v>5110</v>
      </c>
      <c r="D10" s="16"/>
      <c r="E10" s="17"/>
      <c r="F10" s="18">
        <f t="shared" si="1"/>
        <v>0.011904761904761904</v>
      </c>
      <c r="G10" s="19">
        <f t="shared" si="2"/>
        <v>0</v>
      </c>
      <c r="H10" s="19">
        <f t="shared" si="3"/>
        <v>0</v>
      </c>
      <c r="I10" s="16"/>
      <c r="J10" s="16"/>
      <c r="K10" s="16"/>
    </row>
    <row r="11" spans="1:11" ht="12.75">
      <c r="A11" s="16" t="s">
        <v>69</v>
      </c>
      <c r="B11" s="16">
        <v>15</v>
      </c>
      <c r="C11" s="16">
        <f t="shared" si="0"/>
        <v>5475</v>
      </c>
      <c r="D11" s="16" t="s">
        <v>70</v>
      </c>
      <c r="E11" s="17">
        <f>(C11*3+C12*4)/7</f>
        <v>5892.142857142857</v>
      </c>
      <c r="F11" s="18">
        <f t="shared" si="1"/>
        <v>0.011904761904761904</v>
      </c>
      <c r="G11" s="19">
        <f t="shared" si="2"/>
        <v>70.14455782312925</v>
      </c>
      <c r="H11" s="19">
        <f t="shared" si="3"/>
        <v>5821.998299319727</v>
      </c>
      <c r="I11" s="19"/>
      <c r="J11" s="16"/>
      <c r="K11" s="16"/>
    </row>
    <row r="12" spans="1:11" ht="12.75">
      <c r="A12" s="16" t="s">
        <v>71</v>
      </c>
      <c r="B12" s="16">
        <v>17</v>
      </c>
      <c r="C12" s="16">
        <f t="shared" si="0"/>
        <v>6205</v>
      </c>
      <c r="D12" s="16"/>
      <c r="E12" s="17"/>
      <c r="F12" s="18">
        <f t="shared" si="1"/>
        <v>0.011904761904761904</v>
      </c>
      <c r="G12" s="19">
        <f t="shared" si="2"/>
        <v>0</v>
      </c>
      <c r="H12" s="19">
        <f t="shared" si="3"/>
        <v>0</v>
      </c>
      <c r="I12" s="16"/>
      <c r="J12" s="16"/>
      <c r="K12" s="16"/>
    </row>
    <row r="13" spans="1:11" ht="12.75">
      <c r="A13" s="16" t="s">
        <v>72</v>
      </c>
      <c r="B13" s="16">
        <v>15.2</v>
      </c>
      <c r="C13" s="16">
        <f t="shared" si="0"/>
        <v>5548</v>
      </c>
      <c r="D13" s="16" t="s">
        <v>18</v>
      </c>
      <c r="E13" s="17">
        <f>C13</f>
        <v>5548</v>
      </c>
      <c r="F13" s="18">
        <f t="shared" si="1"/>
        <v>0.011904761904761904</v>
      </c>
      <c r="G13" s="19">
        <f t="shared" si="2"/>
        <v>66.04761904761905</v>
      </c>
      <c r="H13" s="19">
        <f t="shared" si="3"/>
        <v>5481.952380952381</v>
      </c>
      <c r="I13" s="16">
        <f>6150/8400</f>
        <v>0.7321428571428571</v>
      </c>
      <c r="J13" s="19">
        <f>I13*E13</f>
        <v>4061.928571428571</v>
      </c>
      <c r="K13" s="19">
        <f>E13-J13</f>
        <v>1486.071428571429</v>
      </c>
    </row>
    <row r="14" spans="1:11" ht="12.75">
      <c r="A14" s="16" t="s">
        <v>73</v>
      </c>
      <c r="B14" s="16">
        <v>11.3</v>
      </c>
      <c r="C14" s="16">
        <f t="shared" si="0"/>
        <v>4124.5</v>
      </c>
      <c r="D14" s="16" t="s">
        <v>19</v>
      </c>
      <c r="E14" s="17">
        <f>C14</f>
        <v>4124.5</v>
      </c>
      <c r="F14" s="18">
        <f t="shared" si="1"/>
        <v>0.011904761904761904</v>
      </c>
      <c r="G14" s="19">
        <f t="shared" si="2"/>
        <v>49.101190476190474</v>
      </c>
      <c r="H14" s="19">
        <f t="shared" si="3"/>
        <v>4075.3988095238096</v>
      </c>
      <c r="I14" s="16"/>
      <c r="J14" s="16"/>
      <c r="K14" s="16"/>
    </row>
    <row r="18" ht="9.75" customHeight="1"/>
    <row r="19" ht="12.75" hidden="1"/>
    <row r="20" spans="1:7" ht="12.75">
      <c r="A20" s="38" t="s">
        <v>20</v>
      </c>
      <c r="B20" s="38"/>
      <c r="C20" s="35" t="s">
        <v>21</v>
      </c>
      <c r="D20" s="35" t="s">
        <v>22</v>
      </c>
      <c r="E20" s="43" t="s">
        <v>79</v>
      </c>
      <c r="F20" s="21"/>
      <c r="G20" s="21"/>
    </row>
    <row r="21" spans="1:7" ht="34.5" customHeight="1">
      <c r="A21" s="39"/>
      <c r="B21" s="39"/>
      <c r="C21" s="36"/>
      <c r="D21" s="36"/>
      <c r="E21" s="43"/>
      <c r="F21" s="21"/>
      <c r="G21" s="21"/>
    </row>
    <row r="22" spans="1:7" ht="12.75">
      <c r="A22" s="26" t="s">
        <v>28</v>
      </c>
      <c r="B22" s="26"/>
      <c r="C22" s="8" t="s">
        <v>11</v>
      </c>
      <c r="D22" s="9" t="s">
        <v>29</v>
      </c>
      <c r="E22" s="20">
        <f>(+'New Indoor_Outdoor Values'!O14)*'m3 of air breathed per location'!E6/8760</f>
        <v>1642.5</v>
      </c>
      <c r="F22" s="21"/>
      <c r="G22" s="21"/>
    </row>
    <row r="23" spans="1:7" ht="12.75">
      <c r="A23" s="27"/>
      <c r="B23" s="27"/>
      <c r="C23" s="8" t="s">
        <v>12</v>
      </c>
      <c r="D23" s="9" t="s">
        <v>29</v>
      </c>
      <c r="E23" s="20">
        <f>(+'New Indoor_Outdoor Values'!O15)*'m3 of air breathed per location'!E7/8760</f>
        <v>2810.5000000000005</v>
      </c>
      <c r="F23" s="21"/>
      <c r="G23" s="21"/>
    </row>
    <row r="24" spans="1:7" ht="12.75">
      <c r="A24" s="27"/>
      <c r="B24" s="27"/>
      <c r="C24" s="8" t="s">
        <v>14</v>
      </c>
      <c r="D24" s="9" t="s">
        <v>29</v>
      </c>
      <c r="E24" s="20">
        <f>(+'New Indoor_Outdoor Values'!O16)*E9/8760</f>
        <v>4380</v>
      </c>
      <c r="F24" s="21"/>
      <c r="G24" s="21"/>
    </row>
    <row r="25" spans="1:7" ht="12.75">
      <c r="A25" s="27"/>
      <c r="B25" s="27"/>
      <c r="C25" s="8" t="s">
        <v>16</v>
      </c>
      <c r="D25" s="9" t="s">
        <v>29</v>
      </c>
      <c r="E25" s="20">
        <f>(+'New Indoor_Outdoor Values'!O17)*E11/8760</f>
        <v>5044.642857142857</v>
      </c>
      <c r="F25" s="21"/>
      <c r="G25" s="21"/>
    </row>
    <row r="26" spans="1:7" ht="12.75">
      <c r="A26" s="27"/>
      <c r="B26" s="27"/>
      <c r="C26" s="8" t="s">
        <v>16</v>
      </c>
      <c r="D26" s="9" t="s">
        <v>30</v>
      </c>
      <c r="E26" s="20">
        <f>(+'New Indoor_Outdoor Values'!O18)*E11/8760</f>
        <v>847.5</v>
      </c>
      <c r="F26" s="21"/>
      <c r="G26" s="21"/>
    </row>
    <row r="27" spans="1:7" ht="12.75">
      <c r="A27" s="27"/>
      <c r="B27" s="27"/>
      <c r="C27" s="8" t="s">
        <v>18</v>
      </c>
      <c r="D27" s="9" t="s">
        <v>29</v>
      </c>
      <c r="E27" s="20">
        <f>(+'New Indoor_Outdoor Values'!O19)*E13/8760</f>
        <v>5548</v>
      </c>
      <c r="F27" s="21"/>
      <c r="G27" s="21"/>
    </row>
    <row r="28" spans="1:7" ht="12.75">
      <c r="A28" s="28"/>
      <c r="B28" s="28"/>
      <c r="C28" s="8" t="s">
        <v>19</v>
      </c>
      <c r="D28" s="9" t="s">
        <v>29</v>
      </c>
      <c r="E28" s="20">
        <f>(+'New Indoor_Outdoor Values'!O20)*E14/8760</f>
        <v>4124.5</v>
      </c>
      <c r="F28" s="21"/>
      <c r="G28" s="21"/>
    </row>
    <row r="29" spans="1:7" ht="12.75">
      <c r="A29" s="26" t="s">
        <v>31</v>
      </c>
      <c r="B29" s="26"/>
      <c r="C29" s="8" t="s">
        <v>11</v>
      </c>
      <c r="D29" s="9" t="s">
        <v>32</v>
      </c>
      <c r="E29" s="20">
        <f>(+'New Indoor_Outdoor Values'!O21)*E6/8760</f>
        <v>1642.5</v>
      </c>
      <c r="F29" s="21"/>
      <c r="G29" s="21"/>
    </row>
    <row r="30" spans="1:7" ht="12.75">
      <c r="A30" s="27"/>
      <c r="B30" s="27"/>
      <c r="C30" s="8" t="s">
        <v>12</v>
      </c>
      <c r="D30" s="9" t="s">
        <v>32</v>
      </c>
      <c r="E30" s="20">
        <f>(+'New Indoor_Outdoor Values'!O22)*E7/8760</f>
        <v>2810.5000000000005</v>
      </c>
      <c r="F30" s="21"/>
      <c r="G30" s="21"/>
    </row>
    <row r="31" spans="1:7" ht="12.75">
      <c r="A31" s="27"/>
      <c r="B31" s="27"/>
      <c r="C31" s="8" t="s">
        <v>14</v>
      </c>
      <c r="D31" s="9" t="s">
        <v>32</v>
      </c>
      <c r="E31" s="20">
        <f>(+'New Indoor_Outdoor Values'!O23)*E9/8760</f>
        <v>4380</v>
      </c>
      <c r="F31" s="21"/>
      <c r="G31" s="21"/>
    </row>
    <row r="32" spans="1:7" ht="12.75">
      <c r="A32" s="27"/>
      <c r="B32" s="27"/>
      <c r="C32" s="8" t="s">
        <v>16</v>
      </c>
      <c r="D32" s="9" t="s">
        <v>32</v>
      </c>
      <c r="E32" s="20">
        <f>(+'New Indoor_Outdoor Values'!O24)*E11/8760</f>
        <v>5892.142857142857</v>
      </c>
      <c r="F32" s="21"/>
      <c r="G32" s="21"/>
    </row>
    <row r="33" spans="1:7" ht="12.75">
      <c r="A33" s="27"/>
      <c r="B33" s="27"/>
      <c r="C33" s="8" t="s">
        <v>18</v>
      </c>
      <c r="D33" s="9" t="s">
        <v>32</v>
      </c>
      <c r="E33" s="20">
        <f>(+'New Indoor_Outdoor Values'!O25)*E13/8760</f>
        <v>5548</v>
      </c>
      <c r="F33" s="21"/>
      <c r="G33" s="21"/>
    </row>
    <row r="34" spans="1:7" ht="12.75">
      <c r="A34" s="28"/>
      <c r="B34" s="28"/>
      <c r="C34" s="8" t="s">
        <v>19</v>
      </c>
      <c r="D34" s="9" t="s">
        <v>32</v>
      </c>
      <c r="E34" s="20">
        <f>(+'New Indoor_Outdoor Values'!O26)*E14/8760</f>
        <v>4124.5</v>
      </c>
      <c r="F34" s="21"/>
      <c r="G34" s="21"/>
    </row>
    <row r="35" spans="1:7" ht="12.75">
      <c r="A35" s="26" t="s">
        <v>33</v>
      </c>
      <c r="B35" s="26"/>
      <c r="C35" s="8" t="s">
        <v>11</v>
      </c>
      <c r="D35" s="9" t="s">
        <v>34</v>
      </c>
      <c r="E35" s="20">
        <f>(+'New Indoor_Outdoor Values'!O27)*E6/8760</f>
        <v>1642.5</v>
      </c>
      <c r="F35" s="21"/>
      <c r="G35" s="21"/>
    </row>
    <row r="36" spans="1:7" ht="12.75">
      <c r="A36" s="27"/>
      <c r="B36" s="27"/>
      <c r="C36" s="8" t="s">
        <v>12</v>
      </c>
      <c r="D36" s="9" t="s">
        <v>34</v>
      </c>
      <c r="E36" s="20">
        <f>(+'New Indoor_Outdoor Values'!O28)*E7/8760</f>
        <v>2810.5000000000005</v>
      </c>
      <c r="F36" s="21"/>
      <c r="G36" s="21"/>
    </row>
    <row r="37" spans="1:7" ht="12.75">
      <c r="A37" s="27"/>
      <c r="B37" s="27"/>
      <c r="C37" s="8" t="s">
        <v>14</v>
      </c>
      <c r="D37" s="9" t="s">
        <v>34</v>
      </c>
      <c r="E37" s="20">
        <f>(+'New Indoor_Outdoor Values'!O29)*E9/8760</f>
        <v>4380</v>
      </c>
      <c r="F37" s="21"/>
      <c r="G37" s="21"/>
    </row>
    <row r="38" spans="1:7" ht="12.75">
      <c r="A38" s="27"/>
      <c r="B38" s="27"/>
      <c r="C38" s="8" t="s">
        <v>16</v>
      </c>
      <c r="D38" s="9" t="s">
        <v>34</v>
      </c>
      <c r="E38" s="20">
        <f>(+'New Indoor_Outdoor Values'!O30)*E11/8760</f>
        <v>5892.142857142857</v>
      </c>
      <c r="F38" s="21"/>
      <c r="G38" s="21"/>
    </row>
    <row r="39" spans="1:7" ht="12.75">
      <c r="A39" s="27"/>
      <c r="B39" s="27"/>
      <c r="C39" s="8" t="s">
        <v>18</v>
      </c>
      <c r="D39" s="9" t="s">
        <v>34</v>
      </c>
      <c r="E39" s="20">
        <f>(+'New Indoor_Outdoor Values'!O31)*E13/8760</f>
        <v>4281.333333333333</v>
      </c>
      <c r="F39" s="21"/>
      <c r="G39" s="21"/>
    </row>
    <row r="40" spans="1:7" ht="12.75">
      <c r="A40" s="27"/>
      <c r="B40" s="27"/>
      <c r="C40" s="8" t="s">
        <v>18</v>
      </c>
      <c r="D40" s="9" t="s">
        <v>35</v>
      </c>
      <c r="E40" s="20">
        <f>(+'New Indoor_Outdoor Values'!O32)*E13/8760</f>
        <v>1266.6666666666667</v>
      </c>
      <c r="F40" s="21"/>
      <c r="G40" s="21"/>
    </row>
    <row r="41" spans="1:7" ht="12.75">
      <c r="A41" s="27"/>
      <c r="B41" s="27"/>
      <c r="C41" s="8" t="s">
        <v>19</v>
      </c>
      <c r="D41" s="9" t="s">
        <v>34</v>
      </c>
      <c r="E41" s="20">
        <f>(+'New Indoor_Outdoor Values'!O33)*E14/8760</f>
        <v>4124.5</v>
      </c>
      <c r="F41" s="21"/>
      <c r="G41" s="21"/>
    </row>
    <row r="42" spans="1:7" ht="12.75">
      <c r="A42" s="26" t="s">
        <v>36</v>
      </c>
      <c r="B42" s="29"/>
      <c r="C42" s="8" t="s">
        <v>11</v>
      </c>
      <c r="D42" s="9" t="s">
        <v>37</v>
      </c>
      <c r="E42" s="20">
        <f>(+'New Indoor_Outdoor Values'!O34)*E6/8760</f>
        <v>57.375</v>
      </c>
      <c r="F42" s="21"/>
      <c r="G42" s="21"/>
    </row>
    <row r="43" spans="1:7" ht="12.75">
      <c r="A43" s="27"/>
      <c r="B43" s="30"/>
      <c r="C43" s="8" t="s">
        <v>11</v>
      </c>
      <c r="D43" s="9" t="s">
        <v>38</v>
      </c>
      <c r="E43" s="20">
        <f>(+'New Indoor_Outdoor Values'!O35)*E6/8760</f>
        <v>1585.125</v>
      </c>
      <c r="F43" s="21"/>
      <c r="G43" s="21"/>
    </row>
    <row r="44" spans="1:7" ht="12.75">
      <c r="A44" s="27"/>
      <c r="B44" s="30"/>
      <c r="C44" s="8" t="s">
        <v>12</v>
      </c>
      <c r="D44" s="9" t="s">
        <v>37</v>
      </c>
      <c r="E44" s="20">
        <f>(+'New Indoor_Outdoor Values'!O36)*E7/8760</f>
        <v>98.17500000000001</v>
      </c>
      <c r="F44" s="21"/>
      <c r="G44" s="21"/>
    </row>
    <row r="45" spans="1:7" ht="12.75">
      <c r="A45" s="27"/>
      <c r="B45" s="30"/>
      <c r="C45" s="8" t="s">
        <v>12</v>
      </c>
      <c r="D45" s="9" t="s">
        <v>38</v>
      </c>
      <c r="E45" s="20">
        <f>(+'New Indoor_Outdoor Values'!O37)*E7/8760</f>
        <v>2712.3250000000003</v>
      </c>
      <c r="F45" s="21"/>
      <c r="G45" s="21"/>
    </row>
    <row r="46" spans="1:7" ht="12.75">
      <c r="A46" s="27"/>
      <c r="B46" s="30"/>
      <c r="C46" s="8" t="s">
        <v>14</v>
      </c>
      <c r="D46" s="9" t="s">
        <v>37</v>
      </c>
      <c r="E46" s="20">
        <f>(+'New Indoor_Outdoor Values'!O38)*E9/8760</f>
        <v>153</v>
      </c>
      <c r="F46" s="21"/>
      <c r="G46" s="21"/>
    </row>
    <row r="47" spans="1:7" ht="12.75">
      <c r="A47" s="27"/>
      <c r="B47" s="30"/>
      <c r="C47" s="8" t="s">
        <v>14</v>
      </c>
      <c r="D47" s="9" t="s">
        <v>38</v>
      </c>
      <c r="E47" s="20">
        <f>(+'New Indoor_Outdoor Values'!O39)*E9/8760</f>
        <v>4227</v>
      </c>
      <c r="F47" s="21"/>
      <c r="G47" s="21"/>
    </row>
    <row r="48" spans="1:7" ht="12.75">
      <c r="A48" s="27"/>
      <c r="B48" s="30"/>
      <c r="C48" s="8" t="s">
        <v>16</v>
      </c>
      <c r="D48" s="9" t="s">
        <v>37</v>
      </c>
      <c r="E48" s="20">
        <f>(+'New Indoor_Outdoor Values'!O40)*E11/8760</f>
        <v>205.82142857142858</v>
      </c>
      <c r="F48" s="21"/>
      <c r="G48" s="21"/>
    </row>
    <row r="49" spans="1:7" ht="12.75">
      <c r="A49" s="27"/>
      <c r="B49" s="30"/>
      <c r="C49" s="8" t="s">
        <v>16</v>
      </c>
      <c r="D49" s="9" t="s">
        <v>38</v>
      </c>
      <c r="E49" s="20">
        <f>(+'New Indoor_Outdoor Values'!O41)*E11/8760</f>
        <v>5686.3214285714275</v>
      </c>
      <c r="F49" s="21"/>
      <c r="G49" s="21"/>
    </row>
    <row r="50" spans="1:7" ht="12.75">
      <c r="A50" s="27"/>
      <c r="B50" s="30"/>
      <c r="C50" s="8" t="s">
        <v>18</v>
      </c>
      <c r="D50" s="9" t="s">
        <v>37</v>
      </c>
      <c r="E50" s="20">
        <f>(+'New Indoor_Outdoor Values'!O42)*E13/8760</f>
        <v>193.8</v>
      </c>
      <c r="F50" s="21"/>
      <c r="G50" s="21"/>
    </row>
    <row r="51" spans="1:7" ht="12.75">
      <c r="A51" s="27"/>
      <c r="B51" s="30"/>
      <c r="C51" s="8" t="s">
        <v>18</v>
      </c>
      <c r="D51" s="9" t="s">
        <v>38</v>
      </c>
      <c r="E51" s="20">
        <f>(+'New Indoor_Outdoor Values'!O43)*E13/8760</f>
        <v>4087.5333333333333</v>
      </c>
      <c r="F51" s="21"/>
      <c r="G51" s="21"/>
    </row>
    <row r="52" spans="1:7" ht="12.75">
      <c r="A52" s="27"/>
      <c r="B52" s="30"/>
      <c r="C52" s="8" t="s">
        <v>18</v>
      </c>
      <c r="D52" s="9" t="s">
        <v>35</v>
      </c>
      <c r="E52" s="20">
        <f>(+'New Indoor_Outdoor Values'!O44)*E13/8760</f>
        <v>253.33333333333334</v>
      </c>
      <c r="F52" s="21"/>
      <c r="G52" s="21"/>
    </row>
    <row r="53" spans="1:7" ht="12.75">
      <c r="A53" s="27"/>
      <c r="B53" s="30"/>
      <c r="C53" s="8" t="s">
        <v>18</v>
      </c>
      <c r="D53" s="9" t="s">
        <v>39</v>
      </c>
      <c r="E53" s="20">
        <f>(+'New Indoor_Outdoor Values'!O45)*E13/8760</f>
        <v>1013.3333333333334</v>
      </c>
      <c r="F53" s="21"/>
      <c r="G53" s="21"/>
    </row>
    <row r="54" spans="1:7" ht="12.75">
      <c r="A54" s="27"/>
      <c r="B54" s="30"/>
      <c r="C54" s="8" t="s">
        <v>19</v>
      </c>
      <c r="D54" s="9" t="s">
        <v>37</v>
      </c>
      <c r="E54" s="20">
        <f>(+'New Indoor_Outdoor Values'!O46)*E14/8760</f>
        <v>144.075</v>
      </c>
      <c r="F54" s="21"/>
      <c r="G54" s="21"/>
    </row>
    <row r="55" spans="1:7" ht="12.75">
      <c r="A55" s="28"/>
      <c r="B55" s="31"/>
      <c r="C55" s="8" t="s">
        <v>19</v>
      </c>
      <c r="D55" s="9" t="s">
        <v>38</v>
      </c>
      <c r="E55" s="20">
        <f>(+'New Indoor_Outdoor Values'!O47)*E14/8760</f>
        <v>3980.425</v>
      </c>
      <c r="F55" s="21"/>
      <c r="G55" s="21"/>
    </row>
    <row r="56" spans="1:7" ht="12.75">
      <c r="A56" s="26" t="s">
        <v>40</v>
      </c>
      <c r="B56" s="26"/>
      <c r="C56" s="8" t="s">
        <v>11</v>
      </c>
      <c r="D56" s="9" t="s">
        <v>41</v>
      </c>
      <c r="E56" s="20">
        <f>(+'New Indoor_Outdoor Values'!O48)*E6/8760</f>
        <v>1642.5</v>
      </c>
      <c r="F56" s="21"/>
      <c r="G56" s="21"/>
    </row>
    <row r="57" spans="1:7" ht="12.75">
      <c r="A57" s="27"/>
      <c r="B57" s="27"/>
      <c r="C57" s="8" t="s">
        <v>12</v>
      </c>
      <c r="D57" s="9" t="s">
        <v>41</v>
      </c>
      <c r="E57" s="20">
        <f>(+'New Indoor_Outdoor Values'!O49)*E7/8760</f>
        <v>2810.5000000000005</v>
      </c>
      <c r="F57" s="21"/>
      <c r="G57" s="21"/>
    </row>
    <row r="58" spans="1:7" ht="12.75">
      <c r="A58" s="27"/>
      <c r="B58" s="27"/>
      <c r="C58" s="8" t="s">
        <v>14</v>
      </c>
      <c r="D58" s="9" t="s">
        <v>41</v>
      </c>
      <c r="E58" s="20">
        <f>(+'New Indoor_Outdoor Values'!O50)*E9/8760</f>
        <v>4380</v>
      </c>
      <c r="F58" s="21"/>
      <c r="G58" s="21"/>
    </row>
    <row r="59" spans="1:7" ht="12.75">
      <c r="A59" s="27"/>
      <c r="B59" s="27"/>
      <c r="C59" s="8" t="s">
        <v>16</v>
      </c>
      <c r="D59" s="9" t="s">
        <v>41</v>
      </c>
      <c r="E59" s="20">
        <f>(+'New Indoor_Outdoor Values'!O51)*E11/8760</f>
        <v>5892.142857142857</v>
      </c>
      <c r="F59" s="21"/>
      <c r="G59" s="21"/>
    </row>
    <row r="60" spans="1:7" ht="12.75">
      <c r="A60" s="27"/>
      <c r="B60" s="27"/>
      <c r="C60" s="8" t="s">
        <v>18</v>
      </c>
      <c r="D60" s="9" t="s">
        <v>41</v>
      </c>
      <c r="E60" s="20">
        <f>(+'New Indoor_Outdoor Values'!O52)*E13/8760</f>
        <v>4281.333333333333</v>
      </c>
      <c r="F60" s="21"/>
      <c r="G60" s="21"/>
    </row>
    <row r="61" spans="1:7" ht="12.75">
      <c r="A61" s="27"/>
      <c r="B61" s="27"/>
      <c r="C61" s="8" t="s">
        <v>18</v>
      </c>
      <c r="D61" s="9" t="s">
        <v>35</v>
      </c>
      <c r="E61" s="20">
        <f>(+'New Indoor_Outdoor Values'!O53)*E13/8760</f>
        <v>1266.6666666666667</v>
      </c>
      <c r="F61" s="21"/>
      <c r="G61" s="21"/>
    </row>
    <row r="62" spans="1:7" ht="12.75">
      <c r="A62" s="28"/>
      <c r="B62" s="28"/>
      <c r="C62" s="8" t="s">
        <v>19</v>
      </c>
      <c r="D62" s="9" t="s">
        <v>41</v>
      </c>
      <c r="E62" s="20">
        <f>(+'New Indoor_Outdoor Values'!O54)*E14/8760</f>
        <v>4124.5</v>
      </c>
      <c r="F62" s="21"/>
      <c r="G62" s="21"/>
    </row>
    <row r="63" spans="1:7" ht="12.75">
      <c r="A63" s="26" t="s">
        <v>42</v>
      </c>
      <c r="B63" s="26"/>
      <c r="C63" s="8" t="s">
        <v>11</v>
      </c>
      <c r="D63" s="9" t="s">
        <v>37</v>
      </c>
      <c r="E63" s="20">
        <f>(+'New Indoor_Outdoor Values'!O55)*E6/8760</f>
        <v>1642.5</v>
      </c>
      <c r="F63" s="21"/>
      <c r="G63" s="21"/>
    </row>
    <row r="64" spans="1:7" ht="12.75">
      <c r="A64" s="27"/>
      <c r="B64" s="27"/>
      <c r="C64" s="8" t="s">
        <v>12</v>
      </c>
      <c r="D64" s="9" t="s">
        <v>37</v>
      </c>
      <c r="E64" s="20">
        <f>(+'New Indoor_Outdoor Values'!O56)*E7/8760</f>
        <v>2810.5000000000005</v>
      </c>
      <c r="F64" s="21"/>
      <c r="G64" s="21"/>
    </row>
    <row r="65" spans="1:7" ht="12.75">
      <c r="A65" s="27"/>
      <c r="B65" s="27"/>
      <c r="C65" s="8" t="s">
        <v>14</v>
      </c>
      <c r="D65" s="9" t="s">
        <v>37</v>
      </c>
      <c r="E65" s="20">
        <f>(+'New Indoor_Outdoor Values'!O57)*E9/8760</f>
        <v>4380</v>
      </c>
      <c r="F65" s="21"/>
      <c r="G65" s="21"/>
    </row>
    <row r="66" spans="1:7" ht="12.75">
      <c r="A66" s="27"/>
      <c r="B66" s="27"/>
      <c r="C66" s="8" t="s">
        <v>16</v>
      </c>
      <c r="D66" s="9" t="s">
        <v>37</v>
      </c>
      <c r="E66" s="20">
        <f>(+'New Indoor_Outdoor Values'!O58)*E11/8760</f>
        <v>5892.142857142857</v>
      </c>
      <c r="F66" s="21"/>
      <c r="G66" s="21"/>
    </row>
    <row r="67" spans="1:7" ht="12.75">
      <c r="A67" s="27"/>
      <c r="B67" s="27"/>
      <c r="C67" s="8" t="s">
        <v>18</v>
      </c>
      <c r="D67" s="9" t="s">
        <v>37</v>
      </c>
      <c r="E67" s="20">
        <f>(+'New Indoor_Outdoor Values'!O59)*E13/8760</f>
        <v>5548</v>
      </c>
      <c r="F67" s="21"/>
      <c r="G67" s="21"/>
    </row>
    <row r="68" spans="1:7" ht="12.75">
      <c r="A68" s="28"/>
      <c r="B68" s="28"/>
      <c r="C68" s="8" t="s">
        <v>19</v>
      </c>
      <c r="D68" s="9" t="s">
        <v>37</v>
      </c>
      <c r="E68" s="20">
        <f>(+'New Indoor_Outdoor Values'!O60)*E14/8760</f>
        <v>4124.5</v>
      </c>
      <c r="F68" s="21"/>
      <c r="G68" s="21"/>
    </row>
    <row r="69" spans="1:7" ht="12.75">
      <c r="A69" s="26" t="s">
        <v>43</v>
      </c>
      <c r="B69" s="26"/>
      <c r="C69" s="8" t="s">
        <v>11</v>
      </c>
      <c r="D69" s="9" t="s">
        <v>44</v>
      </c>
      <c r="E69" s="20">
        <f>(+'New Indoor_Outdoor Values'!O61)*E6/8760</f>
        <v>821.25</v>
      </c>
      <c r="F69" s="21"/>
      <c r="G69" s="21"/>
    </row>
    <row r="70" spans="1:7" ht="12.75">
      <c r="A70" s="27"/>
      <c r="B70" s="27"/>
      <c r="C70" s="8" t="s">
        <v>12</v>
      </c>
      <c r="D70" s="9" t="s">
        <v>44</v>
      </c>
      <c r="E70" s="20">
        <f>(+'New Indoor_Outdoor Values'!O62)*E7/8760</f>
        <v>1405.2500000000002</v>
      </c>
      <c r="F70" s="21"/>
      <c r="G70" s="21"/>
    </row>
    <row r="71" spans="1:7" ht="12.75">
      <c r="A71" s="27"/>
      <c r="B71" s="27"/>
      <c r="C71" s="8" t="s">
        <v>14</v>
      </c>
      <c r="D71" s="9" t="s">
        <v>44</v>
      </c>
      <c r="E71" s="20">
        <f>(+'New Indoor_Outdoor Values'!O63)*E9/8760</f>
        <v>2190</v>
      </c>
      <c r="F71" s="21"/>
      <c r="G71" s="21"/>
    </row>
    <row r="72" spans="1:7" ht="12.75">
      <c r="A72" s="27"/>
      <c r="B72" s="27"/>
      <c r="C72" s="8" t="s">
        <v>16</v>
      </c>
      <c r="D72" s="9" t="s">
        <v>44</v>
      </c>
      <c r="E72" s="20">
        <f>(+'New Indoor_Outdoor Values'!O64)*E11/8760</f>
        <v>2946.0714285714284</v>
      </c>
      <c r="F72" s="21"/>
      <c r="G72" s="21"/>
    </row>
    <row r="73" spans="1:7" ht="12.75">
      <c r="A73" s="27"/>
      <c r="B73" s="27"/>
      <c r="C73" s="8" t="s">
        <v>18</v>
      </c>
      <c r="D73" s="9" t="s">
        <v>44</v>
      </c>
      <c r="E73" s="20">
        <f>(+'New Indoor_Outdoor Values'!O65)*E13/8760</f>
        <v>2774</v>
      </c>
      <c r="F73" s="21"/>
      <c r="G73" s="21"/>
    </row>
    <row r="74" spans="1:7" ht="12.75">
      <c r="A74" s="28"/>
      <c r="B74" s="28"/>
      <c r="C74" s="8" t="s">
        <v>19</v>
      </c>
      <c r="D74" s="9" t="s">
        <v>44</v>
      </c>
      <c r="E74" s="20">
        <f>(+'New Indoor_Outdoor Values'!O66)*E14/8760</f>
        <v>2062.25</v>
      </c>
      <c r="F74" s="21"/>
      <c r="G74" s="21"/>
    </row>
  </sheetData>
  <mergeCells count="13">
    <mergeCell ref="A56:B62"/>
    <mergeCell ref="A63:B68"/>
    <mergeCell ref="A69:B74"/>
    <mergeCell ref="E20:E21"/>
    <mergeCell ref="A22:B28"/>
    <mergeCell ref="A29:B34"/>
    <mergeCell ref="A35:B41"/>
    <mergeCell ref="A42:B55"/>
    <mergeCell ref="A1:F1"/>
    <mergeCell ref="A20:B21"/>
    <mergeCell ref="C20:C21"/>
    <mergeCell ref="D20:D21"/>
    <mergeCell ref="A3:G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 International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Mark</cp:lastModifiedBy>
  <cp:lastPrinted>2004-10-20T18:45:36Z</cp:lastPrinted>
  <dcterms:created xsi:type="dcterms:W3CDTF">2003-08-13T19:46:31Z</dcterms:created>
  <dcterms:modified xsi:type="dcterms:W3CDTF">2004-10-20T19:53:43Z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-1568031860</vt:i4>
  </property>
  <property fmtid="{D5CDD505-2E9C-101B-9397-08002B2CF9AE}" pid="3" name="_EmailSubject">
    <vt:lpwstr/>
  </property>
  <property fmtid="{D5CDD505-2E9C-101B-9397-08002B2CF9AE}" pid="4" name="_AuthorEmail">
    <vt:lpwstr>WEJoyce@atlintl.com</vt:lpwstr>
  </property>
  <property fmtid="{D5CDD505-2E9C-101B-9397-08002B2CF9AE}" pid="5" name="_AuthorEmailDisplayName">
    <vt:lpwstr>Joyce, William</vt:lpwstr>
  </property>
  <property fmtid="{D5CDD505-2E9C-101B-9397-08002B2CF9AE}" pid="6" name="_ReviewingToolsShownOnce">
    <vt:lpwstr/>
  </property>
</Properties>
</file>