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1"/>
  </bookViews>
  <sheets>
    <sheet name="04rnkg" sheetId="1" r:id="rId1"/>
    <sheet name="04practices" sheetId="2" r:id="rId2"/>
    <sheet name="LINCOLN RC's" sheetId="3" r:id="rId3"/>
    <sheet name="ERW&amp;ORW" sheetId="4" r:id="rId4"/>
  </sheets>
  <definedNames>
    <definedName name="_xlnm.Print_Area" localSheetId="1">'04practices'!$A$1:$N$63</definedName>
    <definedName name="_xlnm.Print_Area" localSheetId="0">'04rnkg'!$B$1:$L$79</definedName>
  </definedNames>
  <calcPr fullCalcOnLoad="1"/>
</workbook>
</file>

<file path=xl/sharedStrings.xml><?xml version="1.0" encoding="utf-8"?>
<sst xmlns="http://schemas.openxmlformats.org/spreadsheetml/2006/main" count="354" uniqueCount="197">
  <si>
    <t>Outstanding &amp; Exceptional Resource Waters (Streams &amp; Rivers) in Linocln County</t>
  </si>
  <si>
    <t>(Source:  Headwaters Basin Integrated Management Plan, December 2002 PUBL WT 662 2002)</t>
  </si>
  <si>
    <t>ERW</t>
  </si>
  <si>
    <t>Armstrong Cr</t>
  </si>
  <si>
    <t>Prast Cr</t>
  </si>
  <si>
    <t>Averill Cr</t>
  </si>
  <si>
    <t>Big Cain Cr</t>
  </si>
  <si>
    <t>Prospect Cr</t>
  </si>
  <si>
    <t>Big Pine Cr</t>
  </si>
  <si>
    <t>Rajek Cr</t>
  </si>
  <si>
    <t>Black Alder Cr</t>
  </si>
  <si>
    <t>Ripley Cr</t>
  </si>
  <si>
    <t>Brant Cr.</t>
  </si>
  <si>
    <t>Shea Cr</t>
  </si>
  <si>
    <t>Camp Twent-Six Cr</t>
  </si>
  <si>
    <t>Joe Snow Cr</t>
  </si>
  <si>
    <t>ORW</t>
  </si>
  <si>
    <t>Center Fk New Wood River</t>
  </si>
  <si>
    <t>Kippenberg Cr</t>
  </si>
  <si>
    <t>ERW/ORW</t>
  </si>
  <si>
    <t>Un-named creek in the Copper River Watershed</t>
  </si>
  <si>
    <t>Krueger Cr</t>
  </si>
  <si>
    <t>E. Fk New Wood River</t>
  </si>
  <si>
    <t>Little Cain Cr</t>
  </si>
  <si>
    <t>Flanigan Cr</t>
  </si>
  <si>
    <t>Little Oxbo Cr</t>
  </si>
  <si>
    <t>Green Meadow Cr</t>
  </si>
  <si>
    <t>Little Pine Cr</t>
  </si>
  <si>
    <t>Hay Cr</t>
  </si>
  <si>
    <t>Little Trappe Riv</t>
  </si>
  <si>
    <t>N. Br Prairie River</t>
  </si>
  <si>
    <t>Manacke Cr</t>
  </si>
  <si>
    <t>New Wood Cr</t>
  </si>
  <si>
    <t>Spring Cr</t>
  </si>
  <si>
    <t>Oxbo Cr</t>
  </si>
  <si>
    <t>Stevens Cr</t>
  </si>
  <si>
    <t>Pat Smith Cr</t>
  </si>
  <si>
    <t>Welders Cr</t>
  </si>
  <si>
    <t>Prairie River</t>
  </si>
  <si>
    <t>Wolf Cr</t>
  </si>
  <si>
    <t>Resource Concerns for 2004 Lincoln County EQIP Sign Up</t>
  </si>
  <si>
    <t>SE1</t>
  </si>
  <si>
    <t>SOIL</t>
  </si>
  <si>
    <t>Soil Quality</t>
  </si>
  <si>
    <t>Excessive Sheet &amp; Rill Erosion</t>
  </si>
  <si>
    <t>SE2</t>
  </si>
  <si>
    <t>Excessive Other Erosion, Gully, Scour, Streambank</t>
  </si>
  <si>
    <t>WS1</t>
  </si>
  <si>
    <t>WATER</t>
  </si>
  <si>
    <t>Surface Water Quality</t>
  </si>
  <si>
    <t>Nutrients</t>
  </si>
  <si>
    <t>WS2</t>
  </si>
  <si>
    <t>Animal Waste, Organics, Pathogens</t>
  </si>
  <si>
    <t>WS3</t>
  </si>
  <si>
    <t>Pesticides</t>
  </si>
  <si>
    <t>WS7</t>
  </si>
  <si>
    <t>Sedimentation</t>
  </si>
  <si>
    <t>WS8</t>
  </si>
  <si>
    <t>Streambank &amp; Shoreline Erosion &amp; Degred.</t>
  </si>
  <si>
    <t>PF3</t>
  </si>
  <si>
    <t>PLANTS</t>
  </si>
  <si>
    <t>Forest Health</t>
  </si>
  <si>
    <t>Other</t>
  </si>
  <si>
    <t>PG1</t>
  </si>
  <si>
    <t>Grazing Lands Health</t>
  </si>
  <si>
    <t>Excessive Erosion</t>
  </si>
  <si>
    <t>PG2</t>
  </si>
  <si>
    <t>Invasion of Noxious Weeds</t>
  </si>
  <si>
    <t>PG3</t>
  </si>
  <si>
    <t>Invasion of Woody Vegetation</t>
  </si>
  <si>
    <t>AH6</t>
  </si>
  <si>
    <t>ANIMALS</t>
  </si>
  <si>
    <t>Habitat Quality</t>
  </si>
  <si>
    <t>Sedimentation or Eutrophication of Water Body</t>
  </si>
  <si>
    <t>Producer Name:</t>
  </si>
  <si>
    <t>RANKING SHEET SCORE:</t>
  </si>
  <si>
    <t>Farm Number:</t>
  </si>
  <si>
    <t>RESOURCE CONCERN:</t>
  </si>
  <si>
    <t>Tract Number:</t>
  </si>
  <si>
    <t xml:space="preserve">       </t>
  </si>
  <si>
    <t>Flat</t>
  </si>
  <si>
    <t xml:space="preserve"> </t>
  </si>
  <si>
    <t>Cost</t>
  </si>
  <si>
    <t>Rate or</t>
  </si>
  <si>
    <t>Treatment</t>
  </si>
  <si>
    <t>Total</t>
  </si>
  <si>
    <t xml:space="preserve">EQIP </t>
  </si>
  <si>
    <t>Share</t>
  </si>
  <si>
    <t>Max.</t>
  </si>
  <si>
    <t>Units</t>
  </si>
  <si>
    <t>Project</t>
  </si>
  <si>
    <t xml:space="preserve">Cost </t>
  </si>
  <si>
    <t>Practice Name</t>
  </si>
  <si>
    <t>Rate</t>
  </si>
  <si>
    <t>Limit</t>
  </si>
  <si>
    <t>Needed</t>
  </si>
  <si>
    <t>Access Road</t>
  </si>
  <si>
    <t>Ft</t>
  </si>
  <si>
    <t>Animal Trails and Walkways</t>
  </si>
  <si>
    <t>Brush Management-Medium I</t>
  </si>
  <si>
    <t>Ac</t>
  </si>
  <si>
    <t xml:space="preserve">      Brush Management-Medium II</t>
  </si>
  <si>
    <t xml:space="preserve">      Brush Management-Heavy</t>
  </si>
  <si>
    <t>Closure of Waste Impoundments</t>
  </si>
  <si>
    <t>No.</t>
  </si>
  <si>
    <t>Conservation Cover</t>
  </si>
  <si>
    <t>Contour Buffer Strip</t>
  </si>
  <si>
    <t>FR</t>
  </si>
  <si>
    <t>Contour Farming</t>
  </si>
  <si>
    <t>Cover Crop*</t>
  </si>
  <si>
    <t>Critical Area Planting</t>
  </si>
  <si>
    <t>Diversion</t>
  </si>
  <si>
    <t>Fence-Barnyard</t>
  </si>
  <si>
    <t>Field Border</t>
  </si>
  <si>
    <t>Filter Strip</t>
  </si>
  <si>
    <t>Firebreak</t>
  </si>
  <si>
    <t>Forest Site Preparation</t>
  </si>
  <si>
    <t>Forest Stand Improvement</t>
  </si>
  <si>
    <t>Grade Stabilization Structure</t>
  </si>
  <si>
    <t>Grassed Waterway</t>
  </si>
  <si>
    <t>Heavy Use Area Protection-Nonbarnyard</t>
  </si>
  <si>
    <t xml:space="preserve">     Heavy Use Area Protection-Barnyard</t>
  </si>
  <si>
    <t>Lined Waterway or Outlet</t>
  </si>
  <si>
    <t>Mulching</t>
  </si>
  <si>
    <t>Nutrient Management</t>
  </si>
  <si>
    <t>7-3Yrs.</t>
  </si>
  <si>
    <t>Pasture and Hayland Planting</t>
  </si>
  <si>
    <t>Pest Management-Field Crops</t>
  </si>
  <si>
    <t>2-3 Yrs.</t>
  </si>
  <si>
    <t xml:space="preserve">     Pest Management-Specialty Crops</t>
  </si>
  <si>
    <t>4-3 Yrs.</t>
  </si>
  <si>
    <t>Prescribed Burning</t>
  </si>
  <si>
    <t>528A</t>
  </si>
  <si>
    <t>329A</t>
  </si>
  <si>
    <t>15-3 Yrs.</t>
  </si>
  <si>
    <t>329B</t>
  </si>
  <si>
    <t>10-3 Yrs.</t>
  </si>
  <si>
    <t>Roof Runoff Management</t>
  </si>
  <si>
    <t>Sediment Basin-Nonbarnyard</t>
  </si>
  <si>
    <t xml:space="preserve">     Sediment Basin-Barnyard</t>
  </si>
  <si>
    <t>Streambank and Shoreline Protection</t>
  </si>
  <si>
    <t>Stream Channel Stabilization</t>
  </si>
  <si>
    <t>Stripcropping</t>
  </si>
  <si>
    <t>Structure for Water Control</t>
  </si>
  <si>
    <t>Tree and Shrub Pruning</t>
  </si>
  <si>
    <t>Tree/Shrub Establishment</t>
  </si>
  <si>
    <t>Underground Outlet</t>
  </si>
  <si>
    <t>Use Exclusion</t>
  </si>
  <si>
    <t>Water and Sediment Control Basin</t>
  </si>
  <si>
    <t>Well Decommissioning</t>
  </si>
  <si>
    <t>Windbreak/Shelterbelt Establishment</t>
  </si>
  <si>
    <t>TOTAL COST SHARE REQUESTED</t>
  </si>
  <si>
    <t>* 340 Cover Crop is to control erosion when the major crops do not provide adequate cover (only speficic mixtures are eligble)</t>
  </si>
  <si>
    <t>Address:</t>
  </si>
  <si>
    <t>Tract number:</t>
  </si>
  <si>
    <t>Application Date:</t>
  </si>
  <si>
    <t>SCORE</t>
  </si>
  <si>
    <t>Yes</t>
  </si>
  <si>
    <t>No</t>
  </si>
  <si>
    <t>x</t>
  </si>
  <si>
    <t>TIE BREAKER</t>
  </si>
  <si>
    <t>Prescribed Grazing-Cropland**</t>
  </si>
  <si>
    <t>Prescribed Grazing-Pasture**</t>
  </si>
  <si>
    <t>Residue Management-No Till***</t>
  </si>
  <si>
    <t>Residue Management-Mulch Till***</t>
  </si>
  <si>
    <t>Well****</t>
  </si>
  <si>
    <t>****   642 Well is for Livestock Watering Purposes Only</t>
  </si>
  <si>
    <t>**  329A/329B Eiligble Acres for Residue Mgmt are limited to 500 acres per applicant</t>
  </si>
  <si>
    <t>***   528A Prescribed Grazing is limited to the # acres neccessary to meet the needs of the existing # animals</t>
  </si>
  <si>
    <t>Cropland</t>
  </si>
  <si>
    <t xml:space="preserve">Grazing Lands </t>
  </si>
  <si>
    <t>1.  Sheet and rill erosion is planned to "T" by the conversion of cropland to a managed grazing system.</t>
  </si>
  <si>
    <t>2.  Sheet and rill erosion is planned to "T" or less by the implementation of a managed grazing system on existing pasture.</t>
  </si>
  <si>
    <t>3. Woody and/or invasive vegetation will be controlled with the implementation of practices on this application.</t>
  </si>
  <si>
    <t>Forestry</t>
  </si>
  <si>
    <t>1.  Tree/shrubs will be established in open fields. If yes, go to 2.  If no, go to 3.</t>
  </si>
  <si>
    <t xml:space="preserve">2.  Conifers will be planted in open fields. </t>
  </si>
  <si>
    <t>3. Tree/shrubs will be established in understocked woodlands or other existing wooded areas.</t>
  </si>
  <si>
    <t>4. Forest Stand Improvement (i.e. pruning) will be implemented.</t>
  </si>
  <si>
    <t>5.  Forest resources will be protected from livestock with the implementation of practices on this application.</t>
  </si>
  <si>
    <t>feet from surface water.</t>
  </si>
  <si>
    <r>
      <t xml:space="preserve">1. Sheet and rill erosion is </t>
    </r>
    <r>
      <rPr>
        <u val="single"/>
        <sz val="9"/>
        <rFont val="Comic Sans MS"/>
        <family val="4"/>
      </rPr>
      <t>reduced</t>
    </r>
    <r>
      <rPr>
        <sz val="9"/>
        <rFont val="Comic Sans MS"/>
        <family val="4"/>
      </rPr>
      <t xml:space="preserve"> to "T" or less with the implementation of practice(s) on this application</t>
    </r>
  </si>
  <si>
    <t xml:space="preserve">Area to be treated is </t>
  </si>
  <si>
    <t>LINCOLN</t>
  </si>
  <si>
    <t>Practice(s) will be located within 300' of ERW/ORW as identified in the Headwaters Basin Mgmt Plan?</t>
  </si>
  <si>
    <t>Name of Water Body____________________________________</t>
  </si>
  <si>
    <t>2. Streambanks and/or shorelines are protected with the implementation of practices on this application.</t>
  </si>
  <si>
    <t>3.  A nutrient management plan (NRCS Std 590) will be developed for all cropland acres on this application.</t>
  </si>
  <si>
    <t>4.  A minimum tillage system,(30-50% residue after planting) will be implemented.</t>
  </si>
  <si>
    <t>5.  Cover crops will be planted to control erosion.(winter rye, ryegrass, sorghum, oats or sudan grass)</t>
  </si>
  <si>
    <t>Cropland TOTAL</t>
  </si>
  <si>
    <t>Grazing Lands TOTAL</t>
  </si>
  <si>
    <t>Forestry TOTAL</t>
  </si>
  <si>
    <t>RANKING SHEET TOTAL</t>
  </si>
  <si>
    <t>TOTAL WITH TIE BREAKER</t>
  </si>
  <si>
    <t>EQIP FY2004 Ranking Sheet, LINCOLN County Signup</t>
  </si>
  <si>
    <t>Cons. Crop Rotation-Organic (40 ac. max)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</si>
</sst>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0"/>
    <numFmt numFmtId="171" formatCode="0.0"/>
    <numFmt numFmtId="172" formatCode="0.00000"/>
    <numFmt numFmtId="173" formatCode="0.000000"/>
    <numFmt numFmtId="174" formatCode="_(* #,##0.000_);_(* \(#,##0.000\);_(* &quot;-&quot;??_);_(@_)"/>
    <numFmt numFmtId="175" formatCode="_(* #,##0.0000_);_(* \(#,##0.000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6"/>
      <name val="Arial"/>
      <family val="2"/>
    </font>
    <font>
      <sz val="11"/>
      <name val="Times New Roman"/>
      <family val="1"/>
    </font>
    <font>
      <sz val="11"/>
      <name val="Comic Sans MS"/>
      <family val="4"/>
    </font>
    <font>
      <sz val="10"/>
      <name val="Comic Sans MS"/>
      <family val="4"/>
    </font>
    <font>
      <sz val="12"/>
      <name val="Arial"/>
      <family val="0"/>
    </font>
    <font>
      <b/>
      <sz val="11"/>
      <name val="Comic Sans MS"/>
      <family val="4"/>
    </font>
    <font>
      <sz val="11"/>
      <name val="Arial"/>
      <family val="0"/>
    </font>
    <font>
      <b/>
      <sz val="11"/>
      <name val="Times New Roman"/>
      <family val="1"/>
    </font>
    <font>
      <b/>
      <sz val="12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u val="single"/>
      <sz val="9"/>
      <name val="Comic Sans MS"/>
      <family val="4"/>
    </font>
    <font>
      <b/>
      <sz val="12"/>
      <color indexed="10"/>
      <name val="Comic Sans MS"/>
      <family val="4"/>
    </font>
    <font>
      <u val="single"/>
      <sz val="9"/>
      <color indexed="10"/>
      <name val="Comic Sans MS"/>
      <family val="4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4" fontId="5" fillId="2" borderId="0" xfId="17" applyFont="1" applyFill="1" applyAlignment="1">
      <alignment vertical="center"/>
    </xf>
    <xf numFmtId="165" fontId="5" fillId="0" borderId="0" xfId="15" applyNumberFormat="1" applyFont="1" applyFill="1" applyAlignment="1">
      <alignment vertical="center"/>
    </xf>
    <xf numFmtId="165" fontId="5" fillId="0" borderId="0" xfId="0" applyNumberFormat="1" applyFont="1" applyFill="1" applyAlignment="1" applyProtection="1">
      <alignment vertical="center"/>
      <protection locked="0"/>
    </xf>
    <xf numFmtId="165" fontId="5" fillId="2" borderId="0" xfId="15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5" fillId="0" borderId="0" xfId="15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vertical="center"/>
    </xf>
    <xf numFmtId="44" fontId="5" fillId="2" borderId="0" xfId="17" applyFont="1" applyFill="1" applyAlignment="1">
      <alignment horizontal="right" vertical="center"/>
    </xf>
    <xf numFmtId="2" fontId="5" fillId="2" borderId="0" xfId="0" applyNumberFormat="1" applyFont="1" applyFill="1" applyAlignment="1">
      <alignment vertical="center"/>
    </xf>
    <xf numFmtId="169" fontId="5" fillId="2" borderId="0" xfId="17" applyNumberFormat="1" applyFont="1" applyFill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166" fontId="13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6" fillId="0" borderId="0" xfId="0" applyFont="1" applyAlignment="1">
      <alignment/>
    </xf>
    <xf numFmtId="166" fontId="14" fillId="3" borderId="0" xfId="0" applyNumberFormat="1" applyFont="1" applyFill="1" applyBorder="1" applyAlignment="1">
      <alignment/>
    </xf>
    <xf numFmtId="166" fontId="12" fillId="0" borderId="0" xfId="0" applyNumberFormat="1" applyFont="1" applyFill="1" applyAlignment="1">
      <alignment horizontal="center"/>
    </xf>
    <xf numFmtId="165" fontId="18" fillId="2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67</xdr:row>
      <xdr:rowOff>0</xdr:rowOff>
    </xdr:from>
    <xdr:to>
      <xdr:col>9</xdr:col>
      <xdr:colOff>142875</xdr:colOff>
      <xdr:row>67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52975" y="136874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70</xdr:row>
      <xdr:rowOff>0</xdr:rowOff>
    </xdr:from>
    <xdr:to>
      <xdr:col>9</xdr:col>
      <xdr:colOff>142875</xdr:colOff>
      <xdr:row>70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52975" y="14325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524125" y="17306925"/>
          <a:ext cx="190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workbookViewId="0" topLeftCell="A63">
      <selection activeCell="L74" sqref="L74"/>
    </sheetView>
  </sheetViews>
  <sheetFormatPr defaultColWidth="9.140625" defaultRowHeight="16.5" customHeight="1"/>
  <cols>
    <col min="1" max="1" width="1.28515625" style="39" customWidth="1"/>
    <col min="2" max="5" width="9.140625" style="39" customWidth="1"/>
    <col min="6" max="6" width="2.8515625" style="39" customWidth="1"/>
    <col min="7" max="7" width="9.140625" style="39" customWidth="1"/>
    <col min="8" max="8" width="10.140625" style="39" customWidth="1"/>
    <col min="9" max="9" width="9.140625" style="39" customWidth="1"/>
    <col min="10" max="10" width="2.140625" style="39" customWidth="1"/>
    <col min="11" max="11" width="9.140625" style="39" customWidth="1"/>
    <col min="12" max="12" width="22.140625" style="40" customWidth="1"/>
    <col min="13" max="16384" width="9.140625" style="39" customWidth="1"/>
  </cols>
  <sheetData>
    <row r="1" spans="1:13" ht="16.5" customHeight="1">
      <c r="A1" s="54" t="s">
        <v>195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4"/>
    </row>
    <row r="2" ht="16.5" customHeight="1">
      <c r="B2" s="39" t="s">
        <v>74</v>
      </c>
    </row>
    <row r="3" ht="16.5" customHeight="1">
      <c r="B3" s="39" t="s">
        <v>153</v>
      </c>
    </row>
    <row r="4" ht="16.5" customHeight="1">
      <c r="B4" s="39" t="s">
        <v>76</v>
      </c>
    </row>
    <row r="5" ht="16.5" customHeight="1">
      <c r="B5" s="39" t="s">
        <v>154</v>
      </c>
    </row>
    <row r="6" spans="2:12" ht="16.5" customHeight="1">
      <c r="B6" s="39" t="s">
        <v>183</v>
      </c>
      <c r="H6" s="39" t="s">
        <v>155</v>
      </c>
      <c r="L6" s="40" t="s">
        <v>156</v>
      </c>
    </row>
    <row r="7" spans="1:12" ht="1.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ht="16.5" customHeight="1">
      <c r="B8" s="39" t="s">
        <v>184</v>
      </c>
    </row>
    <row r="9" ht="16.5" customHeight="1">
      <c r="C9" s="39" t="s">
        <v>185</v>
      </c>
    </row>
    <row r="10" spans="4:8" ht="16.5" customHeight="1" thickBot="1">
      <c r="D10" s="44" t="s">
        <v>157</v>
      </c>
      <c r="H10" s="44" t="s">
        <v>158</v>
      </c>
    </row>
    <row r="11" spans="4:12" ht="16.5" customHeight="1" thickBot="1" thickTop="1">
      <c r="D11" s="45" t="s">
        <v>159</v>
      </c>
      <c r="E11" s="46"/>
      <c r="F11" s="46"/>
      <c r="H11" s="45"/>
      <c r="L11" s="40">
        <f>IF(+D11="x",25,0)</f>
        <v>25</v>
      </c>
    </row>
    <row r="12" spans="1:12" ht="16.5" customHeight="1" thickTop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</row>
    <row r="13" ht="16.5" customHeight="1">
      <c r="B13" s="50" t="s">
        <v>169</v>
      </c>
    </row>
    <row r="14" ht="3.75" customHeight="1"/>
    <row r="15" ht="16.5" customHeight="1">
      <c r="B15" s="39" t="s">
        <v>181</v>
      </c>
    </row>
    <row r="16" spans="4:8" ht="16.5" customHeight="1" thickBot="1">
      <c r="D16" s="44" t="s">
        <v>157</v>
      </c>
      <c r="E16" s="44"/>
      <c r="F16" s="44"/>
      <c r="G16" s="44"/>
      <c r="H16" s="44" t="s">
        <v>158</v>
      </c>
    </row>
    <row r="17" spans="4:12" ht="16.5" customHeight="1" thickBot="1" thickTop="1">
      <c r="D17" s="45" t="s">
        <v>159</v>
      </c>
      <c r="E17" s="46"/>
      <c r="F17" s="46"/>
      <c r="H17" s="45"/>
      <c r="L17" s="40">
        <f>IF(+D17="x",10,0)</f>
        <v>10</v>
      </c>
    </row>
    <row r="18" spans="4:8" ht="16.5" customHeight="1" thickTop="1">
      <c r="D18" s="47"/>
      <c r="E18" s="46"/>
      <c r="F18" s="46"/>
      <c r="H18" s="47"/>
    </row>
    <row r="19" ht="16.5" customHeight="1">
      <c r="B19" s="39" t="s">
        <v>186</v>
      </c>
    </row>
    <row r="20" spans="4:8" ht="16.5" customHeight="1" thickBot="1">
      <c r="D20" s="44" t="s">
        <v>157</v>
      </c>
      <c r="H20" s="44" t="s">
        <v>158</v>
      </c>
    </row>
    <row r="21" spans="4:12" ht="16.5" customHeight="1" thickBot="1" thickTop="1">
      <c r="D21" s="45" t="s">
        <v>159</v>
      </c>
      <c r="E21" s="46"/>
      <c r="F21" s="46"/>
      <c r="H21" s="45"/>
      <c r="L21" s="40">
        <f>IF(+D21="x",5,0)</f>
        <v>5</v>
      </c>
    </row>
    <row r="22" ht="16.5" customHeight="1" thickTop="1">
      <c r="L22" s="39"/>
    </row>
    <row r="23" spans="2:8" ht="16.5" customHeight="1">
      <c r="B23" s="39" t="s">
        <v>187</v>
      </c>
      <c r="D23" s="44"/>
      <c r="E23" s="46"/>
      <c r="F23" s="46"/>
      <c r="H23" s="44"/>
    </row>
    <row r="24" spans="4:8" ht="16.5" customHeight="1" thickBot="1">
      <c r="D24" s="44" t="s">
        <v>157</v>
      </c>
      <c r="H24" s="44" t="s">
        <v>158</v>
      </c>
    </row>
    <row r="25" spans="4:12" ht="16.5" customHeight="1" thickBot="1" thickTop="1">
      <c r="D25" s="45" t="s">
        <v>159</v>
      </c>
      <c r="E25" s="46"/>
      <c r="F25" s="46"/>
      <c r="H25" s="45"/>
      <c r="L25" s="40">
        <f>IF(+D25="x",60,0)</f>
        <v>60</v>
      </c>
    </row>
    <row r="26" ht="16.5" customHeight="1" thickTop="1"/>
    <row r="27" ht="16.5" customHeight="1">
      <c r="B27" s="39" t="s">
        <v>188</v>
      </c>
    </row>
    <row r="28" spans="4:8" ht="16.5" customHeight="1" thickBot="1">
      <c r="D28" s="44" t="s">
        <v>157</v>
      </c>
      <c r="H28" s="44" t="s">
        <v>158</v>
      </c>
    </row>
    <row r="29" spans="4:12" ht="16.5" customHeight="1" thickBot="1" thickTop="1">
      <c r="D29" s="45" t="s">
        <v>159</v>
      </c>
      <c r="E29" s="46"/>
      <c r="F29" s="46"/>
      <c r="H29" s="45"/>
      <c r="L29" s="40">
        <f>IF(+D29="x",50,0)</f>
        <v>50</v>
      </c>
    </row>
    <row r="30" ht="16.5" customHeight="1" thickTop="1"/>
    <row r="31" ht="16.5" customHeight="1">
      <c r="B31" s="39" t="s">
        <v>189</v>
      </c>
    </row>
    <row r="32" spans="4:8" ht="16.5" customHeight="1" thickBot="1">
      <c r="D32" s="44" t="s">
        <v>157</v>
      </c>
      <c r="H32" s="44" t="s">
        <v>158</v>
      </c>
    </row>
    <row r="33" spans="4:12" ht="16.5" customHeight="1" thickBot="1" thickTop="1">
      <c r="D33" s="45" t="s">
        <v>159</v>
      </c>
      <c r="E33" s="46"/>
      <c r="F33" s="46"/>
      <c r="H33" s="45"/>
      <c r="L33" s="40">
        <f>IF(+D33="x",40,0)</f>
        <v>40</v>
      </c>
    </row>
    <row r="34" spans="4:8" ht="16.5" customHeight="1" thickTop="1">
      <c r="D34" s="47"/>
      <c r="E34" s="46"/>
      <c r="F34" s="46"/>
      <c r="H34" s="47"/>
    </row>
    <row r="35" spans="4:8" ht="16.5" customHeight="1">
      <c r="D35" s="47"/>
      <c r="E35" s="46"/>
      <c r="F35" s="46"/>
      <c r="H35" s="47"/>
    </row>
    <row r="36" spans="2:12" ht="16.5" customHeight="1" thickBot="1">
      <c r="B36" s="59"/>
      <c r="C36" s="59"/>
      <c r="D36" s="60"/>
      <c r="E36" s="61"/>
      <c r="F36" s="61"/>
      <c r="G36" s="59"/>
      <c r="H36" s="60"/>
      <c r="I36" s="59"/>
      <c r="J36" s="59"/>
      <c r="K36" s="63" t="s">
        <v>190</v>
      </c>
      <c r="L36" s="62">
        <f>SUM(L17:L35)</f>
        <v>165</v>
      </c>
    </row>
    <row r="37" spans="2:8" ht="16.5" customHeight="1" thickTop="1">
      <c r="B37" s="50" t="s">
        <v>170</v>
      </c>
      <c r="D37" s="47"/>
      <c r="E37" s="46"/>
      <c r="F37" s="46"/>
      <c r="H37" s="47"/>
    </row>
    <row r="38" spans="2:8" ht="16.5" customHeight="1">
      <c r="B38" s="39" t="s">
        <v>171</v>
      </c>
      <c r="D38" s="47"/>
      <c r="E38" s="46"/>
      <c r="F38" s="46"/>
      <c r="H38" s="47"/>
    </row>
    <row r="39" spans="4:8" ht="16.5" customHeight="1" thickBot="1">
      <c r="D39" s="44" t="s">
        <v>157</v>
      </c>
      <c r="H39" s="44" t="s">
        <v>158</v>
      </c>
    </row>
    <row r="40" spans="4:12" ht="16.5" customHeight="1" thickBot="1" thickTop="1">
      <c r="D40" s="45" t="s">
        <v>159</v>
      </c>
      <c r="E40" s="46"/>
      <c r="F40" s="46"/>
      <c r="H40" s="45"/>
      <c r="L40" s="40">
        <f>IF(+D40="x",30,0)</f>
        <v>30</v>
      </c>
    </row>
    <row r="41" spans="4:8" ht="16.5" customHeight="1" thickTop="1">
      <c r="D41" s="47"/>
      <c r="E41" s="46"/>
      <c r="F41" s="46"/>
      <c r="H41" s="47"/>
    </row>
    <row r="42" spans="2:8" ht="16.5" customHeight="1">
      <c r="B42" s="39" t="s">
        <v>172</v>
      </c>
      <c r="D42" s="47"/>
      <c r="E42" s="46"/>
      <c r="F42" s="46"/>
      <c r="H42" s="47"/>
    </row>
    <row r="43" spans="4:8" ht="16.5" customHeight="1" thickBot="1">
      <c r="D43" s="44" t="s">
        <v>157</v>
      </c>
      <c r="H43" s="44" t="s">
        <v>158</v>
      </c>
    </row>
    <row r="44" spans="4:12" ht="16.5" customHeight="1" thickBot="1" thickTop="1">
      <c r="D44" s="45" t="s">
        <v>159</v>
      </c>
      <c r="E44" s="46"/>
      <c r="F44" s="46"/>
      <c r="H44" s="45"/>
      <c r="L44" s="40">
        <f>IF(+D44="x",20,0)</f>
        <v>20</v>
      </c>
    </row>
    <row r="45" spans="4:8" ht="16.5" customHeight="1" thickTop="1">
      <c r="D45" s="44"/>
      <c r="E45" s="46"/>
      <c r="F45" s="46"/>
      <c r="H45" s="44"/>
    </row>
    <row r="46" spans="2:8" ht="16.5" customHeight="1">
      <c r="B46" s="39" t="s">
        <v>173</v>
      </c>
      <c r="D46" s="44"/>
      <c r="E46" s="46"/>
      <c r="F46" s="46"/>
      <c r="H46" s="44"/>
    </row>
    <row r="47" spans="4:8" ht="16.5" customHeight="1" thickBot="1">
      <c r="D47" s="44" t="s">
        <v>157</v>
      </c>
      <c r="H47" s="44" t="s">
        <v>158</v>
      </c>
    </row>
    <row r="48" spans="4:12" ht="16.5" customHeight="1" thickBot="1" thickTop="1">
      <c r="D48" s="45" t="s">
        <v>159</v>
      </c>
      <c r="E48" s="46"/>
      <c r="F48" s="46"/>
      <c r="H48" s="45"/>
      <c r="L48" s="40">
        <f>IF(+D48="x",5,0)</f>
        <v>5</v>
      </c>
    </row>
    <row r="49" spans="4:8" ht="16.5" customHeight="1" thickTop="1">
      <c r="D49" s="47"/>
      <c r="E49" s="46"/>
      <c r="F49" s="46"/>
      <c r="H49" s="47"/>
    </row>
    <row r="50" spans="2:12" ht="16.5" customHeight="1" thickBot="1">
      <c r="B50" s="59"/>
      <c r="C50" s="59"/>
      <c r="D50" s="60"/>
      <c r="E50" s="61"/>
      <c r="F50" s="61"/>
      <c r="G50" s="59"/>
      <c r="H50" s="60"/>
      <c r="I50" s="59"/>
      <c r="J50" s="59"/>
      <c r="K50" s="63" t="s">
        <v>191</v>
      </c>
      <c r="L50" s="62">
        <f>L40+L44+L48</f>
        <v>55</v>
      </c>
    </row>
    <row r="51" spans="2:8" ht="16.5" customHeight="1" thickTop="1">
      <c r="B51" s="50" t="s">
        <v>174</v>
      </c>
      <c r="D51" s="47"/>
      <c r="E51" s="46"/>
      <c r="F51" s="46"/>
      <c r="H51" s="47"/>
    </row>
    <row r="52" spans="2:8" ht="16.5" customHeight="1">
      <c r="B52" s="39" t="s">
        <v>175</v>
      </c>
      <c r="D52" s="47"/>
      <c r="E52" s="46"/>
      <c r="F52" s="46"/>
      <c r="H52" s="47"/>
    </row>
    <row r="53" spans="4:8" ht="16.5" customHeight="1" thickBot="1">
      <c r="D53" s="44" t="s">
        <v>157</v>
      </c>
      <c r="H53" s="44" t="s">
        <v>158</v>
      </c>
    </row>
    <row r="54" spans="4:12" ht="16.5" customHeight="1" thickBot="1" thickTop="1">
      <c r="D54" s="45" t="s">
        <v>159</v>
      </c>
      <c r="E54" s="46"/>
      <c r="F54" s="46"/>
      <c r="H54" s="45"/>
      <c r="L54" s="40">
        <f>IF(+D54="x",10,0)</f>
        <v>10</v>
      </c>
    </row>
    <row r="55" spans="4:8" ht="16.5" customHeight="1" thickTop="1">
      <c r="D55" s="47"/>
      <c r="E55" s="46"/>
      <c r="F55" s="46"/>
      <c r="H55" s="47"/>
    </row>
    <row r="56" spans="2:8" ht="16.5" customHeight="1">
      <c r="B56" s="39" t="s">
        <v>176</v>
      </c>
      <c r="D56" s="47"/>
      <c r="E56" s="46"/>
      <c r="F56" s="46"/>
      <c r="H56" s="47"/>
    </row>
    <row r="57" spans="4:8" ht="16.5" customHeight="1" thickBot="1">
      <c r="D57" s="44" t="s">
        <v>157</v>
      </c>
      <c r="H57" s="44" t="s">
        <v>158</v>
      </c>
    </row>
    <row r="58" spans="4:12" ht="16.5" customHeight="1" thickBot="1" thickTop="1">
      <c r="D58" s="45" t="s">
        <v>159</v>
      </c>
      <c r="E58" s="46"/>
      <c r="F58" s="46"/>
      <c r="H58" s="45"/>
      <c r="L58" s="40">
        <f>IF(+D58="x",5,0)</f>
        <v>5</v>
      </c>
    </row>
    <row r="59" spans="4:8" ht="16.5" customHeight="1" thickTop="1">
      <c r="D59" s="47"/>
      <c r="E59" s="46"/>
      <c r="F59" s="46"/>
      <c r="H59" s="47"/>
    </row>
    <row r="60" spans="2:8" ht="16.5" customHeight="1">
      <c r="B60" s="39" t="s">
        <v>177</v>
      </c>
      <c r="D60" s="47"/>
      <c r="E60" s="46"/>
      <c r="F60" s="46"/>
      <c r="H60" s="47"/>
    </row>
    <row r="61" spans="4:8" ht="16.5" customHeight="1" thickBot="1">
      <c r="D61" s="44" t="s">
        <v>157</v>
      </c>
      <c r="H61" s="44" t="s">
        <v>158</v>
      </c>
    </row>
    <row r="62" spans="4:12" ht="16.5" customHeight="1" thickBot="1" thickTop="1">
      <c r="D62" s="45" t="s">
        <v>159</v>
      </c>
      <c r="E62" s="46"/>
      <c r="F62" s="46"/>
      <c r="H62" s="45"/>
      <c r="L62" s="40">
        <f>IF(+D62="x",5,0)</f>
        <v>5</v>
      </c>
    </row>
    <row r="63" spans="4:8" ht="16.5" customHeight="1" thickTop="1">
      <c r="D63" s="47"/>
      <c r="E63" s="46"/>
      <c r="F63" s="46"/>
      <c r="H63" s="47"/>
    </row>
    <row r="64" spans="2:10" ht="16.5" customHeight="1">
      <c r="B64" s="39" t="s">
        <v>178</v>
      </c>
      <c r="J64" s="48"/>
    </row>
    <row r="65" spans="4:8" ht="16.5" customHeight="1" thickBot="1">
      <c r="D65" s="44" t="s">
        <v>157</v>
      </c>
      <c r="H65" s="44" t="s">
        <v>158</v>
      </c>
    </row>
    <row r="66" spans="4:12" ht="16.5" customHeight="1" thickBot="1" thickTop="1">
      <c r="D66" s="45" t="s">
        <v>159</v>
      </c>
      <c r="E66" s="46"/>
      <c r="F66" s="46"/>
      <c r="H66" s="45"/>
      <c r="L66" s="40">
        <f>IF(+D66="x",10,0)</f>
        <v>10</v>
      </c>
    </row>
    <row r="67" ht="16.5" customHeight="1" thickTop="1">
      <c r="L67" s="39"/>
    </row>
    <row r="68" spans="2:12" ht="16.5" customHeight="1">
      <c r="B68" s="39" t="s">
        <v>179</v>
      </c>
      <c r="L68" s="39"/>
    </row>
    <row r="69" spans="4:8" ht="16.5" customHeight="1" thickBot="1">
      <c r="D69" s="44" t="s">
        <v>157</v>
      </c>
      <c r="H69" s="44" t="s">
        <v>158</v>
      </c>
    </row>
    <row r="70" spans="4:12" ht="17.25" customHeight="1" thickBot="1" thickTop="1">
      <c r="D70" s="45" t="s">
        <v>159</v>
      </c>
      <c r="E70" s="46"/>
      <c r="F70" s="46"/>
      <c r="H70" s="45"/>
      <c r="L70" s="40">
        <f>IF(+D70="x",10,0)</f>
        <v>10</v>
      </c>
    </row>
    <row r="71" ht="19.5" customHeight="1" hidden="1">
      <c r="L71" s="39"/>
    </row>
    <row r="72" ht="19.5" customHeight="1" thickTop="1">
      <c r="L72" s="39"/>
    </row>
    <row r="73" spans="2:12" ht="16.5" customHeight="1" thickBot="1">
      <c r="B73" s="59"/>
      <c r="C73" s="59"/>
      <c r="D73" s="59"/>
      <c r="E73" s="59"/>
      <c r="F73" s="59"/>
      <c r="G73" s="59"/>
      <c r="H73" s="59"/>
      <c r="I73" s="59"/>
      <c r="J73" s="59"/>
      <c r="K73" s="63" t="s">
        <v>192</v>
      </c>
      <c r="L73" s="62">
        <f>SUM(L53:L72)</f>
        <v>40</v>
      </c>
    </row>
    <row r="74" spans="8:12" ht="16.5" customHeight="1" thickTop="1">
      <c r="H74" s="64" t="s">
        <v>193</v>
      </c>
      <c r="L74" s="52">
        <f>L73+L50+L36+L11</f>
        <v>285</v>
      </c>
    </row>
    <row r="75" ht="16.5" customHeight="1">
      <c r="L75" s="39"/>
    </row>
    <row r="76" spans="2:12" ht="14.25" customHeight="1" thickBot="1">
      <c r="B76" s="39" t="s">
        <v>160</v>
      </c>
      <c r="L76" s="39"/>
    </row>
    <row r="77" spans="2:12" ht="19.5" customHeight="1" thickBot="1" thickTop="1">
      <c r="B77" s="39" t="s">
        <v>182</v>
      </c>
      <c r="D77" s="45">
        <v>100</v>
      </c>
      <c r="E77" s="39" t="s">
        <v>180</v>
      </c>
      <c r="H77" s="65">
        <f>IF(D77&gt;0,1+(100/D77)*25,0)</f>
        <v>26</v>
      </c>
      <c r="L77" s="39"/>
    </row>
    <row r="78" ht="16.5" customHeight="1" thickTop="1"/>
    <row r="79" spans="7:12" ht="16.5" customHeight="1">
      <c r="G79" s="51" t="s">
        <v>194</v>
      </c>
      <c r="H79" s="66"/>
      <c r="I79" s="51"/>
      <c r="J79" s="51"/>
      <c r="K79" s="51"/>
      <c r="L79" s="53">
        <f>L74+H77</f>
        <v>311</v>
      </c>
    </row>
    <row r="80" spans="8:12" ht="16.5" customHeight="1">
      <c r="H80" s="56"/>
      <c r="L80" s="39"/>
    </row>
    <row r="81" spans="8:12" ht="16.5" customHeight="1">
      <c r="H81" s="56"/>
      <c r="L81" s="39"/>
    </row>
    <row r="82" spans="8:12" ht="16.5" customHeight="1">
      <c r="H82" s="56"/>
      <c r="L82" s="39"/>
    </row>
    <row r="83" ht="16.5" customHeight="1">
      <c r="L83" s="39"/>
    </row>
    <row r="84" spans="4:12" ht="16.5" customHeight="1">
      <c r="D84" s="57"/>
      <c r="G84" s="58"/>
      <c r="L84" s="39"/>
    </row>
  </sheetData>
  <printOptions/>
  <pageMargins left="0.75" right="0.75" top="1" bottom="1" header="0.5" footer="0.5"/>
  <pageSetup fitToHeight="2" horizontalDpi="600" verticalDpi="600" orientation="portrait" scale="89" r:id="rId2"/>
  <rowBreaks count="1" manualBreakCount="1">
    <brk id="45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workbookViewId="0" topLeftCell="A7">
      <selection activeCell="N15" sqref="N15"/>
    </sheetView>
  </sheetViews>
  <sheetFormatPr defaultColWidth="9.140625" defaultRowHeight="12.75"/>
  <cols>
    <col min="1" max="1" width="6.00390625" style="0" customWidth="1"/>
    <col min="6" max="6" width="5.140625" style="0" customWidth="1"/>
    <col min="7" max="7" width="2.8515625" style="0" customWidth="1"/>
    <col min="8" max="8" width="7.421875" style="0" customWidth="1"/>
    <col min="9" max="9" width="1.7109375" style="0" customWidth="1"/>
    <col min="10" max="10" width="13.7109375" style="0" bestFit="1" customWidth="1"/>
    <col min="11" max="11" width="13.8515625" style="0" customWidth="1"/>
    <col min="12" max="12" width="13.00390625" style="0" customWidth="1"/>
    <col min="13" max="13" width="0.13671875" style="0" hidden="1" customWidth="1"/>
    <col min="14" max="14" width="20.7109375" style="0" customWidth="1"/>
  </cols>
  <sheetData>
    <row r="1" spans="1:19" ht="16.5">
      <c r="A1" s="4"/>
      <c r="B1" s="5" t="s">
        <v>74</v>
      </c>
      <c r="C1" s="6"/>
      <c r="D1" s="5"/>
      <c r="E1" s="5"/>
      <c r="F1" s="5"/>
      <c r="G1" s="5"/>
      <c r="H1" s="7"/>
      <c r="I1" s="5"/>
      <c r="J1" s="6" t="s">
        <v>75</v>
      </c>
      <c r="K1" s="5"/>
      <c r="L1" s="7"/>
      <c r="M1" s="8"/>
      <c r="N1" s="8"/>
      <c r="O1" s="9"/>
      <c r="P1" s="10"/>
      <c r="Q1" s="11"/>
      <c r="R1" s="11"/>
      <c r="S1" s="11"/>
    </row>
    <row r="2" spans="1:19" ht="16.5">
      <c r="A2" s="8"/>
      <c r="B2" s="5" t="s">
        <v>76</v>
      </c>
      <c r="C2" s="6"/>
      <c r="D2" s="7"/>
      <c r="E2" s="7"/>
      <c r="F2" s="7"/>
      <c r="G2" s="7"/>
      <c r="H2" s="7"/>
      <c r="I2" s="7"/>
      <c r="J2" s="7" t="s">
        <v>77</v>
      </c>
      <c r="K2" s="7"/>
      <c r="L2" s="7"/>
      <c r="M2" s="8"/>
      <c r="N2" s="8"/>
      <c r="O2" s="9"/>
      <c r="P2" s="10"/>
      <c r="Q2" s="11"/>
      <c r="R2" s="11"/>
      <c r="S2" s="11"/>
    </row>
    <row r="3" spans="1:19" ht="18.75" thickBot="1">
      <c r="A3" s="12"/>
      <c r="B3" s="13" t="s">
        <v>78</v>
      </c>
      <c r="C3" s="14"/>
      <c r="D3" s="15"/>
      <c r="E3" s="13"/>
      <c r="F3" s="14"/>
      <c r="G3" s="14"/>
      <c r="H3" s="14"/>
      <c r="I3" s="14"/>
      <c r="J3" s="14"/>
      <c r="K3" s="16"/>
      <c r="L3" s="14"/>
      <c r="M3" s="12"/>
      <c r="N3" s="12"/>
      <c r="O3" s="9" t="s">
        <v>79</v>
      </c>
      <c r="P3" s="10"/>
      <c r="Q3" s="11"/>
      <c r="R3" s="11"/>
      <c r="S3" s="11"/>
    </row>
    <row r="4" spans="1:19" ht="15.75" thickTop="1">
      <c r="A4" s="17"/>
      <c r="B4" s="17"/>
      <c r="C4" s="17"/>
      <c r="D4" s="18"/>
      <c r="E4" s="17"/>
      <c r="F4" s="17"/>
      <c r="G4" s="17"/>
      <c r="H4" s="17"/>
      <c r="I4" s="17"/>
      <c r="J4" s="19" t="s">
        <v>80</v>
      </c>
      <c r="K4" s="19" t="s">
        <v>81</v>
      </c>
      <c r="L4" s="19"/>
      <c r="M4" s="19"/>
      <c r="N4" s="17"/>
      <c r="O4" s="20"/>
      <c r="P4" s="10"/>
      <c r="Q4" s="11"/>
      <c r="R4" s="11"/>
      <c r="S4" s="11"/>
    </row>
    <row r="5" spans="1:19" ht="15">
      <c r="A5" s="4"/>
      <c r="B5" s="4"/>
      <c r="C5" s="4"/>
      <c r="D5" s="4"/>
      <c r="E5" s="4"/>
      <c r="F5" s="4"/>
      <c r="G5" s="4"/>
      <c r="H5" s="19" t="s">
        <v>82</v>
      </c>
      <c r="I5" s="19"/>
      <c r="J5" s="19" t="s">
        <v>83</v>
      </c>
      <c r="K5" s="19" t="s">
        <v>84</v>
      </c>
      <c r="L5" s="19" t="s">
        <v>85</v>
      </c>
      <c r="M5" s="19"/>
      <c r="N5" s="19" t="s">
        <v>86</v>
      </c>
      <c r="O5" s="21"/>
      <c r="P5" s="10"/>
      <c r="Q5" s="22"/>
      <c r="R5" s="22"/>
      <c r="S5" s="22"/>
    </row>
    <row r="6" spans="1:19" ht="15">
      <c r="A6" s="19"/>
      <c r="B6" s="17"/>
      <c r="C6" s="17"/>
      <c r="D6" s="17"/>
      <c r="E6" s="4"/>
      <c r="F6" s="19"/>
      <c r="G6" s="4"/>
      <c r="H6" s="19" t="s">
        <v>87</v>
      </c>
      <c r="I6" s="19"/>
      <c r="J6" s="19" t="s">
        <v>88</v>
      </c>
      <c r="K6" s="19" t="s">
        <v>89</v>
      </c>
      <c r="L6" s="19" t="s">
        <v>90</v>
      </c>
      <c r="M6" s="19"/>
      <c r="N6" s="19" t="s">
        <v>91</v>
      </c>
      <c r="O6" s="21"/>
      <c r="P6" s="10"/>
      <c r="Q6" s="22"/>
      <c r="R6" s="22"/>
      <c r="S6" s="22"/>
    </row>
    <row r="7" spans="1:19" ht="15">
      <c r="A7" s="19"/>
      <c r="B7" s="23" t="s">
        <v>92</v>
      </c>
      <c r="C7" s="23"/>
      <c r="D7" s="23"/>
      <c r="E7" s="19"/>
      <c r="F7" s="19" t="s">
        <v>89</v>
      </c>
      <c r="G7" s="19"/>
      <c r="H7" s="19" t="s">
        <v>93</v>
      </c>
      <c r="I7" s="19"/>
      <c r="J7" s="19" t="s">
        <v>94</v>
      </c>
      <c r="K7" s="19" t="s">
        <v>95</v>
      </c>
      <c r="L7" s="19" t="s">
        <v>82</v>
      </c>
      <c r="M7" s="19"/>
      <c r="N7" s="19" t="s">
        <v>87</v>
      </c>
      <c r="O7" s="24" t="s">
        <v>81</v>
      </c>
      <c r="P7" s="10"/>
      <c r="Q7" s="22"/>
      <c r="R7" s="22"/>
      <c r="S7" s="22"/>
    </row>
    <row r="8" spans="1:19" ht="15">
      <c r="A8" s="4">
        <v>560</v>
      </c>
      <c r="B8" s="4" t="s">
        <v>96</v>
      </c>
      <c r="C8" s="4"/>
      <c r="D8" s="4"/>
      <c r="E8" s="4"/>
      <c r="F8" s="4" t="s">
        <v>97</v>
      </c>
      <c r="G8" s="4"/>
      <c r="H8" s="25">
        <v>50</v>
      </c>
      <c r="I8" s="4"/>
      <c r="J8" s="26">
        <v>18</v>
      </c>
      <c r="K8" s="27">
        <v>0</v>
      </c>
      <c r="L8" s="28">
        <f aca="true" t="shared" si="0" ref="L8:L14">(J8)*(K8)</f>
        <v>0</v>
      </c>
      <c r="M8" s="4"/>
      <c r="N8" s="29">
        <f>IF(+L8/(IF(K8&gt;0,K8,0.0000001))*0.5&gt;18,+K8*18,+L8*H8/100)</f>
        <v>0</v>
      </c>
      <c r="O8" s="21"/>
      <c r="P8" s="10"/>
      <c r="Q8" s="30"/>
      <c r="R8" s="22"/>
      <c r="S8" s="22"/>
    </row>
    <row r="9" spans="1:19" ht="15">
      <c r="A9" s="4">
        <v>575</v>
      </c>
      <c r="B9" s="4" t="s">
        <v>98</v>
      </c>
      <c r="C9" s="4"/>
      <c r="D9" s="4"/>
      <c r="E9" s="4"/>
      <c r="F9" s="4" t="s">
        <v>97</v>
      </c>
      <c r="G9" s="4"/>
      <c r="H9" s="25">
        <v>50</v>
      </c>
      <c r="I9" s="4"/>
      <c r="J9" s="26">
        <v>3.75</v>
      </c>
      <c r="K9" s="27"/>
      <c r="L9" s="28">
        <f t="shared" si="0"/>
        <v>0</v>
      </c>
      <c r="M9" s="4"/>
      <c r="N9" s="29">
        <f>IF(+L9/(IF(K9&gt;0,K9,0.0000001))*0.5&gt;3.5,+K9*3.5,+L9*H9/100)</f>
        <v>0</v>
      </c>
      <c r="O9" s="21"/>
      <c r="P9" s="10"/>
      <c r="Q9" s="30"/>
      <c r="R9" s="22"/>
      <c r="S9" s="22"/>
    </row>
    <row r="10" spans="1:19" ht="15">
      <c r="A10" s="4">
        <v>314</v>
      </c>
      <c r="B10" s="4" t="s">
        <v>99</v>
      </c>
      <c r="C10" s="4"/>
      <c r="D10" s="4"/>
      <c r="E10" s="4"/>
      <c r="F10" s="4" t="s">
        <v>100</v>
      </c>
      <c r="G10" s="4"/>
      <c r="H10" s="25">
        <v>50</v>
      </c>
      <c r="I10" s="4"/>
      <c r="J10" s="26">
        <v>50</v>
      </c>
      <c r="K10" s="31"/>
      <c r="L10" s="28">
        <f t="shared" si="0"/>
        <v>0</v>
      </c>
      <c r="M10" s="4"/>
      <c r="N10" s="29">
        <f>IF(+L10/(IF(K10&gt;0,K10,0.0000001))*0.5&gt;50,+K10*50,+L10*H10/100)</f>
        <v>0</v>
      </c>
      <c r="O10" s="21"/>
      <c r="P10" s="10"/>
      <c r="Q10" s="30"/>
      <c r="R10" s="22"/>
      <c r="S10" s="22"/>
    </row>
    <row r="11" spans="1:19" ht="15">
      <c r="A11" s="4" t="s">
        <v>81</v>
      </c>
      <c r="B11" s="4" t="s">
        <v>101</v>
      </c>
      <c r="C11" s="4"/>
      <c r="D11" s="4"/>
      <c r="E11" s="4"/>
      <c r="F11" s="4" t="s">
        <v>100</v>
      </c>
      <c r="G11" s="4"/>
      <c r="H11" s="25">
        <v>50</v>
      </c>
      <c r="I11" s="4"/>
      <c r="J11" s="26">
        <v>165</v>
      </c>
      <c r="K11" s="31"/>
      <c r="L11" s="28">
        <f t="shared" si="0"/>
        <v>0</v>
      </c>
      <c r="M11" s="4"/>
      <c r="N11" s="29">
        <f>IF(+L11/(IF(K11&gt;0,K11,0.0000001))*0.5&gt;165,+K11*165,+L11*H11/100)</f>
        <v>0</v>
      </c>
      <c r="O11" s="21"/>
      <c r="P11" s="10"/>
      <c r="Q11" s="30"/>
      <c r="R11" s="22"/>
      <c r="S11" s="22"/>
    </row>
    <row r="12" spans="1:19" ht="15">
      <c r="A12" s="4" t="s">
        <v>81</v>
      </c>
      <c r="B12" s="4" t="s">
        <v>102</v>
      </c>
      <c r="C12" s="4"/>
      <c r="D12" s="4"/>
      <c r="E12" s="4"/>
      <c r="F12" s="4" t="s">
        <v>100</v>
      </c>
      <c r="G12" s="4"/>
      <c r="H12" s="25">
        <v>50</v>
      </c>
      <c r="I12" s="4"/>
      <c r="J12" s="26">
        <v>235</v>
      </c>
      <c r="K12" s="31"/>
      <c r="L12" s="28">
        <f t="shared" si="0"/>
        <v>0</v>
      </c>
      <c r="M12" s="4"/>
      <c r="N12" s="29">
        <f>IF(+L12/(IF(K12&gt;0,K12,0.0000001))*0.5&gt;235,+K12*235,+L12*H12/100)</f>
        <v>0</v>
      </c>
      <c r="O12" s="21"/>
      <c r="P12" s="10"/>
      <c r="Q12" s="30"/>
      <c r="R12" s="22"/>
      <c r="S12" s="22"/>
    </row>
    <row r="13" spans="1:19" ht="15">
      <c r="A13" s="4">
        <v>360</v>
      </c>
      <c r="B13" s="4" t="s">
        <v>103</v>
      </c>
      <c r="C13" s="4"/>
      <c r="D13" s="4"/>
      <c r="E13" s="4"/>
      <c r="F13" s="4" t="s">
        <v>104</v>
      </c>
      <c r="G13" s="4"/>
      <c r="H13" s="25">
        <v>50</v>
      </c>
      <c r="I13" s="4"/>
      <c r="J13" s="26">
        <v>25000</v>
      </c>
      <c r="K13" s="27"/>
      <c r="L13" s="28">
        <f t="shared" si="0"/>
        <v>0</v>
      </c>
      <c r="M13" s="4"/>
      <c r="N13" s="29">
        <f>IF(+L13/(IF(K13&gt;0,K13,0.0000001))*0.5&gt;25000,+K13*25000,+L13*H13/100)</f>
        <v>0</v>
      </c>
      <c r="O13" s="21"/>
      <c r="P13" s="10"/>
      <c r="Q13" s="30"/>
      <c r="R13" s="22"/>
      <c r="S13" s="22"/>
    </row>
    <row r="14" spans="1:19" ht="15">
      <c r="A14" s="4">
        <v>327</v>
      </c>
      <c r="B14" s="4" t="s">
        <v>105</v>
      </c>
      <c r="C14" s="4"/>
      <c r="D14" s="4"/>
      <c r="E14" s="4"/>
      <c r="F14" s="4" t="s">
        <v>100</v>
      </c>
      <c r="G14" s="4"/>
      <c r="H14" s="25">
        <v>50</v>
      </c>
      <c r="I14" s="4"/>
      <c r="J14" s="26">
        <v>120</v>
      </c>
      <c r="K14" s="31"/>
      <c r="L14" s="28">
        <f t="shared" si="0"/>
        <v>0</v>
      </c>
      <c r="M14" s="4"/>
      <c r="N14" s="29">
        <f>IF(+L14/(IF(K14&gt;0,K14,0.0000001))*0.5&gt;120,+K14*120,+L14*H14/100)</f>
        <v>0</v>
      </c>
      <c r="O14" s="21"/>
      <c r="P14" s="10"/>
      <c r="Q14" s="30"/>
      <c r="R14" s="22"/>
      <c r="S14" s="22"/>
    </row>
    <row r="15" spans="1:19" ht="15">
      <c r="A15" s="4">
        <v>328</v>
      </c>
      <c r="B15" s="4" t="s">
        <v>196</v>
      </c>
      <c r="C15" s="4"/>
      <c r="D15" s="4"/>
      <c r="E15" s="4"/>
      <c r="F15" s="4" t="s">
        <v>100</v>
      </c>
      <c r="G15" s="4"/>
      <c r="H15" s="25" t="s">
        <v>107</v>
      </c>
      <c r="I15" s="4"/>
      <c r="J15" s="26">
        <v>50</v>
      </c>
      <c r="K15" s="31"/>
      <c r="L15" s="4"/>
      <c r="M15" s="4"/>
      <c r="N15" s="67">
        <f>IF((IF(K15&gt;0,K15,0.0000001))*J15*3&gt;6000,6000,+K15*150)</f>
        <v>0</v>
      </c>
      <c r="O15" s="21"/>
      <c r="P15" s="10"/>
      <c r="Q15" s="30"/>
      <c r="R15" s="22"/>
      <c r="S15" s="22"/>
    </row>
    <row r="16" spans="1:19" ht="15">
      <c r="A16" s="4">
        <v>332</v>
      </c>
      <c r="B16" s="4" t="s">
        <v>106</v>
      </c>
      <c r="C16" s="4"/>
      <c r="D16" s="4"/>
      <c r="E16" s="4"/>
      <c r="F16" s="4" t="s">
        <v>100</v>
      </c>
      <c r="G16" s="4"/>
      <c r="H16" s="25" t="s">
        <v>107</v>
      </c>
      <c r="I16" s="32"/>
      <c r="J16" s="26">
        <v>10</v>
      </c>
      <c r="K16" s="31"/>
      <c r="L16" s="4"/>
      <c r="M16" s="4"/>
      <c r="N16" s="33">
        <f>+K16*J16</f>
        <v>0</v>
      </c>
      <c r="O16" s="21"/>
      <c r="P16" s="10"/>
      <c r="Q16" s="30"/>
      <c r="R16" s="22"/>
      <c r="S16" s="22"/>
    </row>
    <row r="17" spans="1:19" ht="15">
      <c r="A17" s="4">
        <v>330</v>
      </c>
      <c r="B17" s="4" t="s">
        <v>108</v>
      </c>
      <c r="C17" s="4"/>
      <c r="D17" s="4"/>
      <c r="E17" s="4"/>
      <c r="F17" s="4" t="s">
        <v>100</v>
      </c>
      <c r="G17" s="4"/>
      <c r="H17" s="25" t="s">
        <v>107</v>
      </c>
      <c r="I17" s="32"/>
      <c r="J17" s="26">
        <v>9</v>
      </c>
      <c r="K17" s="31"/>
      <c r="L17" s="4"/>
      <c r="M17" s="4"/>
      <c r="N17" s="33">
        <f>+IF(+K17=0,,K17*J17)</f>
        <v>0</v>
      </c>
      <c r="O17" s="21"/>
      <c r="P17" s="10"/>
      <c r="Q17" s="30"/>
      <c r="R17" s="22"/>
      <c r="S17" s="22"/>
    </row>
    <row r="18" spans="1:19" ht="15">
      <c r="A18" s="4">
        <v>340</v>
      </c>
      <c r="B18" s="4" t="s">
        <v>109</v>
      </c>
      <c r="C18" s="4"/>
      <c r="D18" s="4"/>
      <c r="E18" s="4"/>
      <c r="F18" s="4" t="s">
        <v>100</v>
      </c>
      <c r="G18" s="4"/>
      <c r="H18" s="25">
        <v>50</v>
      </c>
      <c r="I18" s="4"/>
      <c r="J18" s="26">
        <v>35</v>
      </c>
      <c r="K18" s="31"/>
      <c r="L18" s="28">
        <f aca="true" t="shared" si="1" ref="L18:L23">(J18)*(K18)</f>
        <v>0</v>
      </c>
      <c r="M18" s="4"/>
      <c r="N18" s="29">
        <f>IF(+L18/(IF(K18&gt;0,K18,0.0000001))*0.5&gt;35,+K18*35,+L18*H18/100)</f>
        <v>0</v>
      </c>
      <c r="O18" s="21"/>
      <c r="P18" s="10"/>
      <c r="Q18" s="30"/>
      <c r="R18" s="22"/>
      <c r="S18" s="22"/>
    </row>
    <row r="19" spans="1:19" ht="15">
      <c r="A19" s="4">
        <v>342</v>
      </c>
      <c r="B19" s="4" t="s">
        <v>110</v>
      </c>
      <c r="C19" s="4"/>
      <c r="D19" s="4"/>
      <c r="E19" s="4"/>
      <c r="F19" s="4" t="s">
        <v>100</v>
      </c>
      <c r="G19" s="4"/>
      <c r="H19" s="25">
        <v>50</v>
      </c>
      <c r="I19" s="4"/>
      <c r="J19" s="26">
        <v>425</v>
      </c>
      <c r="K19" s="31"/>
      <c r="L19" s="28">
        <f t="shared" si="1"/>
        <v>0</v>
      </c>
      <c r="M19" s="4"/>
      <c r="N19" s="29">
        <f>IF(+L19/(IF(K19&gt;0,K19,0.0000001))*0.5&gt;425,+K19*425,+L19*H19/100)</f>
        <v>0</v>
      </c>
      <c r="O19" s="21"/>
      <c r="P19" s="10"/>
      <c r="Q19" s="22"/>
      <c r="R19" s="22"/>
      <c r="S19" s="22"/>
    </row>
    <row r="20" spans="1:19" ht="15">
      <c r="A20" s="4">
        <v>362</v>
      </c>
      <c r="B20" s="4" t="s">
        <v>111</v>
      </c>
      <c r="C20" s="4"/>
      <c r="D20" s="4"/>
      <c r="E20" s="4"/>
      <c r="F20" s="4" t="s">
        <v>97</v>
      </c>
      <c r="G20" s="4"/>
      <c r="H20" s="25">
        <v>50</v>
      </c>
      <c r="I20" s="4"/>
      <c r="J20" s="26">
        <v>3.75</v>
      </c>
      <c r="K20" s="27"/>
      <c r="L20" s="28">
        <f t="shared" si="1"/>
        <v>0</v>
      </c>
      <c r="M20" s="4"/>
      <c r="N20" s="29">
        <f>IF(+L20/(IF(K20&gt;0,K20,0.0000001))*0.5&gt;3.5,+K20*3.5,+L20*H20/100)</f>
        <v>0</v>
      </c>
      <c r="O20" s="21"/>
      <c r="P20" s="10"/>
      <c r="Q20" s="22"/>
      <c r="R20" s="22"/>
      <c r="S20" s="22"/>
    </row>
    <row r="21" spans="1:19" ht="15">
      <c r="A21" s="4">
        <v>382</v>
      </c>
      <c r="B21" s="4" t="s">
        <v>112</v>
      </c>
      <c r="C21" s="4"/>
      <c r="D21" s="4"/>
      <c r="E21" s="4"/>
      <c r="F21" s="4" t="s">
        <v>97</v>
      </c>
      <c r="G21" s="4"/>
      <c r="H21" s="25">
        <v>50</v>
      </c>
      <c r="I21" s="4"/>
      <c r="J21" s="26">
        <v>5</v>
      </c>
      <c r="K21" s="27"/>
      <c r="L21" s="28">
        <f t="shared" si="1"/>
        <v>0</v>
      </c>
      <c r="M21" s="4"/>
      <c r="N21" s="29">
        <f>IF(+L21/(IF(K21&gt;0,K21,0.0000001))*0.5&gt;5,+K21*5,+L21*H21/100)</f>
        <v>0</v>
      </c>
      <c r="O21" s="21"/>
      <c r="P21" s="10"/>
      <c r="Q21" s="22"/>
      <c r="R21" s="22"/>
      <c r="S21" s="22"/>
    </row>
    <row r="22" spans="1:19" ht="15">
      <c r="A22" s="4">
        <v>386</v>
      </c>
      <c r="B22" s="4" t="s">
        <v>113</v>
      </c>
      <c r="C22" s="4"/>
      <c r="D22" s="4"/>
      <c r="E22" s="4"/>
      <c r="F22" s="4" t="s">
        <v>100</v>
      </c>
      <c r="G22" s="4"/>
      <c r="H22" s="25">
        <v>50</v>
      </c>
      <c r="I22" s="4"/>
      <c r="J22" s="26">
        <v>185</v>
      </c>
      <c r="K22" s="31"/>
      <c r="L22" s="28">
        <f t="shared" si="1"/>
        <v>0</v>
      </c>
      <c r="M22" s="4"/>
      <c r="N22" s="29">
        <f>IF(+L22/(IF(K22&gt;0,K22,0.0000001))*0.5&gt;185,+K22*185,+L22*H22/100)</f>
        <v>0</v>
      </c>
      <c r="O22" s="21"/>
      <c r="P22" s="10"/>
      <c r="Q22" s="22"/>
      <c r="R22" s="22"/>
      <c r="S22" s="22"/>
    </row>
    <row r="23" spans="1:19" ht="15">
      <c r="A23" s="4">
        <v>393</v>
      </c>
      <c r="B23" s="4" t="s">
        <v>114</v>
      </c>
      <c r="C23" s="4"/>
      <c r="D23" s="4"/>
      <c r="E23" s="4"/>
      <c r="F23" s="4" t="s">
        <v>100</v>
      </c>
      <c r="G23" s="4"/>
      <c r="H23" s="25">
        <v>50</v>
      </c>
      <c r="I23" s="4"/>
      <c r="J23" s="26">
        <v>120</v>
      </c>
      <c r="K23" s="31"/>
      <c r="L23" s="28">
        <f t="shared" si="1"/>
        <v>0</v>
      </c>
      <c r="M23" s="4"/>
      <c r="N23" s="29">
        <f>IF(+L23/(IF(K23&gt;0,K23,0.0000001))*0.5&gt;120,+K23*120,+L23*H23/100)</f>
        <v>0</v>
      </c>
      <c r="O23" s="21"/>
      <c r="P23" s="10"/>
      <c r="Q23" s="22"/>
      <c r="R23" s="22"/>
      <c r="S23" s="22"/>
    </row>
    <row r="24" spans="1:19" ht="15">
      <c r="A24" s="4">
        <v>394</v>
      </c>
      <c r="B24" s="4" t="s">
        <v>115</v>
      </c>
      <c r="C24" s="4"/>
      <c r="D24" s="4"/>
      <c r="E24" s="4"/>
      <c r="F24" s="4" t="s">
        <v>100</v>
      </c>
      <c r="G24" s="4"/>
      <c r="H24" s="25" t="s">
        <v>107</v>
      </c>
      <c r="I24" s="4"/>
      <c r="J24" s="26">
        <v>36</v>
      </c>
      <c r="K24" s="31"/>
      <c r="L24" s="4"/>
      <c r="M24" s="4"/>
      <c r="N24" s="29">
        <f>+K24*J24</f>
        <v>0</v>
      </c>
      <c r="O24" s="21"/>
      <c r="P24" s="10"/>
      <c r="Q24" s="22"/>
      <c r="R24" s="22"/>
      <c r="S24" s="22"/>
    </row>
    <row r="25" spans="1:19" ht="15">
      <c r="A25" s="4">
        <v>490</v>
      </c>
      <c r="B25" s="4" t="s">
        <v>116</v>
      </c>
      <c r="C25" s="4"/>
      <c r="D25" s="4"/>
      <c r="E25" s="4"/>
      <c r="F25" s="4" t="s">
        <v>100</v>
      </c>
      <c r="G25" s="4"/>
      <c r="H25" s="25">
        <v>50</v>
      </c>
      <c r="I25" s="4"/>
      <c r="J25" s="26">
        <v>195</v>
      </c>
      <c r="K25" s="31"/>
      <c r="L25" s="28">
        <f aca="true" t="shared" si="2" ref="L25:L32">(J25)*(K25)</f>
        <v>0</v>
      </c>
      <c r="M25" s="4"/>
      <c r="N25" s="29">
        <f>IF(+L25/(IF(K25&gt;0,K25,0.0000001))*0.5&gt;195,+K25*195,+L25*H25/100)</f>
        <v>0</v>
      </c>
      <c r="O25" s="21"/>
      <c r="P25" s="10"/>
      <c r="Q25" s="22"/>
      <c r="R25" s="22"/>
      <c r="S25" s="22"/>
    </row>
    <row r="26" spans="1:19" ht="15">
      <c r="A26" s="4">
        <v>666</v>
      </c>
      <c r="B26" s="4" t="s">
        <v>117</v>
      </c>
      <c r="C26" s="4"/>
      <c r="D26" s="4"/>
      <c r="E26" s="4"/>
      <c r="F26" s="4" t="s">
        <v>100</v>
      </c>
      <c r="G26" s="4"/>
      <c r="H26" s="25">
        <v>50</v>
      </c>
      <c r="I26" s="4"/>
      <c r="J26" s="26">
        <v>110</v>
      </c>
      <c r="K26" s="31"/>
      <c r="L26" s="28">
        <f t="shared" si="2"/>
        <v>0</v>
      </c>
      <c r="M26" s="4"/>
      <c r="N26" s="29">
        <f>IF(+L26/(IF(K26&gt;0,K26,0.0000001))*0.5&gt;110,+K26*110,+L26*H26/100)</f>
        <v>0</v>
      </c>
      <c r="O26" s="21"/>
      <c r="P26" s="10"/>
      <c r="Q26" s="22"/>
      <c r="R26" s="22"/>
      <c r="S26" s="22"/>
    </row>
    <row r="27" spans="1:19" ht="15">
      <c r="A27" s="4">
        <v>410</v>
      </c>
      <c r="B27" s="4" t="s">
        <v>118</v>
      </c>
      <c r="C27" s="4"/>
      <c r="D27" s="4"/>
      <c r="E27" s="4"/>
      <c r="F27" s="4" t="s">
        <v>104</v>
      </c>
      <c r="G27" s="4"/>
      <c r="H27" s="25">
        <v>75</v>
      </c>
      <c r="I27" s="4"/>
      <c r="J27" s="26">
        <v>40000</v>
      </c>
      <c r="K27" s="27"/>
      <c r="L27" s="28">
        <f t="shared" si="2"/>
        <v>0</v>
      </c>
      <c r="M27" s="4"/>
      <c r="N27" s="29">
        <f>IF(+L27/(IF(K27&gt;0,K27,0.0000001))*0.75&gt;40000,+K27*40000,+L27*H27/100)</f>
        <v>0</v>
      </c>
      <c r="O27" s="21"/>
      <c r="P27" s="10"/>
      <c r="Q27" s="22"/>
      <c r="R27" s="22"/>
      <c r="S27" s="22"/>
    </row>
    <row r="28" spans="1:19" ht="15">
      <c r="A28" s="4">
        <v>412</v>
      </c>
      <c r="B28" s="4" t="s">
        <v>119</v>
      </c>
      <c r="C28" s="4"/>
      <c r="D28" s="4"/>
      <c r="E28" s="4"/>
      <c r="F28" s="4" t="s">
        <v>100</v>
      </c>
      <c r="G28" s="4"/>
      <c r="H28" s="25">
        <v>75</v>
      </c>
      <c r="I28" s="4"/>
      <c r="J28" s="26">
        <v>7500</v>
      </c>
      <c r="K28" s="31"/>
      <c r="L28" s="28">
        <f t="shared" si="2"/>
        <v>0</v>
      </c>
      <c r="M28" s="4"/>
      <c r="N28" s="29">
        <f>IF(+L28/(IF(K28&gt;0,K28,0.0000001))*0.75&gt;7500,+K28*7500,+L28*H28/100)</f>
        <v>0</v>
      </c>
      <c r="O28" s="21"/>
      <c r="P28" s="10"/>
      <c r="Q28" s="22"/>
      <c r="R28" s="22"/>
      <c r="S28" s="22"/>
    </row>
    <row r="29" spans="1:19" ht="15">
      <c r="A29" s="4">
        <v>561</v>
      </c>
      <c r="B29" s="4" t="s">
        <v>120</v>
      </c>
      <c r="C29" s="4"/>
      <c r="D29" s="4"/>
      <c r="E29" s="4"/>
      <c r="F29" s="4" t="s">
        <v>100</v>
      </c>
      <c r="G29" s="4"/>
      <c r="H29" s="25">
        <v>50</v>
      </c>
      <c r="I29" s="4"/>
      <c r="J29" s="26">
        <v>40000</v>
      </c>
      <c r="K29" s="31"/>
      <c r="L29" s="28">
        <f t="shared" si="2"/>
        <v>0</v>
      </c>
      <c r="M29" s="4"/>
      <c r="N29" s="29">
        <f>IF(+L29/(IF(K29&gt;0,K29,0.0000001))*0.5&gt;40000,+K29*40000,+L29*H29/100)</f>
        <v>0</v>
      </c>
      <c r="O29" s="21"/>
      <c r="P29" s="10"/>
      <c r="Q29" s="22"/>
      <c r="R29" s="22"/>
      <c r="S29" s="22"/>
    </row>
    <row r="30" spans="1:19" ht="15">
      <c r="A30" s="4" t="s">
        <v>81</v>
      </c>
      <c r="B30" s="4" t="s">
        <v>121</v>
      </c>
      <c r="C30" s="4"/>
      <c r="D30" s="4"/>
      <c r="E30" s="4"/>
      <c r="F30" s="4" t="s">
        <v>100</v>
      </c>
      <c r="G30" s="4"/>
      <c r="H30" s="25">
        <v>50</v>
      </c>
      <c r="I30" s="4"/>
      <c r="J30" s="26">
        <v>10000</v>
      </c>
      <c r="K30" s="31"/>
      <c r="L30" s="28">
        <f t="shared" si="2"/>
        <v>0</v>
      </c>
      <c r="M30" s="4"/>
      <c r="N30" s="29">
        <f>IF(+L30/(IF(K30&gt;0,K30,0.0000001))*0.5&gt;10000,+K30*10000,+L30*H30/100)</f>
        <v>0</v>
      </c>
      <c r="O30" s="21"/>
      <c r="P30" s="10"/>
      <c r="Q30" s="22"/>
      <c r="R30" s="22"/>
      <c r="S30" s="22"/>
    </row>
    <row r="31" spans="1:19" ht="15">
      <c r="A31" s="4">
        <v>468</v>
      </c>
      <c r="B31" s="4" t="s">
        <v>122</v>
      </c>
      <c r="C31" s="4"/>
      <c r="D31" s="4"/>
      <c r="E31" s="4"/>
      <c r="F31" s="4" t="s">
        <v>97</v>
      </c>
      <c r="G31" s="4"/>
      <c r="H31" s="25">
        <v>50</v>
      </c>
      <c r="I31" s="4"/>
      <c r="J31" s="26">
        <v>15</v>
      </c>
      <c r="K31" s="27"/>
      <c r="L31" s="28">
        <f t="shared" si="2"/>
        <v>0</v>
      </c>
      <c r="M31" s="4"/>
      <c r="N31" s="29">
        <f>IF(+L31/(IF(K31&gt;0,K31,0.0000001))*0.5&gt;15,+K31*15,+L31*H31/100)</f>
        <v>0</v>
      </c>
      <c r="O31" s="21"/>
      <c r="P31" s="10"/>
      <c r="Q31" s="22"/>
      <c r="R31" s="22"/>
      <c r="S31" s="22"/>
    </row>
    <row r="32" spans="1:19" ht="15">
      <c r="A32" s="4">
        <v>484</v>
      </c>
      <c r="B32" s="4" t="s">
        <v>123</v>
      </c>
      <c r="C32" s="4"/>
      <c r="D32" s="4"/>
      <c r="E32" s="4"/>
      <c r="F32" s="4" t="s">
        <v>100</v>
      </c>
      <c r="G32" s="4"/>
      <c r="H32" s="25">
        <v>50</v>
      </c>
      <c r="I32" s="4"/>
      <c r="J32" s="26">
        <v>1500</v>
      </c>
      <c r="K32" s="31"/>
      <c r="L32" s="28">
        <f t="shared" si="2"/>
        <v>0</v>
      </c>
      <c r="M32" s="4"/>
      <c r="N32" s="29">
        <f>IF(+L32/(IF(K32&gt;0,K32,0.0000001))*0.5&gt;1500,+K32*1500,+L32*H32/100)</f>
        <v>0</v>
      </c>
      <c r="O32" s="21"/>
      <c r="P32" s="10"/>
      <c r="Q32" s="22"/>
      <c r="R32" s="22"/>
      <c r="S32" s="22"/>
    </row>
    <row r="33" spans="1:19" ht="15">
      <c r="A33" s="4">
        <v>590</v>
      </c>
      <c r="B33" s="4" t="s">
        <v>124</v>
      </c>
      <c r="C33" s="4"/>
      <c r="D33" s="4"/>
      <c r="E33" s="4"/>
      <c r="F33" s="4" t="s">
        <v>100</v>
      </c>
      <c r="G33" s="4"/>
      <c r="H33" s="25" t="s">
        <v>107</v>
      </c>
      <c r="I33" s="4"/>
      <c r="J33" s="34" t="s">
        <v>125</v>
      </c>
      <c r="K33" s="31"/>
      <c r="L33" s="4"/>
      <c r="M33" s="4"/>
      <c r="N33" s="33">
        <f>+K33*21</f>
        <v>0</v>
      </c>
      <c r="O33" s="21"/>
      <c r="P33" s="10"/>
      <c r="Q33" s="22"/>
      <c r="R33" s="22"/>
      <c r="S33" s="22"/>
    </row>
    <row r="34" spans="1:19" ht="15">
      <c r="A34" s="4">
        <v>512</v>
      </c>
      <c r="B34" s="4" t="s">
        <v>126</v>
      </c>
      <c r="C34" s="4"/>
      <c r="D34" s="4"/>
      <c r="E34" s="4"/>
      <c r="F34" s="4" t="s">
        <v>100</v>
      </c>
      <c r="G34" s="4"/>
      <c r="H34" s="25">
        <v>50</v>
      </c>
      <c r="I34" s="4"/>
      <c r="J34" s="26">
        <v>45</v>
      </c>
      <c r="K34" s="31"/>
      <c r="L34" s="28">
        <f>(J34)*(K34)</f>
        <v>0</v>
      </c>
      <c r="M34" s="4"/>
      <c r="N34" s="29">
        <f>IF(+L34/(IF(K34&gt;0,K34,0.0000001))*0.5&gt;45,+K34*45,+L34*H34/100)</f>
        <v>0</v>
      </c>
      <c r="O34" s="21"/>
      <c r="P34" s="10"/>
      <c r="Q34" s="22"/>
      <c r="R34" s="22"/>
      <c r="S34" s="22"/>
    </row>
    <row r="35" spans="1:19" ht="15">
      <c r="A35" s="4">
        <v>595</v>
      </c>
      <c r="B35" s="4" t="s">
        <v>127</v>
      </c>
      <c r="C35" s="4"/>
      <c r="D35" s="4"/>
      <c r="E35" s="4"/>
      <c r="F35" s="4" t="s">
        <v>100</v>
      </c>
      <c r="G35" s="4"/>
      <c r="H35" s="25" t="s">
        <v>107</v>
      </c>
      <c r="I35" s="32"/>
      <c r="J35" s="34" t="s">
        <v>128</v>
      </c>
      <c r="K35" s="31"/>
      <c r="L35" s="4"/>
      <c r="M35" s="4"/>
      <c r="N35" s="33">
        <f>+K35*2*3</f>
        <v>0</v>
      </c>
      <c r="O35" s="21"/>
      <c r="P35" s="10"/>
      <c r="Q35" s="22"/>
      <c r="R35" s="22"/>
      <c r="S35" s="22"/>
    </row>
    <row r="36" spans="1:19" ht="15">
      <c r="A36" s="4" t="s">
        <v>81</v>
      </c>
      <c r="B36" s="4" t="s">
        <v>129</v>
      </c>
      <c r="C36" s="4"/>
      <c r="D36" s="4"/>
      <c r="E36" s="4"/>
      <c r="F36" s="4" t="s">
        <v>100</v>
      </c>
      <c r="G36" s="4"/>
      <c r="H36" s="25" t="s">
        <v>107</v>
      </c>
      <c r="I36" s="32"/>
      <c r="J36" s="34" t="s">
        <v>130</v>
      </c>
      <c r="K36" s="31"/>
      <c r="L36" s="4"/>
      <c r="M36" s="4"/>
      <c r="N36" s="33">
        <f>+K36*4*3</f>
        <v>0</v>
      </c>
      <c r="O36" s="21"/>
      <c r="P36" s="10"/>
      <c r="Q36" s="22"/>
      <c r="R36" s="22"/>
      <c r="S36" s="22"/>
    </row>
    <row r="37" spans="1:19" ht="15">
      <c r="A37" s="4">
        <v>338</v>
      </c>
      <c r="B37" s="4" t="s">
        <v>131</v>
      </c>
      <c r="C37" s="4"/>
      <c r="D37" s="4"/>
      <c r="E37" s="4"/>
      <c r="F37" s="4" t="s">
        <v>100</v>
      </c>
      <c r="G37" s="4"/>
      <c r="H37" s="25" t="s">
        <v>107</v>
      </c>
      <c r="I37" s="32"/>
      <c r="J37" s="26">
        <v>45</v>
      </c>
      <c r="K37" s="31"/>
      <c r="L37" s="4"/>
      <c r="M37" s="4"/>
      <c r="N37" s="33">
        <f>+K37*J37</f>
        <v>0</v>
      </c>
      <c r="O37" s="21"/>
      <c r="P37" s="10"/>
      <c r="Q37" s="22"/>
      <c r="R37" s="22"/>
      <c r="S37" s="22"/>
    </row>
    <row r="38" spans="1:19" ht="15">
      <c r="A38" s="32" t="s">
        <v>132</v>
      </c>
      <c r="B38" s="4" t="s">
        <v>161</v>
      </c>
      <c r="C38" s="4"/>
      <c r="D38" s="4"/>
      <c r="E38" s="4"/>
      <c r="F38" s="4" t="s">
        <v>100</v>
      </c>
      <c r="G38" s="4"/>
      <c r="H38" s="25" t="s">
        <v>107</v>
      </c>
      <c r="I38" s="32"/>
      <c r="J38" s="26">
        <v>105</v>
      </c>
      <c r="K38" s="31"/>
      <c r="L38" s="4"/>
      <c r="M38" s="4"/>
      <c r="N38" s="33">
        <f>+K38*J38</f>
        <v>0</v>
      </c>
      <c r="O38" s="21"/>
      <c r="P38" s="10"/>
      <c r="Q38" s="22"/>
      <c r="R38" s="22"/>
      <c r="S38" s="22"/>
    </row>
    <row r="39" spans="1:19" ht="15">
      <c r="A39" s="32" t="s">
        <v>81</v>
      </c>
      <c r="B39" s="4" t="s">
        <v>162</v>
      </c>
      <c r="C39" s="4"/>
      <c r="D39" s="4"/>
      <c r="E39" s="4"/>
      <c r="F39" s="4" t="s">
        <v>100</v>
      </c>
      <c r="G39" s="4"/>
      <c r="H39" s="25" t="s">
        <v>107</v>
      </c>
      <c r="I39" s="32"/>
      <c r="J39" s="26">
        <v>60</v>
      </c>
      <c r="K39" s="31"/>
      <c r="L39" s="4"/>
      <c r="M39" s="4"/>
      <c r="N39" s="33">
        <f>+K39*J39</f>
        <v>0</v>
      </c>
      <c r="O39" s="21"/>
      <c r="P39" s="10"/>
      <c r="Q39" s="22"/>
      <c r="R39" s="22"/>
      <c r="S39" s="22"/>
    </row>
    <row r="40" spans="1:19" ht="15">
      <c r="A40" s="32" t="s">
        <v>133</v>
      </c>
      <c r="B40" s="4" t="s">
        <v>163</v>
      </c>
      <c r="C40" s="4"/>
      <c r="D40" s="4"/>
      <c r="E40" s="4"/>
      <c r="F40" s="4" t="s">
        <v>100</v>
      </c>
      <c r="G40" s="4"/>
      <c r="H40" s="25" t="s">
        <v>107</v>
      </c>
      <c r="I40" s="32"/>
      <c r="J40" s="26" t="s">
        <v>134</v>
      </c>
      <c r="K40" s="31"/>
      <c r="L40" s="4"/>
      <c r="M40" s="4"/>
      <c r="N40" s="33">
        <f>+K40*15*3</f>
        <v>0</v>
      </c>
      <c r="O40" s="21"/>
      <c r="P40" s="10"/>
      <c r="Q40" s="22"/>
      <c r="R40" s="22"/>
      <c r="S40" s="22"/>
    </row>
    <row r="41" spans="1:19" ht="15">
      <c r="A41" s="32" t="s">
        <v>135</v>
      </c>
      <c r="B41" s="4" t="s">
        <v>164</v>
      </c>
      <c r="C41" s="4"/>
      <c r="D41" s="4"/>
      <c r="E41" s="4"/>
      <c r="F41" s="4" t="s">
        <v>100</v>
      </c>
      <c r="G41" s="4"/>
      <c r="H41" s="25" t="s">
        <v>107</v>
      </c>
      <c r="I41" s="32"/>
      <c r="J41" s="26" t="s">
        <v>136</v>
      </c>
      <c r="K41" s="31"/>
      <c r="L41" s="4"/>
      <c r="M41" s="4"/>
      <c r="N41" s="33">
        <f>+K41*10*3</f>
        <v>0</v>
      </c>
      <c r="O41" s="21"/>
      <c r="P41" s="10"/>
      <c r="Q41" s="22"/>
      <c r="R41" s="22"/>
      <c r="S41" s="22"/>
    </row>
    <row r="42" spans="1:19" ht="15">
      <c r="A42" s="4">
        <v>558</v>
      </c>
      <c r="B42" s="4" t="s">
        <v>137</v>
      </c>
      <c r="C42" s="4"/>
      <c r="D42" s="4"/>
      <c r="E42" s="4"/>
      <c r="F42" s="4" t="s">
        <v>104</v>
      </c>
      <c r="G42" s="4"/>
      <c r="H42" s="25">
        <v>75</v>
      </c>
      <c r="I42" s="4"/>
      <c r="J42" s="26">
        <v>4000</v>
      </c>
      <c r="K42" s="27"/>
      <c r="L42" s="28">
        <f>(J42)*(K42)</f>
        <v>0</v>
      </c>
      <c r="M42" s="4"/>
      <c r="N42" s="29">
        <f>IF(+L42/(IF(K42&gt;0,K42,0.0000001))*0.75&gt;4000,+K42*4000,+L42*H42/100)</f>
        <v>0</v>
      </c>
      <c r="O42" s="21"/>
      <c r="P42" s="10"/>
      <c r="Q42" s="22"/>
      <c r="R42" s="22"/>
      <c r="S42" s="22"/>
    </row>
    <row r="43" spans="1:19" ht="15">
      <c r="A43" s="4">
        <v>350</v>
      </c>
      <c r="B43" s="4" t="s">
        <v>138</v>
      </c>
      <c r="C43" s="4"/>
      <c r="D43" s="4"/>
      <c r="E43" s="4"/>
      <c r="F43" s="4" t="s">
        <v>104</v>
      </c>
      <c r="G43" s="4"/>
      <c r="H43" s="25">
        <v>75</v>
      </c>
      <c r="I43" s="4"/>
      <c r="J43" s="26">
        <v>6000</v>
      </c>
      <c r="K43" s="27"/>
      <c r="L43" s="28">
        <f>(J43)*(K43)</f>
        <v>0</v>
      </c>
      <c r="M43" s="4"/>
      <c r="N43" s="29">
        <f>IF(+L43/(IF(K43&gt;0,K43,0.0000001))*0.75&gt;6000,+K43*6000,+L43*H43/100)</f>
        <v>0</v>
      </c>
      <c r="O43" s="21"/>
      <c r="P43" s="10"/>
      <c r="Q43" s="22"/>
      <c r="R43" s="22"/>
      <c r="S43" s="22"/>
    </row>
    <row r="44" spans="1:19" ht="15">
      <c r="A44" s="4" t="s">
        <v>81</v>
      </c>
      <c r="B44" s="4" t="s">
        <v>139</v>
      </c>
      <c r="C44" s="4"/>
      <c r="D44" s="4"/>
      <c r="E44" s="4"/>
      <c r="F44" s="4" t="s">
        <v>104</v>
      </c>
      <c r="G44" s="4"/>
      <c r="H44" s="25">
        <v>50</v>
      </c>
      <c r="I44" s="4"/>
      <c r="J44" s="26">
        <v>10000</v>
      </c>
      <c r="K44" s="27"/>
      <c r="L44" s="28">
        <f>(J44)*(K44)</f>
        <v>0</v>
      </c>
      <c r="M44" s="4"/>
      <c r="N44" s="29">
        <f>IF(+L44/(IF(K44&gt;0,K44,0.0000001))*0.5&gt;10000,+K44*10000,+L44*H44/100)</f>
        <v>0</v>
      </c>
      <c r="O44" s="21"/>
      <c r="P44" s="10"/>
      <c r="Q44" s="22"/>
      <c r="R44" s="22"/>
      <c r="S44" s="22"/>
    </row>
    <row r="45" spans="1:19" ht="15">
      <c r="A45" s="4">
        <v>580</v>
      </c>
      <c r="B45" s="4" t="s">
        <v>140</v>
      </c>
      <c r="C45" s="4"/>
      <c r="D45" s="4"/>
      <c r="E45" s="4"/>
      <c r="F45" s="4" t="s">
        <v>97</v>
      </c>
      <c r="G45" s="4"/>
      <c r="H45" s="25">
        <v>75</v>
      </c>
      <c r="I45" s="4"/>
      <c r="J45" s="26">
        <v>50</v>
      </c>
      <c r="K45" s="27"/>
      <c r="L45" s="28">
        <f>(J45)*(K45)</f>
        <v>0</v>
      </c>
      <c r="M45" s="4"/>
      <c r="N45" s="29">
        <f>IF(+L45/(IF(K45&gt;0,K45,0.0000001))*0.75&gt;50,+K45*50,+L45*H45/100)</f>
        <v>0</v>
      </c>
      <c r="O45" s="21"/>
      <c r="P45" s="10"/>
      <c r="Q45" s="22"/>
      <c r="R45" s="22"/>
      <c r="S45" s="22"/>
    </row>
    <row r="46" spans="1:19" ht="15">
      <c r="A46" s="4">
        <v>584</v>
      </c>
      <c r="B46" s="4" t="s">
        <v>141</v>
      </c>
      <c r="C46" s="4"/>
      <c r="D46" s="4"/>
      <c r="E46" s="4"/>
      <c r="F46" s="4" t="s">
        <v>97</v>
      </c>
      <c r="G46" s="4"/>
      <c r="H46" s="25">
        <v>50</v>
      </c>
      <c r="I46" s="4"/>
      <c r="J46" s="26">
        <v>25</v>
      </c>
      <c r="K46" s="27"/>
      <c r="L46" s="28">
        <f>(J46)*(K46)</f>
        <v>0</v>
      </c>
      <c r="M46" s="4"/>
      <c r="N46" s="29">
        <f>IF(+L46/(IF(K46&gt;0,K46,0.0000001))*0.5&gt;25,+K46*25,+L46*H46/100)</f>
        <v>0</v>
      </c>
      <c r="O46" s="21"/>
      <c r="P46" s="10"/>
      <c r="Q46" s="22"/>
      <c r="R46" s="22"/>
      <c r="S46" s="22"/>
    </row>
    <row r="47" spans="1:19" ht="15">
      <c r="A47" s="4">
        <v>585</v>
      </c>
      <c r="B47" s="4" t="s">
        <v>142</v>
      </c>
      <c r="C47" s="4"/>
      <c r="D47" s="4"/>
      <c r="E47" s="4"/>
      <c r="F47" s="4" t="s">
        <v>100</v>
      </c>
      <c r="G47" s="4"/>
      <c r="H47" s="25" t="s">
        <v>107</v>
      </c>
      <c r="I47" s="32"/>
      <c r="J47" s="26">
        <v>13.5</v>
      </c>
      <c r="K47" s="31"/>
      <c r="L47" s="35"/>
      <c r="M47" s="35"/>
      <c r="N47" s="33">
        <f>+K47*J47</f>
        <v>0</v>
      </c>
      <c r="O47" s="21"/>
      <c r="P47" s="10"/>
      <c r="Q47" s="22"/>
      <c r="R47" s="22"/>
      <c r="S47" s="22"/>
    </row>
    <row r="48" spans="1:19" ht="15">
      <c r="A48" s="4">
        <v>587</v>
      </c>
      <c r="B48" s="4" t="s">
        <v>143</v>
      </c>
      <c r="C48" s="4"/>
      <c r="D48" s="4"/>
      <c r="E48" s="4"/>
      <c r="F48" s="4" t="s">
        <v>104</v>
      </c>
      <c r="G48" s="4"/>
      <c r="H48" s="25">
        <v>50</v>
      </c>
      <c r="I48" s="4"/>
      <c r="J48" s="26">
        <v>20000</v>
      </c>
      <c r="K48" s="27"/>
      <c r="L48" s="28">
        <f>(J48)*(K48)</f>
        <v>0</v>
      </c>
      <c r="M48" s="4"/>
      <c r="N48" s="29">
        <f>IF(+L48/(IF(K48&gt;0,K48,0.0000001))*0.5&gt;20000,+K48*20000,+L48*H48/100)</f>
        <v>0</v>
      </c>
      <c r="O48" s="21"/>
      <c r="P48" s="10"/>
      <c r="Q48" s="22"/>
      <c r="R48" s="22"/>
      <c r="S48" s="22"/>
    </row>
    <row r="49" spans="1:19" ht="15">
      <c r="A49" s="4">
        <v>660</v>
      </c>
      <c r="B49" s="4" t="s">
        <v>144</v>
      </c>
      <c r="C49" s="4"/>
      <c r="D49" s="4"/>
      <c r="E49" s="4"/>
      <c r="F49" s="4" t="s">
        <v>100</v>
      </c>
      <c r="G49" s="4"/>
      <c r="H49" s="25">
        <v>50</v>
      </c>
      <c r="I49" s="4"/>
      <c r="J49" s="26">
        <v>130</v>
      </c>
      <c r="K49" s="27"/>
      <c r="L49" s="28">
        <f>(J49)*(K49)</f>
        <v>0</v>
      </c>
      <c r="M49" s="4"/>
      <c r="N49" s="29">
        <f>IF(+L49/(IF(K49&gt;0,K49,0.0000001))*0.5&gt;130,+K49*130,+L49*H49/100)</f>
        <v>0</v>
      </c>
      <c r="O49" s="21"/>
      <c r="P49" s="10"/>
      <c r="Q49" s="22"/>
      <c r="R49" s="22"/>
      <c r="S49" s="22"/>
    </row>
    <row r="50" spans="1:19" ht="15">
      <c r="A50" s="4">
        <v>612</v>
      </c>
      <c r="B50" s="4" t="s">
        <v>145</v>
      </c>
      <c r="C50" s="4"/>
      <c r="D50" s="4"/>
      <c r="E50" s="4"/>
      <c r="F50" s="4" t="s">
        <v>100</v>
      </c>
      <c r="G50" s="4"/>
      <c r="H50" s="25">
        <v>50</v>
      </c>
      <c r="I50" s="4"/>
      <c r="J50" s="26">
        <v>350</v>
      </c>
      <c r="K50" s="31"/>
      <c r="L50" s="28">
        <f>(J50)*(K50)</f>
        <v>0</v>
      </c>
      <c r="M50" s="4"/>
      <c r="N50" s="29">
        <f>IF(+L50/(IF(K50&gt;0,K50,0.0000001))*0.5&gt;350,+K50*350,+L50*H50/100)</f>
        <v>0</v>
      </c>
      <c r="O50" s="21"/>
      <c r="P50" s="10"/>
      <c r="Q50" s="22"/>
      <c r="R50" s="22"/>
      <c r="S50" s="22"/>
    </row>
    <row r="51" spans="1:19" ht="15">
      <c r="A51" s="4">
        <v>620</v>
      </c>
      <c r="B51" s="4" t="s">
        <v>146</v>
      </c>
      <c r="C51" s="4"/>
      <c r="D51" s="4"/>
      <c r="E51" s="4"/>
      <c r="F51" s="4" t="s">
        <v>97</v>
      </c>
      <c r="G51" s="4"/>
      <c r="H51" s="25">
        <v>50</v>
      </c>
      <c r="I51" s="4"/>
      <c r="J51" s="26">
        <v>6</v>
      </c>
      <c r="K51" s="27"/>
      <c r="L51" s="28">
        <f>(J51)*(K51)</f>
        <v>0</v>
      </c>
      <c r="M51" s="4"/>
      <c r="N51" s="29">
        <f>IF(+L51/(IF(K51&gt;0,K51,0.0000001))*0.5&gt;6,+K51*6,+L51*H51/100)</f>
        <v>0</v>
      </c>
      <c r="O51" s="21"/>
      <c r="P51" s="10"/>
      <c r="Q51" s="22"/>
      <c r="R51" s="22"/>
      <c r="S51" s="22"/>
    </row>
    <row r="52" spans="1:19" ht="15">
      <c r="A52" s="4">
        <v>472</v>
      </c>
      <c r="B52" s="4" t="s">
        <v>147</v>
      </c>
      <c r="C52" s="4"/>
      <c r="D52" s="4"/>
      <c r="E52" s="4"/>
      <c r="F52" s="4" t="s">
        <v>100</v>
      </c>
      <c r="G52" s="4"/>
      <c r="H52" s="25" t="s">
        <v>107</v>
      </c>
      <c r="I52" s="4"/>
      <c r="J52" s="26">
        <v>10</v>
      </c>
      <c r="K52" s="31">
        <v>0</v>
      </c>
      <c r="L52" s="4"/>
      <c r="M52" s="4"/>
      <c r="N52" s="33">
        <f>IF(+K52*J52&gt;2000,2000,+K52*J52)</f>
        <v>0</v>
      </c>
      <c r="O52" s="21"/>
      <c r="P52" s="10"/>
      <c r="Q52" s="22"/>
      <c r="R52" s="22"/>
      <c r="S52" s="22"/>
    </row>
    <row r="53" spans="1:19" ht="15">
      <c r="A53" s="4">
        <v>638</v>
      </c>
      <c r="B53" s="4" t="s">
        <v>148</v>
      </c>
      <c r="C53" s="4"/>
      <c r="D53" s="4"/>
      <c r="E53" s="4"/>
      <c r="F53" s="4" t="s">
        <v>104</v>
      </c>
      <c r="G53" s="4"/>
      <c r="H53" s="25">
        <v>50</v>
      </c>
      <c r="I53" s="4"/>
      <c r="J53" s="26">
        <v>5000</v>
      </c>
      <c r="K53" s="27"/>
      <c r="L53" s="28">
        <f>(J53)*(K53)</f>
        <v>0</v>
      </c>
      <c r="M53" s="4"/>
      <c r="N53" s="29">
        <f>IF(+L53/(IF(K53&gt;0,K53,0.0000001))*0.5&gt;5000,+K53*5000,+L53*H53/100)</f>
        <v>0</v>
      </c>
      <c r="O53" s="21"/>
      <c r="P53" s="10"/>
      <c r="Q53" s="22"/>
      <c r="R53" s="22"/>
      <c r="S53" s="22"/>
    </row>
    <row r="54" spans="1:19" ht="15">
      <c r="A54" s="4">
        <v>642</v>
      </c>
      <c r="B54" s="4" t="s">
        <v>165</v>
      </c>
      <c r="C54" s="4"/>
      <c r="D54" s="4"/>
      <c r="E54" s="4"/>
      <c r="F54" s="4" t="s">
        <v>104</v>
      </c>
      <c r="G54" s="4"/>
      <c r="H54" s="25">
        <v>50</v>
      </c>
      <c r="I54" s="4"/>
      <c r="J54" s="26">
        <v>2000</v>
      </c>
      <c r="K54" s="27"/>
      <c r="L54" s="28">
        <f>(J54)*(K54)</f>
        <v>0</v>
      </c>
      <c r="M54" s="4"/>
      <c r="N54" s="29">
        <f>IF(+L54/(IF(K54&gt;0,K54,0.0000001))*0.5&gt;2000,+K54*2000,+L54*H54/100)</f>
        <v>0</v>
      </c>
      <c r="O54" s="21"/>
      <c r="P54" s="10"/>
      <c r="Q54" s="22"/>
      <c r="R54" s="22"/>
      <c r="S54" s="22"/>
    </row>
    <row r="55" spans="1:19" ht="15">
      <c r="A55" s="4">
        <v>351</v>
      </c>
      <c r="B55" s="4" t="s">
        <v>149</v>
      </c>
      <c r="C55" s="4"/>
      <c r="D55" s="4"/>
      <c r="E55" s="4"/>
      <c r="F55" s="4" t="s">
        <v>104</v>
      </c>
      <c r="G55" s="4"/>
      <c r="H55" s="25">
        <v>50</v>
      </c>
      <c r="I55" s="4"/>
      <c r="J55" s="26">
        <v>2000</v>
      </c>
      <c r="K55" s="27"/>
      <c r="L55" s="28">
        <f>(J55)*(K55)</f>
        <v>0</v>
      </c>
      <c r="M55" s="4"/>
      <c r="N55" s="29">
        <f>IF(+L55/(IF(K55&gt;0,K55,0.0000001))*0.5&gt;2000,+K55*2000,+L55*H55/100)</f>
        <v>0</v>
      </c>
      <c r="O55" s="21"/>
      <c r="P55" s="10"/>
      <c r="Q55" s="22"/>
      <c r="R55" s="22"/>
      <c r="S55" s="22"/>
    </row>
    <row r="56" spans="1:19" ht="15">
      <c r="A56" s="4">
        <v>380</v>
      </c>
      <c r="B56" s="4" t="s">
        <v>150</v>
      </c>
      <c r="C56" s="4"/>
      <c r="D56" s="4"/>
      <c r="E56" s="4"/>
      <c r="F56" s="4" t="s">
        <v>97</v>
      </c>
      <c r="G56" s="4"/>
      <c r="H56" s="25">
        <v>50</v>
      </c>
      <c r="I56" s="4"/>
      <c r="J56" s="26">
        <v>1</v>
      </c>
      <c r="K56" s="27"/>
      <c r="L56" s="28">
        <f>(J56)*(K56)</f>
        <v>0</v>
      </c>
      <c r="M56" s="4"/>
      <c r="N56" s="29">
        <f>IF(+L56/(IF(K56&gt;0,K56,0.0000001))*0.5&gt;1,+K56*1,+L56*H56/100)</f>
        <v>0</v>
      </c>
      <c r="O56" s="21"/>
      <c r="P56" s="10"/>
      <c r="Q56" s="22"/>
      <c r="R56" s="22"/>
      <c r="S56" s="22"/>
    </row>
    <row r="57" spans="1:19" ht="15">
      <c r="A57" s="4"/>
      <c r="B57" s="4"/>
      <c r="C57" s="4"/>
      <c r="D57" s="4"/>
      <c r="E57" s="23" t="s">
        <v>151</v>
      </c>
      <c r="F57" s="4"/>
      <c r="G57" s="4"/>
      <c r="H57" s="4"/>
      <c r="I57" s="4"/>
      <c r="J57" s="4"/>
      <c r="K57" s="4"/>
      <c r="L57" s="4"/>
      <c r="M57" s="4"/>
      <c r="N57" s="36">
        <f>SUM(N8:N56)</f>
        <v>0</v>
      </c>
      <c r="O57" s="21"/>
      <c r="P57" s="10"/>
      <c r="Q57" s="22"/>
      <c r="R57" s="22"/>
      <c r="S57" s="22"/>
    </row>
    <row r="58" spans="1:1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21"/>
      <c r="P58" s="10"/>
      <c r="Q58" s="22"/>
      <c r="R58" s="22"/>
      <c r="S58" s="22"/>
    </row>
    <row r="59" spans="1:19" ht="15">
      <c r="A59" s="37" t="s">
        <v>152</v>
      </c>
      <c r="O59" s="21"/>
      <c r="P59" s="10"/>
      <c r="Q59" s="22"/>
      <c r="R59" s="22"/>
      <c r="S59" s="22"/>
    </row>
    <row r="60" spans="1:19" ht="16.5">
      <c r="A60" s="38" t="s">
        <v>167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9"/>
      <c r="P60" s="21"/>
      <c r="Q60" s="22"/>
      <c r="R60" s="22"/>
      <c r="S60" s="22"/>
    </row>
    <row r="61" ht="16.5">
      <c r="A61" s="38" t="s">
        <v>168</v>
      </c>
    </row>
    <row r="62" ht="16.5">
      <c r="A62" s="38" t="s">
        <v>166</v>
      </c>
    </row>
  </sheetData>
  <printOptions horizontalCentered="1" verticalCentered="1"/>
  <pageMargins left="0.2" right="0.2" top="0.49" bottom="0.14" header="0.29" footer="0.5"/>
  <pageSetup fitToHeight="1" fitToWidth="1" horizontalDpi="600" verticalDpi="600" orientation="portrait" scale="82" r:id="rId1"/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E15"/>
  <sheetViews>
    <sheetView workbookViewId="0" topLeftCell="A1">
      <selection activeCell="E27" sqref="E27"/>
    </sheetView>
  </sheetViews>
  <sheetFormatPr defaultColWidth="9.140625" defaultRowHeight="12.75"/>
  <cols>
    <col min="1" max="1" width="4.28125" style="0" customWidth="1"/>
    <col min="2" max="2" width="5.140625" style="0" customWidth="1"/>
    <col min="3" max="3" width="12.00390625" style="0" customWidth="1"/>
    <col min="4" max="4" width="20.57421875" style="0" customWidth="1"/>
    <col min="5" max="5" width="28.57421875" style="0" customWidth="1"/>
  </cols>
  <sheetData>
    <row r="2" ht="20.25">
      <c r="B2" s="3" t="s">
        <v>40</v>
      </c>
    </row>
    <row r="4" spans="2:5" ht="12.75">
      <c r="B4" t="s">
        <v>41</v>
      </c>
      <c r="C4" t="s">
        <v>42</v>
      </c>
      <c r="D4" t="s">
        <v>43</v>
      </c>
      <c r="E4" t="s">
        <v>44</v>
      </c>
    </row>
    <row r="5" spans="2:5" ht="12.75">
      <c r="B5" t="s">
        <v>45</v>
      </c>
      <c r="C5" t="s">
        <v>42</v>
      </c>
      <c r="D5" t="s">
        <v>43</v>
      </c>
      <c r="E5" t="s">
        <v>46</v>
      </c>
    </row>
    <row r="6" spans="2:5" ht="12.75">
      <c r="B6" t="s">
        <v>47</v>
      </c>
      <c r="C6" t="s">
        <v>48</v>
      </c>
      <c r="D6" t="s">
        <v>49</v>
      </c>
      <c r="E6" t="s">
        <v>50</v>
      </c>
    </row>
    <row r="7" spans="2:5" ht="12.75">
      <c r="B7" t="s">
        <v>51</v>
      </c>
      <c r="C7" t="s">
        <v>48</v>
      </c>
      <c r="D7" t="s">
        <v>49</v>
      </c>
      <c r="E7" t="s">
        <v>52</v>
      </c>
    </row>
    <row r="8" spans="2:5" ht="12.75">
      <c r="B8" t="s">
        <v>53</v>
      </c>
      <c r="C8" t="s">
        <v>48</v>
      </c>
      <c r="D8" t="s">
        <v>49</v>
      </c>
      <c r="E8" t="s">
        <v>54</v>
      </c>
    </row>
    <row r="9" spans="2:5" ht="12.75">
      <c r="B9" t="s">
        <v>55</v>
      </c>
      <c r="C9" t="s">
        <v>48</v>
      </c>
      <c r="D9" t="s">
        <v>49</v>
      </c>
      <c r="E9" t="s">
        <v>56</v>
      </c>
    </row>
    <row r="10" spans="2:5" ht="12.75">
      <c r="B10" t="s">
        <v>57</v>
      </c>
      <c r="C10" t="s">
        <v>48</v>
      </c>
      <c r="D10" t="s">
        <v>49</v>
      </c>
      <c r="E10" t="s">
        <v>58</v>
      </c>
    </row>
    <row r="11" spans="2:5" ht="12.75">
      <c r="B11" t="s">
        <v>59</v>
      </c>
      <c r="C11" t="s">
        <v>60</v>
      </c>
      <c r="D11" t="s">
        <v>61</v>
      </c>
      <c r="E11" t="s">
        <v>62</v>
      </c>
    </row>
    <row r="12" spans="2:5" ht="12.75">
      <c r="B12" t="s">
        <v>63</v>
      </c>
      <c r="C12" t="s">
        <v>60</v>
      </c>
      <c r="D12" t="s">
        <v>64</v>
      </c>
      <c r="E12" t="s">
        <v>65</v>
      </c>
    </row>
    <row r="13" spans="2:5" ht="12.75">
      <c r="B13" t="s">
        <v>66</v>
      </c>
      <c r="C13" t="s">
        <v>60</v>
      </c>
      <c r="D13" t="s">
        <v>64</v>
      </c>
      <c r="E13" t="s">
        <v>67</v>
      </c>
    </row>
    <row r="14" spans="2:5" ht="12.75">
      <c r="B14" t="s">
        <v>68</v>
      </c>
      <c r="C14" t="s">
        <v>60</v>
      </c>
      <c r="D14" t="s">
        <v>64</v>
      </c>
      <c r="E14" t="s">
        <v>69</v>
      </c>
    </row>
    <row r="15" spans="2:5" ht="12.75">
      <c r="B15" t="s">
        <v>70</v>
      </c>
      <c r="C15" t="s">
        <v>71</v>
      </c>
      <c r="D15" t="s">
        <v>72</v>
      </c>
      <c r="E15" t="s">
        <v>73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5" sqref="C5"/>
    </sheetView>
  </sheetViews>
  <sheetFormatPr defaultColWidth="9.140625" defaultRowHeight="12.75"/>
  <cols>
    <col min="1" max="1" width="10.28125" style="2" customWidth="1"/>
    <col min="5" max="5" width="14.140625" style="0" customWidth="1"/>
    <col min="6" max="6" width="10.421875" style="0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spans="1:8" ht="12.75">
      <c r="A2" s="1" t="s">
        <v>1</v>
      </c>
      <c r="B2" s="1"/>
      <c r="C2" s="1"/>
      <c r="D2" s="1"/>
      <c r="E2" s="1"/>
      <c r="F2" s="1"/>
      <c r="G2" s="1"/>
      <c r="H2" s="1"/>
    </row>
    <row r="4" spans="1:7" ht="12.75">
      <c r="A4" s="2" t="s">
        <v>2</v>
      </c>
      <c r="B4" t="s">
        <v>3</v>
      </c>
      <c r="F4" s="2" t="s">
        <v>2</v>
      </c>
      <c r="G4" t="s">
        <v>4</v>
      </c>
    </row>
    <row r="5" spans="1:6" ht="12.75">
      <c r="A5" s="2" t="s">
        <v>2</v>
      </c>
      <c r="B5" t="s">
        <v>5</v>
      </c>
      <c r="F5" s="2"/>
    </row>
    <row r="6" spans="1:7" ht="12.75">
      <c r="A6" s="2" t="s">
        <v>2</v>
      </c>
      <c r="B6" t="s">
        <v>6</v>
      </c>
      <c r="F6" t="s">
        <v>2</v>
      </c>
      <c r="G6" t="s">
        <v>7</v>
      </c>
    </row>
    <row r="7" spans="1:7" ht="12.75">
      <c r="A7" s="2" t="s">
        <v>2</v>
      </c>
      <c r="B7" t="s">
        <v>8</v>
      </c>
      <c r="F7" t="s">
        <v>2</v>
      </c>
      <c r="G7" t="s">
        <v>9</v>
      </c>
    </row>
    <row r="8" spans="1:7" ht="12.75">
      <c r="A8" s="2" t="s">
        <v>2</v>
      </c>
      <c r="B8" t="s">
        <v>10</v>
      </c>
      <c r="F8" t="s">
        <v>2</v>
      </c>
      <c r="G8" t="s">
        <v>11</v>
      </c>
    </row>
    <row r="9" spans="1:7" ht="12.75">
      <c r="A9" s="2" t="s">
        <v>2</v>
      </c>
      <c r="B9" t="s">
        <v>12</v>
      </c>
      <c r="E9" s="2"/>
      <c r="F9" t="s">
        <v>2</v>
      </c>
      <c r="G9" t="s">
        <v>13</v>
      </c>
    </row>
    <row r="10" spans="1:7" ht="12.75">
      <c r="A10" s="2" t="s">
        <v>2</v>
      </c>
      <c r="B10" t="s">
        <v>14</v>
      </c>
      <c r="F10" t="s">
        <v>2</v>
      </c>
      <c r="G10" t="s">
        <v>15</v>
      </c>
    </row>
    <row r="11" spans="1:7" ht="12.75">
      <c r="A11" s="2" t="s">
        <v>16</v>
      </c>
      <c r="B11" t="s">
        <v>17</v>
      </c>
      <c r="F11" t="s">
        <v>2</v>
      </c>
      <c r="G11" t="s">
        <v>18</v>
      </c>
    </row>
    <row r="12" spans="1:7" ht="12.75">
      <c r="A12" t="s">
        <v>19</v>
      </c>
      <c r="B12" t="s">
        <v>20</v>
      </c>
      <c r="F12" t="s">
        <v>2</v>
      </c>
      <c r="G12" t="s">
        <v>21</v>
      </c>
    </row>
    <row r="13" spans="1:7" ht="12.75">
      <c r="A13" s="2" t="s">
        <v>2</v>
      </c>
      <c r="B13" t="s">
        <v>22</v>
      </c>
      <c r="F13" t="s">
        <v>2</v>
      </c>
      <c r="G13" t="s">
        <v>23</v>
      </c>
    </row>
    <row r="14" spans="1:7" ht="12.75">
      <c r="A14" s="2" t="s">
        <v>2</v>
      </c>
      <c r="B14" t="s">
        <v>24</v>
      </c>
      <c r="F14" t="s">
        <v>2</v>
      </c>
      <c r="G14" t="s">
        <v>25</v>
      </c>
    </row>
    <row r="15" spans="1:7" ht="12.75">
      <c r="A15" s="2" t="s">
        <v>2</v>
      </c>
      <c r="B15" t="s">
        <v>26</v>
      </c>
      <c r="F15" t="s">
        <v>19</v>
      </c>
      <c r="G15" t="s">
        <v>27</v>
      </c>
    </row>
    <row r="16" spans="1:7" ht="12.75">
      <c r="A16" s="2" t="s">
        <v>2</v>
      </c>
      <c r="B16" t="s">
        <v>28</v>
      </c>
      <c r="F16" t="s">
        <v>2</v>
      </c>
      <c r="G16" t="s">
        <v>29</v>
      </c>
    </row>
    <row r="17" spans="1:7" ht="12.75">
      <c r="A17" s="2" t="s">
        <v>2</v>
      </c>
      <c r="B17" t="s">
        <v>30</v>
      </c>
      <c r="F17" t="s">
        <v>2</v>
      </c>
      <c r="G17" t="s">
        <v>31</v>
      </c>
    </row>
    <row r="18" spans="1:7" ht="12.75">
      <c r="A18" s="2" t="s">
        <v>2</v>
      </c>
      <c r="B18" t="s">
        <v>32</v>
      </c>
      <c r="F18" t="s">
        <v>2</v>
      </c>
      <c r="G18" t="s">
        <v>33</v>
      </c>
    </row>
    <row r="19" spans="1:7" ht="12.75">
      <c r="A19" s="2" t="s">
        <v>2</v>
      </c>
      <c r="B19" t="s">
        <v>34</v>
      </c>
      <c r="F19" t="s">
        <v>2</v>
      </c>
      <c r="G19" t="s">
        <v>35</v>
      </c>
    </row>
    <row r="20" spans="1:7" ht="12.75">
      <c r="A20" s="2" t="s">
        <v>2</v>
      </c>
      <c r="B20" t="s">
        <v>36</v>
      </c>
      <c r="F20" t="s">
        <v>2</v>
      </c>
      <c r="G20" t="s">
        <v>37</v>
      </c>
    </row>
    <row r="21" spans="1:7" ht="12.75">
      <c r="A21" s="2" t="s">
        <v>19</v>
      </c>
      <c r="B21" t="s">
        <v>38</v>
      </c>
      <c r="F21" t="s">
        <v>2</v>
      </c>
      <c r="G21" t="s">
        <v>39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karen.woodrich</dc:creator>
  <cp:keywords/>
  <dc:description/>
  <cp:lastModifiedBy>jan.whitcomb</cp:lastModifiedBy>
  <cp:lastPrinted>2004-01-20T15:26:01Z</cp:lastPrinted>
  <dcterms:created xsi:type="dcterms:W3CDTF">2003-12-15T15:44:12Z</dcterms:created>
  <dcterms:modified xsi:type="dcterms:W3CDTF">2004-05-05T15:56:58Z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-988157283</vt:i4>
  </property>
  <property fmtid="{D5CDD505-2E9C-101B-9397-08002B2CF9AE}" pid="3" name="_EmailSubject">
    <vt:lpwstr>EQIP files on the web</vt:lpwstr>
  </property>
  <property fmtid="{D5CDD505-2E9C-101B-9397-08002B2CF9AE}" pid="4" name="_AuthorEmail">
    <vt:lpwstr>jan.whitcomb@wi.usda.gov</vt:lpwstr>
  </property>
  <property fmtid="{D5CDD505-2E9C-101B-9397-08002B2CF9AE}" pid="5" name="_AuthorEmailDisplayName">
    <vt:lpwstr>Whitcomb, Jan</vt:lpwstr>
  </property>
  <property fmtid="{D5CDD505-2E9C-101B-9397-08002B2CF9AE}" pid="6" name="_PreviousAdHocReviewCycleID">
    <vt:i4>863816790</vt:i4>
  </property>
</Properties>
</file>