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7065" windowWidth="19035" windowHeight="11760" activeTab="1"/>
  </bookViews>
  <sheets>
    <sheet name="DATA" sheetId="1" r:id="rId1"/>
    <sheet name="TOTAL FLUX" sheetId="2" r:id="rId2"/>
    <sheet name="Madison" sheetId="3" r:id="rId3"/>
    <sheet name="Yellowstone" sheetId="4" r:id="rId4"/>
    <sheet name="Snake" sheetId="5" r:id="rId5"/>
    <sheet name="Fall" sheetId="6" r:id="rId6"/>
    <sheet name="Gardiner" sheetId="7" r:id="rId7"/>
    <sheet name="Firehole" sheetId="8" r:id="rId8"/>
    <sheet name="Gibbon" sheetId="9" r:id="rId9"/>
    <sheet name="Boiling" sheetId="10" r:id="rId10"/>
    <sheet name="Henry's Fork" sheetId="11" r:id="rId11"/>
  </sheets>
  <definedNames/>
  <calcPr fullCalcOnLoad="1"/>
</workbook>
</file>

<file path=xl/comments1.xml><?xml version="1.0" encoding="utf-8"?>
<comments xmlns="http://schemas.openxmlformats.org/spreadsheetml/2006/main">
  <authors>
    <author>aabedini</author>
  </authors>
  <commentList>
    <comment ref="D93" authorId="0">
      <text>
        <r>
          <rPr>
            <b/>
            <sz val="8"/>
            <rFont val="Tahoma"/>
            <family val="0"/>
          </rPr>
          <t>aabedini:</t>
        </r>
        <r>
          <rPr>
            <sz val="8"/>
            <rFont val="Tahoma"/>
            <family val="0"/>
          </rPr>
          <t xml:space="preserve">
there was no time recording.  In this case, reading for 12:00 noon is recorded.</t>
        </r>
      </text>
    </comment>
  </commentList>
</comments>
</file>

<file path=xl/comments9.xml><?xml version="1.0" encoding="utf-8"?>
<comments xmlns="http://schemas.openxmlformats.org/spreadsheetml/2006/main">
  <authors>
    <author>aabedini</author>
  </authors>
  <commentList>
    <comment ref="D19" authorId="0">
      <text>
        <r>
          <rPr>
            <b/>
            <sz val="8"/>
            <rFont val="Tahoma"/>
            <family val="0"/>
          </rPr>
          <t>aabedini:</t>
        </r>
        <r>
          <rPr>
            <sz val="8"/>
            <rFont val="Tahoma"/>
            <family val="0"/>
          </rPr>
          <t xml:space="preserve">
12:00 noon
</t>
        </r>
      </text>
    </comment>
  </commentList>
</comments>
</file>

<file path=xl/sharedStrings.xml><?xml version="1.0" encoding="utf-8"?>
<sst xmlns="http://schemas.openxmlformats.org/spreadsheetml/2006/main" count="1494" uniqueCount="697">
  <si>
    <t xml:space="preserve">Sample Number </t>
  </si>
  <si>
    <t>Date</t>
  </si>
  <si>
    <t xml:space="preserve">Lab. CL  (mg/L) </t>
  </si>
  <si>
    <t>YMR121001</t>
  </si>
  <si>
    <t>YMR011702</t>
  </si>
  <si>
    <t>YMR021402</t>
  </si>
  <si>
    <t>YMR030702</t>
  </si>
  <si>
    <t>YMR031402</t>
  </si>
  <si>
    <t>YMR032002</t>
  </si>
  <si>
    <t>YMR041002</t>
  </si>
  <si>
    <t>YMR041902</t>
  </si>
  <si>
    <t>YMR042502</t>
  </si>
  <si>
    <t>YMR050202</t>
  </si>
  <si>
    <t>YMR050802</t>
  </si>
  <si>
    <t>YMR051502</t>
  </si>
  <si>
    <t>YMR052202</t>
  </si>
  <si>
    <t>YMR053002</t>
  </si>
  <si>
    <t>YMR060402</t>
  </si>
  <si>
    <t>YMR061202</t>
  </si>
  <si>
    <t>YMR061302</t>
  </si>
  <si>
    <t>YMR062602</t>
  </si>
  <si>
    <t>YMR070302</t>
  </si>
  <si>
    <t>YMR071602</t>
  </si>
  <si>
    <t>YMR072402</t>
  </si>
  <si>
    <t>YMR073102</t>
  </si>
  <si>
    <t>YMR081402</t>
  </si>
  <si>
    <t>YMR082702</t>
  </si>
  <si>
    <t>YMR082802</t>
  </si>
  <si>
    <t>YMR100102</t>
  </si>
  <si>
    <t>date #</t>
  </si>
  <si>
    <t>YSR121301</t>
  </si>
  <si>
    <t>YSR011802</t>
  </si>
  <si>
    <t>YSR021302</t>
  </si>
  <si>
    <t>YSR030702</t>
  </si>
  <si>
    <t>YSR032102</t>
  </si>
  <si>
    <t>YSR040902</t>
  </si>
  <si>
    <t>YSR041902</t>
  </si>
  <si>
    <t>YSR042502</t>
  </si>
  <si>
    <t>YSR050102</t>
  </si>
  <si>
    <t>YSR050802</t>
  </si>
  <si>
    <t>YSR051602</t>
  </si>
  <si>
    <t>YSR052202</t>
  </si>
  <si>
    <t>YSR052802</t>
  </si>
  <si>
    <t>YSR060502</t>
  </si>
  <si>
    <t>YSR061302</t>
  </si>
  <si>
    <t>YSR062802</t>
  </si>
  <si>
    <t>YSR070402</t>
  </si>
  <si>
    <t>YSR071002</t>
  </si>
  <si>
    <t>YSR071702</t>
  </si>
  <si>
    <t>YSR072502</t>
  </si>
  <si>
    <t>YSR081402</t>
  </si>
  <si>
    <t>YSR082902</t>
  </si>
  <si>
    <t>YSR091202</t>
  </si>
  <si>
    <t>YSR092902</t>
  </si>
  <si>
    <t>YYR121301</t>
  </si>
  <si>
    <t>YYR011502</t>
  </si>
  <si>
    <t>YYR021302</t>
  </si>
  <si>
    <t>YYR030602</t>
  </si>
  <si>
    <t>YYR032002</t>
  </si>
  <si>
    <t>YYR041802</t>
  </si>
  <si>
    <t>YYR042402</t>
  </si>
  <si>
    <t>YYR050102</t>
  </si>
  <si>
    <t>YYR050802</t>
  </si>
  <si>
    <t>YYR051402</t>
  </si>
  <si>
    <t>YYR052302</t>
  </si>
  <si>
    <t>YYR053002</t>
  </si>
  <si>
    <t>YYR060502</t>
  </si>
  <si>
    <t>YYR061202</t>
  </si>
  <si>
    <t>YYR061902</t>
  </si>
  <si>
    <t>YYR062602</t>
  </si>
  <si>
    <t>YYR070302</t>
  </si>
  <si>
    <t>YYR071102</t>
  </si>
  <si>
    <t>YYR071702</t>
  </si>
  <si>
    <t>YYR072502</t>
  </si>
  <si>
    <t>YYR081402</t>
  </si>
  <si>
    <t>YYR082802</t>
  </si>
  <si>
    <t>YYR091002</t>
  </si>
  <si>
    <t>YGR101701</t>
  </si>
  <si>
    <t>YGR011502</t>
  </si>
  <si>
    <t>YGR012502</t>
  </si>
  <si>
    <t>YGR021302</t>
  </si>
  <si>
    <t>YGR030602</t>
  </si>
  <si>
    <t>YGR032002</t>
  </si>
  <si>
    <t>YGR032502</t>
  </si>
  <si>
    <t>YGR041802</t>
  </si>
  <si>
    <t>YGR042402</t>
  </si>
  <si>
    <t>YGR050102</t>
  </si>
  <si>
    <t>YGR050802</t>
  </si>
  <si>
    <t>YGR051502</t>
  </si>
  <si>
    <t>YGR052302</t>
  </si>
  <si>
    <t>YGR053002</t>
  </si>
  <si>
    <t>YGR060502</t>
  </si>
  <si>
    <t>YGR060602</t>
  </si>
  <si>
    <t>YGR061202</t>
  </si>
  <si>
    <t>YGR061902</t>
  </si>
  <si>
    <t>YGR062602</t>
  </si>
  <si>
    <t>YGR070302</t>
  </si>
  <si>
    <t>YGR071102</t>
  </si>
  <si>
    <t>YGR071702</t>
  </si>
  <si>
    <t>YGR071802</t>
  </si>
  <si>
    <t>YGR072502</t>
  </si>
  <si>
    <t>YGR081402</t>
  </si>
  <si>
    <t>YGR082802</t>
  </si>
  <si>
    <t>YGR091002</t>
  </si>
  <si>
    <t>YFR021202</t>
  </si>
  <si>
    <t>YFR032002</t>
  </si>
  <si>
    <t>YFR041002</t>
  </si>
  <si>
    <t>YFR041702</t>
  </si>
  <si>
    <t>YFR042402</t>
  </si>
  <si>
    <t>YFR050102</t>
  </si>
  <si>
    <t>YFR050802</t>
  </si>
  <si>
    <t>YFR051502</t>
  </si>
  <si>
    <t>YFR052202</t>
  </si>
  <si>
    <t>YFR052902</t>
  </si>
  <si>
    <t>YFR060502</t>
  </si>
  <si>
    <t>YFR061202</t>
  </si>
  <si>
    <t>YFR062602</t>
  </si>
  <si>
    <t>YFR070302</t>
  </si>
  <si>
    <t>YFR071002</t>
  </si>
  <si>
    <t>YFR071702</t>
  </si>
  <si>
    <t>YFR072402</t>
  </si>
  <si>
    <t>YFR082802</t>
  </si>
  <si>
    <t>YFR091102</t>
  </si>
  <si>
    <t>YFR093002</t>
  </si>
  <si>
    <t>YHF101901</t>
  </si>
  <si>
    <t>YHF111501</t>
  </si>
  <si>
    <t>YHF121201</t>
  </si>
  <si>
    <t>YHF011602</t>
  </si>
  <si>
    <t>YHF021402</t>
  </si>
  <si>
    <t>YHF030802</t>
  </si>
  <si>
    <t>YHF041702</t>
  </si>
  <si>
    <t>YHF042402</t>
  </si>
  <si>
    <t>YHF050102</t>
  </si>
  <si>
    <t>YHF050502</t>
  </si>
  <si>
    <t>YHF050902</t>
  </si>
  <si>
    <t>YHF051502</t>
  </si>
  <si>
    <t>YHF052102</t>
  </si>
  <si>
    <t>YHF052202</t>
  </si>
  <si>
    <t>YHF052902</t>
  </si>
  <si>
    <t>YHF061202</t>
  </si>
  <si>
    <t>YHF061902</t>
  </si>
  <si>
    <t>YHF062602</t>
  </si>
  <si>
    <t>YHF070302</t>
  </si>
  <si>
    <t>YHF071002</t>
  </si>
  <si>
    <t>YHF071702</t>
  </si>
  <si>
    <t>YHF072502</t>
  </si>
  <si>
    <t>YHF081402</t>
  </si>
  <si>
    <t>YHF082802</t>
  </si>
  <si>
    <t>YHF091102</t>
  </si>
  <si>
    <t>YHF093002</t>
  </si>
  <si>
    <t>Madison</t>
  </si>
  <si>
    <t>Yellowstone</t>
  </si>
  <si>
    <t>Snake</t>
  </si>
  <si>
    <t>Fall</t>
  </si>
  <si>
    <t>TOTAL</t>
  </si>
  <si>
    <t>YMR101701</t>
  </si>
  <si>
    <t>YMR111401</t>
  </si>
  <si>
    <t>YMR121301</t>
  </si>
  <si>
    <t xml:space="preserve">Lab. SO4  (mg/L) </t>
  </si>
  <si>
    <t xml:space="preserve">Lab. HCO3  (mg/L) </t>
  </si>
  <si>
    <t xml:space="preserve">Lab. F  (mg/L) </t>
  </si>
  <si>
    <t>Discharge (m3/sec)</t>
  </si>
  <si>
    <t>Discharge (ft3/sec)</t>
  </si>
  <si>
    <t>Time</t>
  </si>
  <si>
    <t>Discharge (cfs)</t>
  </si>
  <si>
    <t>Alkalinity (mg/l)</t>
  </si>
  <si>
    <t>MADISON R.</t>
  </si>
  <si>
    <t>YELLOWSTONE R.</t>
  </si>
  <si>
    <t>&lt;0.020</t>
  </si>
  <si>
    <t>HENRY'S FORK</t>
  </si>
  <si>
    <t>YHF092801</t>
  </si>
  <si>
    <t>Sample #</t>
  </si>
  <si>
    <t>Gardiner</t>
  </si>
  <si>
    <t>Cl mg/l</t>
  </si>
  <si>
    <t>Br mg/l</t>
  </si>
  <si>
    <t>SO4 mg/l</t>
  </si>
  <si>
    <t>Inst. Cl flux (g/sec)</t>
  </si>
  <si>
    <t>Inst. S flux (g/sec)</t>
  </si>
  <si>
    <t>Inst. HCO3 flux (g/sec)</t>
  </si>
  <si>
    <t>Inst. F flux (g/sec)</t>
  </si>
  <si>
    <t>Total Cl flux (kg)</t>
  </si>
  <si>
    <t>TotalSO4l flux</t>
  </si>
  <si>
    <t>Total HCO3 flux</t>
  </si>
  <si>
    <t>Total F flux</t>
  </si>
  <si>
    <t>Solute Flux - Madison River - 1 October 2001 to 30 September 2002</t>
  </si>
  <si>
    <t>Solute Flux - Snake River - 1 October 2001 to 30 September 2002</t>
  </si>
  <si>
    <t>Solute Flux - Yellowstone River - 1 October 2001 to 30 September 2002</t>
  </si>
  <si>
    <t>Solute Flux - Fall River - 1 October 2001 to 30 September 2002</t>
  </si>
  <si>
    <t>Solute Flux - Gardiner River - 1 October 2001 to 30 September 2002</t>
  </si>
  <si>
    <t>Solute Flux - Henry's Fork - 1 October 2001 to 30 September 2002</t>
  </si>
  <si>
    <t>TOTAL WY 2002</t>
  </si>
  <si>
    <t>YMR100802</t>
  </si>
  <si>
    <t xml:space="preserve">YMR102402 </t>
  </si>
  <si>
    <t>YMR111402</t>
  </si>
  <si>
    <t>YMR121702</t>
  </si>
  <si>
    <t>YMR011503</t>
  </si>
  <si>
    <t>YMR021203</t>
  </si>
  <si>
    <t xml:space="preserve">YMR031103 </t>
  </si>
  <si>
    <t xml:space="preserve">YMR031903 </t>
  </si>
  <si>
    <t>-</t>
  </si>
  <si>
    <t xml:space="preserve">YMR040903 </t>
  </si>
  <si>
    <t xml:space="preserve">YMR041603 </t>
  </si>
  <si>
    <t xml:space="preserve">YMR042303 </t>
  </si>
  <si>
    <t xml:space="preserve">YMR043003 </t>
  </si>
  <si>
    <t xml:space="preserve">YMR050103 </t>
  </si>
  <si>
    <t xml:space="preserve">YMR050703 </t>
  </si>
  <si>
    <t xml:space="preserve">YMR051403 </t>
  </si>
  <si>
    <t xml:space="preserve">YMR052203 </t>
  </si>
  <si>
    <t xml:space="preserve">YMR052703 </t>
  </si>
  <si>
    <t xml:space="preserve">YMR052803 </t>
  </si>
  <si>
    <t xml:space="preserve">YMR060403 </t>
  </si>
  <si>
    <t xml:space="preserve">YMR061103 </t>
  </si>
  <si>
    <t xml:space="preserve">YMR061903 </t>
  </si>
  <si>
    <t xml:space="preserve">YMR062403 </t>
  </si>
  <si>
    <t xml:space="preserve">YMR070903 </t>
  </si>
  <si>
    <t xml:space="preserve">YMR071603 </t>
  </si>
  <si>
    <t xml:space="preserve">YMR072403 </t>
  </si>
  <si>
    <t xml:space="preserve">YMR073003 </t>
  </si>
  <si>
    <t xml:space="preserve">YMR081003 </t>
  </si>
  <si>
    <t xml:space="preserve">YMR081303 </t>
  </si>
  <si>
    <t xml:space="preserve">YMR082703 </t>
  </si>
  <si>
    <t xml:space="preserve">YMR091003 </t>
  </si>
  <si>
    <t xml:space="preserve">YMR092403 </t>
  </si>
  <si>
    <t>TOTAL WY 2003</t>
  </si>
  <si>
    <t>TOTAL WY 2004</t>
  </si>
  <si>
    <t xml:space="preserve">YYR101702 </t>
  </si>
  <si>
    <t xml:space="preserve">YYR111902 </t>
  </si>
  <si>
    <t xml:space="preserve">YYR011303 </t>
  </si>
  <si>
    <t xml:space="preserve">YYR021803 </t>
  </si>
  <si>
    <t xml:space="preserve">YYR030503 </t>
  </si>
  <si>
    <t xml:space="preserve">YYR031003 </t>
  </si>
  <si>
    <t xml:space="preserve">YYR041003 </t>
  </si>
  <si>
    <t xml:space="preserve">YYR042203 </t>
  </si>
  <si>
    <t xml:space="preserve">YYR050703 </t>
  </si>
  <si>
    <t xml:space="preserve">YYR051403 </t>
  </si>
  <si>
    <t xml:space="preserve">YYR052103 </t>
  </si>
  <si>
    <t xml:space="preserve">YYR052803 </t>
  </si>
  <si>
    <t xml:space="preserve">YYR052903 </t>
  </si>
  <si>
    <t xml:space="preserve">YYR060403 </t>
  </si>
  <si>
    <t xml:space="preserve">YYR061103 </t>
  </si>
  <si>
    <t xml:space="preserve">YYR061803 </t>
  </si>
  <si>
    <t xml:space="preserve">YYR062503 </t>
  </si>
  <si>
    <t xml:space="preserve">YYR070903 </t>
  </si>
  <si>
    <t xml:space="preserve">YYR071003 </t>
  </si>
  <si>
    <t xml:space="preserve">YYR071603 </t>
  </si>
  <si>
    <t xml:space="preserve">YYR072303 </t>
  </si>
  <si>
    <t xml:space="preserve">YYR080603 </t>
  </si>
  <si>
    <t xml:space="preserve">YYR081303 </t>
  </si>
  <si>
    <t xml:space="preserve">YYR082103 </t>
  </si>
  <si>
    <t xml:space="preserve">YYR082603 </t>
  </si>
  <si>
    <t xml:space="preserve">YYR082703 </t>
  </si>
  <si>
    <t xml:space="preserve">YYR090303 </t>
  </si>
  <si>
    <t xml:space="preserve">YYR091703 </t>
  </si>
  <si>
    <t xml:space="preserve">YYR092403 </t>
  </si>
  <si>
    <t xml:space="preserve">YYR100103 </t>
  </si>
  <si>
    <t xml:space="preserve">YYR100603 </t>
  </si>
  <si>
    <t xml:space="preserve">YYR111703 </t>
  </si>
  <si>
    <t xml:space="preserve">YYR021204 </t>
  </si>
  <si>
    <t xml:space="preserve">YYR030804 </t>
  </si>
  <si>
    <t xml:space="preserve">YYR032204 </t>
  </si>
  <si>
    <t xml:space="preserve">YYR041304 </t>
  </si>
  <si>
    <t xml:space="preserve">YYR042304 </t>
  </si>
  <si>
    <t xml:space="preserve">YYR042604 </t>
  </si>
  <si>
    <t xml:space="preserve">YYR050404 </t>
  </si>
  <si>
    <t xml:space="preserve">YYR051104 </t>
  </si>
  <si>
    <t>YYR051804</t>
  </si>
  <si>
    <t>YYR052404</t>
  </si>
  <si>
    <t>YYR060104</t>
  </si>
  <si>
    <t>YYR060704</t>
  </si>
  <si>
    <t>YYR061404</t>
  </si>
  <si>
    <t>YYR062104</t>
  </si>
  <si>
    <t>YYR062804</t>
  </si>
  <si>
    <t>YYR070604</t>
  </si>
  <si>
    <t>YYR070704</t>
  </si>
  <si>
    <t>YYR071204</t>
  </si>
  <si>
    <t>YYR071904</t>
  </si>
  <si>
    <t>YYR072604</t>
  </si>
  <si>
    <t>YYR080204</t>
  </si>
  <si>
    <t>YYR080904</t>
  </si>
  <si>
    <t>YYR081604</t>
  </si>
  <si>
    <t>YYR082304</t>
  </si>
  <si>
    <t>YYR082404</t>
  </si>
  <si>
    <t>YYR083004</t>
  </si>
  <si>
    <t>YYR090704</t>
  </si>
  <si>
    <t>YYR091304</t>
  </si>
  <si>
    <t>YYR092004</t>
  </si>
  <si>
    <t>YSR100902</t>
  </si>
  <si>
    <t>YSR101802</t>
  </si>
  <si>
    <t>YSR102502</t>
  </si>
  <si>
    <t>YSR121702</t>
  </si>
  <si>
    <t>YSR011603</t>
  </si>
  <si>
    <t>YSR021303</t>
  </si>
  <si>
    <t xml:space="preserve">YSR030703 </t>
  </si>
  <si>
    <t xml:space="preserve">YSR032103 </t>
  </si>
  <si>
    <t xml:space="preserve">YSR040903 </t>
  </si>
  <si>
    <t xml:space="preserve">YSR042403 </t>
  </si>
  <si>
    <t xml:space="preserve">YSR050903 </t>
  </si>
  <si>
    <t xml:space="preserve">YSR051503 </t>
  </si>
  <si>
    <t xml:space="preserve">YSR052103 </t>
  </si>
  <si>
    <t xml:space="preserve">YSR052903 </t>
  </si>
  <si>
    <t xml:space="preserve">YSR060403 </t>
  </si>
  <si>
    <t xml:space="preserve">YSR061103 </t>
  </si>
  <si>
    <t xml:space="preserve">YSR062503 </t>
  </si>
  <si>
    <t xml:space="preserve">YSR070303 </t>
  </si>
  <si>
    <t xml:space="preserve">YSR071003 </t>
  </si>
  <si>
    <t xml:space="preserve">YSR071603 </t>
  </si>
  <si>
    <t xml:space="preserve">YSR072303 </t>
  </si>
  <si>
    <t xml:space="preserve">YSR073003 </t>
  </si>
  <si>
    <t xml:space="preserve">YSR080703 </t>
  </si>
  <si>
    <t xml:space="preserve">YSR081303 </t>
  </si>
  <si>
    <t xml:space="preserve">YSR082803 </t>
  </si>
  <si>
    <t xml:space="preserve">YSR100903 </t>
  </si>
  <si>
    <t xml:space="preserve">YSR101503 </t>
  </si>
  <si>
    <t xml:space="preserve">YSR111503 </t>
  </si>
  <si>
    <t xml:space="preserve">YSR121403 </t>
  </si>
  <si>
    <t xml:space="preserve">YSR011704 </t>
  </si>
  <si>
    <t xml:space="preserve">YSR021304 </t>
  </si>
  <si>
    <t xml:space="preserve">YSR030604 </t>
  </si>
  <si>
    <t xml:space="preserve">YSR032004 </t>
  </si>
  <si>
    <t xml:space="preserve">YSR041004 </t>
  </si>
  <si>
    <t xml:space="preserve">YSR041704 </t>
  </si>
  <si>
    <t xml:space="preserve">YSR042504 </t>
  </si>
  <si>
    <t xml:space="preserve">YSR050104 </t>
  </si>
  <si>
    <t>YSR050904</t>
  </si>
  <si>
    <t>YSR051504</t>
  </si>
  <si>
    <t>YSR052204</t>
  </si>
  <si>
    <t>YSR052904</t>
  </si>
  <si>
    <t>YSR060504</t>
  </si>
  <si>
    <t>YSR061304</t>
  </si>
  <si>
    <t>YSR061904</t>
  </si>
  <si>
    <t>YSR062904</t>
  </si>
  <si>
    <t>YSR070304</t>
  </si>
  <si>
    <t>YSR071004</t>
  </si>
  <si>
    <t>YSR071704</t>
  </si>
  <si>
    <t>YSR072404</t>
  </si>
  <si>
    <t>YSR081404</t>
  </si>
  <si>
    <t>YSR082804</t>
  </si>
  <si>
    <t>YFR100802</t>
  </si>
  <si>
    <t>YFR102402</t>
  </si>
  <si>
    <t>YFR121802</t>
  </si>
  <si>
    <t xml:space="preserve">YFR030503 </t>
  </si>
  <si>
    <t xml:space="preserve">YFR031903 </t>
  </si>
  <si>
    <t xml:space="preserve">YFR040903 </t>
  </si>
  <si>
    <t xml:space="preserve">YFR041603 </t>
  </si>
  <si>
    <t xml:space="preserve">YFR042303 </t>
  </si>
  <si>
    <t xml:space="preserve">YFR043003 </t>
  </si>
  <si>
    <t xml:space="preserve">YFR050803 </t>
  </si>
  <si>
    <t xml:space="preserve">YFR051403 </t>
  </si>
  <si>
    <t xml:space="preserve">YFR052103 </t>
  </si>
  <si>
    <t xml:space="preserve">YFR052803 </t>
  </si>
  <si>
    <t xml:space="preserve">YFR060403 </t>
  </si>
  <si>
    <t xml:space="preserve">YFR061103 </t>
  </si>
  <si>
    <t xml:space="preserve">YFR061803 </t>
  </si>
  <si>
    <t xml:space="preserve">YFR062403 </t>
  </si>
  <si>
    <t xml:space="preserve">YFR070903 </t>
  </si>
  <si>
    <t xml:space="preserve">YFR071603 </t>
  </si>
  <si>
    <t xml:space="preserve">YFR072303 </t>
  </si>
  <si>
    <t xml:space="preserve">YFR081303 </t>
  </si>
  <si>
    <t xml:space="preserve">YFR082703 </t>
  </si>
  <si>
    <t xml:space="preserve">YFR091103 </t>
  </si>
  <si>
    <t>YFR050104</t>
  </si>
  <si>
    <t>YFR061604</t>
  </si>
  <si>
    <t>YFR062104</t>
  </si>
  <si>
    <t>YFR062704</t>
  </si>
  <si>
    <t>YFR070504</t>
  </si>
  <si>
    <t>YFR071204</t>
  </si>
  <si>
    <t>YFR071904</t>
  </si>
  <si>
    <t>YFR072504</t>
  </si>
  <si>
    <t>YFR081404</t>
  </si>
  <si>
    <t>YFR083104</t>
  </si>
  <si>
    <t>YFR091304</t>
  </si>
  <si>
    <t xml:space="preserve">YGR101702 </t>
  </si>
  <si>
    <t xml:space="preserve">YGR112102 </t>
  </si>
  <si>
    <t>YGR011403</t>
  </si>
  <si>
    <t>YGR021803</t>
  </si>
  <si>
    <t>YGR030503</t>
  </si>
  <si>
    <t xml:space="preserve">YGR031203 </t>
  </si>
  <si>
    <t xml:space="preserve">YGR041003 </t>
  </si>
  <si>
    <t xml:space="preserve">YGR042303 </t>
  </si>
  <si>
    <t>YGR042403</t>
  </si>
  <si>
    <t>YGR051403</t>
  </si>
  <si>
    <t xml:space="preserve">YGR052103 </t>
  </si>
  <si>
    <t xml:space="preserve">YGR052803 </t>
  </si>
  <si>
    <t xml:space="preserve">YGR052903 </t>
  </si>
  <si>
    <t xml:space="preserve">YGR060403 </t>
  </si>
  <si>
    <t xml:space="preserve">YGR061103 </t>
  </si>
  <si>
    <t xml:space="preserve">YGR061803 </t>
  </si>
  <si>
    <t xml:space="preserve">YGR062403 </t>
  </si>
  <si>
    <t xml:space="preserve">YGR070203 </t>
  </si>
  <si>
    <t xml:space="preserve">YGR050703 </t>
  </si>
  <si>
    <t xml:space="preserve">YGR070903A </t>
  </si>
  <si>
    <t xml:space="preserve">YGR070903B </t>
  </si>
  <si>
    <t xml:space="preserve">YGR081603 </t>
  </si>
  <si>
    <t>YGR072303</t>
  </si>
  <si>
    <t xml:space="preserve">YGR081303 </t>
  </si>
  <si>
    <t xml:space="preserve">YGR082103 </t>
  </si>
  <si>
    <t>YGR082603</t>
  </si>
  <si>
    <t xml:space="preserve">YGR082703 </t>
  </si>
  <si>
    <t xml:space="preserve">YGR090303 </t>
  </si>
  <si>
    <t>YGR091703</t>
  </si>
  <si>
    <t xml:space="preserve">YGR092403 </t>
  </si>
  <si>
    <t xml:space="preserve">YGR100103 </t>
  </si>
  <si>
    <t xml:space="preserve">YGR100703 </t>
  </si>
  <si>
    <t xml:space="preserve">YGR111803 </t>
  </si>
  <si>
    <t xml:space="preserve">YGR010804 </t>
  </si>
  <si>
    <t xml:space="preserve">YGR021204 </t>
  </si>
  <si>
    <t xml:space="preserve">YGR022404 </t>
  </si>
  <si>
    <t xml:space="preserve">YGR030804 </t>
  </si>
  <si>
    <t xml:space="preserve">YGR032204 </t>
  </si>
  <si>
    <t xml:space="preserve">YGR040704 </t>
  </si>
  <si>
    <t xml:space="preserve">YGR041304 </t>
  </si>
  <si>
    <t xml:space="preserve">YGR042604 </t>
  </si>
  <si>
    <t xml:space="preserve">YGR050404 </t>
  </si>
  <si>
    <t>YGR050604</t>
  </si>
  <si>
    <t xml:space="preserve">YGR051104 </t>
  </si>
  <si>
    <t>YGR051804</t>
  </si>
  <si>
    <t>YGR052104</t>
  </si>
  <si>
    <t>YGR052404</t>
  </si>
  <si>
    <t>YGR060104</t>
  </si>
  <si>
    <t>YGR061404</t>
  </si>
  <si>
    <t>YGR062104</t>
  </si>
  <si>
    <t>YGR062804</t>
  </si>
  <si>
    <t>YGR070604</t>
  </si>
  <si>
    <t>YGR070804</t>
  </si>
  <si>
    <t>YGR071204</t>
  </si>
  <si>
    <t>YGR071904</t>
  </si>
  <si>
    <t>YGR072604</t>
  </si>
  <si>
    <t>YGR080204</t>
  </si>
  <si>
    <t>YGR080904</t>
  </si>
  <si>
    <t>YGR081604</t>
  </si>
  <si>
    <t>YGR082304</t>
  </si>
  <si>
    <t>YGR082504</t>
  </si>
  <si>
    <t>YGR083004</t>
  </si>
  <si>
    <t>YGR090704</t>
  </si>
  <si>
    <t>YGR091304</t>
  </si>
  <si>
    <t>YGR092004</t>
  </si>
  <si>
    <t>Solute Flux - Firehole River - 1 October 2002 to 30 September 2003</t>
  </si>
  <si>
    <t xml:space="preserve">YFIR111902 </t>
  </si>
  <si>
    <t xml:space="preserve">YFIR011403 </t>
  </si>
  <si>
    <t xml:space="preserve">YFIR011503 </t>
  </si>
  <si>
    <t xml:space="preserve">YFIR013003 </t>
  </si>
  <si>
    <t xml:space="preserve">YFIR022703 </t>
  </si>
  <si>
    <t xml:space="preserve">YFIR031403 </t>
  </si>
  <si>
    <t xml:space="preserve">YFIR040703 </t>
  </si>
  <si>
    <t xml:space="preserve">YFIR042303 </t>
  </si>
  <si>
    <t xml:space="preserve">YFIR052303 </t>
  </si>
  <si>
    <t xml:space="preserve">YFIR060203 </t>
  </si>
  <si>
    <t xml:space="preserve">YFIR061903 </t>
  </si>
  <si>
    <t xml:space="preserve">YFIR070103 </t>
  </si>
  <si>
    <t xml:space="preserve">YFIR071603 </t>
  </si>
  <si>
    <t xml:space="preserve">YFIR073003 </t>
  </si>
  <si>
    <t xml:space="preserve">YFIR081303 </t>
  </si>
  <si>
    <t xml:space="preserve">YFIR082503 </t>
  </si>
  <si>
    <t xml:space="preserve">YFIR091003 </t>
  </si>
  <si>
    <t xml:space="preserve">YFIR092203 </t>
  </si>
  <si>
    <t xml:space="preserve">YFIR100603 </t>
  </si>
  <si>
    <t xml:space="preserve">YFIR102203 </t>
  </si>
  <si>
    <t xml:space="preserve">YFIR110803 </t>
  </si>
  <si>
    <t xml:space="preserve">YFIR111803 </t>
  </si>
  <si>
    <t xml:space="preserve">YFIR120403 </t>
  </si>
  <si>
    <t xml:space="preserve">YFIR121503 </t>
  </si>
  <si>
    <t xml:space="preserve">YFIR020904 </t>
  </si>
  <si>
    <t>YFIR032504</t>
  </si>
  <si>
    <t>YFIR040504</t>
  </si>
  <si>
    <t>YFIR041904</t>
  </si>
  <si>
    <t>YFIR050404</t>
  </si>
  <si>
    <t>YFIR052004</t>
  </si>
  <si>
    <t>YFIR060204</t>
  </si>
  <si>
    <t>YFIR061704</t>
  </si>
  <si>
    <t>YFIR062804</t>
  </si>
  <si>
    <t>YFIR071204</t>
  </si>
  <si>
    <t>YFIR072804</t>
  </si>
  <si>
    <t>YFIR081104</t>
  </si>
  <si>
    <t>YFIR082304</t>
  </si>
  <si>
    <t>YFIR091004</t>
  </si>
  <si>
    <t>YFIR092004</t>
  </si>
  <si>
    <t>Solute Flux - Gibbon River - 1 October 2002 to 30 September 2003</t>
  </si>
  <si>
    <t xml:space="preserve">YGIB110802 </t>
  </si>
  <si>
    <t xml:space="preserve">YGIB111902 </t>
  </si>
  <si>
    <t xml:space="preserve">YGIB120402 </t>
  </si>
  <si>
    <t xml:space="preserve">YGIB011403  </t>
  </si>
  <si>
    <t xml:space="preserve">YGIB011503 </t>
  </si>
  <si>
    <t xml:space="preserve">YGIB013003 </t>
  </si>
  <si>
    <t xml:space="preserve">YGIB022703 </t>
  </si>
  <si>
    <t xml:space="preserve">YGIB031403 </t>
  </si>
  <si>
    <t xml:space="preserve">YGIB040703 </t>
  </si>
  <si>
    <t xml:space="preserve">YGIB042303 </t>
  </si>
  <si>
    <t xml:space="preserve">YGIB052303 </t>
  </si>
  <si>
    <t xml:space="preserve">YGIB060203 </t>
  </si>
  <si>
    <t xml:space="preserve">YGIB061903 </t>
  </si>
  <si>
    <t xml:space="preserve">YGIB070103 </t>
  </si>
  <si>
    <t xml:space="preserve">YGIB071603 </t>
  </si>
  <si>
    <t xml:space="preserve">YGIB073003 </t>
  </si>
  <si>
    <t xml:space="preserve">YGIB081303 </t>
  </si>
  <si>
    <t xml:space="preserve">YGIB082503 </t>
  </si>
  <si>
    <t xml:space="preserve">YGIB091003 </t>
  </si>
  <si>
    <t xml:space="preserve">YGIB092203 </t>
  </si>
  <si>
    <t xml:space="preserve">YGIB100603 </t>
  </si>
  <si>
    <t xml:space="preserve">YGIB102203 </t>
  </si>
  <si>
    <t xml:space="preserve">YGIB111803 </t>
  </si>
  <si>
    <t xml:space="preserve">YGIB121503 </t>
  </si>
  <si>
    <t xml:space="preserve">YGIB020904 </t>
  </si>
  <si>
    <t>YGIB032504</t>
  </si>
  <si>
    <t>YGIB040504</t>
  </si>
  <si>
    <t>YGIB041704</t>
  </si>
  <si>
    <t>YGIB050404</t>
  </si>
  <si>
    <t>YGIB052004</t>
  </si>
  <si>
    <t>YGIB060204</t>
  </si>
  <si>
    <t>YGIB061704</t>
  </si>
  <si>
    <t>YGIB062804</t>
  </si>
  <si>
    <t>YGIB071204</t>
  </si>
  <si>
    <t>YGIB071804</t>
  </si>
  <si>
    <t>YGIB081104</t>
  </si>
  <si>
    <t>YGIB082304</t>
  </si>
  <si>
    <t>YGIB091004</t>
  </si>
  <si>
    <t>YGIB092004</t>
  </si>
  <si>
    <t>Solute Flux - Boiling River - 1 October 2002 to 30 September 2003</t>
  </si>
  <si>
    <t>YBR021803</t>
  </si>
  <si>
    <t xml:space="preserve">YBR030503 </t>
  </si>
  <si>
    <t xml:space="preserve">YBR041003 </t>
  </si>
  <si>
    <t xml:space="preserve">YBR042303 </t>
  </si>
  <si>
    <t>YBR050703</t>
  </si>
  <si>
    <t>YBR051403</t>
  </si>
  <si>
    <t>YBR052103</t>
  </si>
  <si>
    <t xml:space="preserve">YBR052803 </t>
  </si>
  <si>
    <t>YBR060403</t>
  </si>
  <si>
    <t xml:space="preserve">YBR061103 </t>
  </si>
  <si>
    <t xml:space="preserve">YBR061803 </t>
  </si>
  <si>
    <t xml:space="preserve">YBR062403 </t>
  </si>
  <si>
    <t xml:space="preserve">YBR070203 </t>
  </si>
  <si>
    <t xml:space="preserve">YBR070903 </t>
  </si>
  <si>
    <t xml:space="preserve">YBR071603 </t>
  </si>
  <si>
    <t xml:space="preserve">YBR072303 </t>
  </si>
  <si>
    <t xml:space="preserve">YBR080603 </t>
  </si>
  <si>
    <t xml:space="preserve">YBR081303 </t>
  </si>
  <si>
    <t xml:space="preserve">YBR082103 </t>
  </si>
  <si>
    <t>YBR082703</t>
  </si>
  <si>
    <t xml:space="preserve">YBR090303 </t>
  </si>
  <si>
    <t xml:space="preserve">YBR091703 </t>
  </si>
  <si>
    <t xml:space="preserve">YBR092403 </t>
  </si>
  <si>
    <t xml:space="preserve">YBR100103 </t>
  </si>
  <si>
    <t xml:space="preserve">YBR021204 </t>
  </si>
  <si>
    <t xml:space="preserve">YBR032204 </t>
  </si>
  <si>
    <t>YBR050604</t>
  </si>
  <si>
    <t xml:space="preserve">YBR051104 </t>
  </si>
  <si>
    <t>YBR051804</t>
  </si>
  <si>
    <t>YBR052404</t>
  </si>
  <si>
    <t>YBR061404</t>
  </si>
  <si>
    <t>YBR062104</t>
  </si>
  <si>
    <t>YBR062804</t>
  </si>
  <si>
    <t>YBR070604</t>
  </si>
  <si>
    <t>YBR071204</t>
  </si>
  <si>
    <t>YBR071904</t>
  </si>
  <si>
    <t>YBR072604</t>
  </si>
  <si>
    <t>YBR080204</t>
  </si>
  <si>
    <t>YBR080904</t>
  </si>
  <si>
    <t>YBR081604</t>
  </si>
  <si>
    <t>YBR082304</t>
  </si>
  <si>
    <t>YBR083004</t>
  </si>
  <si>
    <t>YBR090704</t>
  </si>
  <si>
    <t>YBR091304</t>
  </si>
  <si>
    <t>YBR092004</t>
  </si>
  <si>
    <t xml:space="preserve">YMR102803 </t>
  </si>
  <si>
    <t xml:space="preserve">YMR021404 </t>
  </si>
  <si>
    <t>YMR022404</t>
  </si>
  <si>
    <t xml:space="preserve">YMR030904 </t>
  </si>
  <si>
    <t xml:space="preserve">YMR032004 </t>
  </si>
  <si>
    <t>YMR040704</t>
  </si>
  <si>
    <t xml:space="preserve">YMR041004 </t>
  </si>
  <si>
    <t xml:space="preserve">YMR041704 </t>
  </si>
  <si>
    <t xml:space="preserve">YMR042404 </t>
  </si>
  <si>
    <t xml:space="preserve">YMR050104 </t>
  </si>
  <si>
    <t xml:space="preserve">YMR050804 </t>
  </si>
  <si>
    <t>YMR052304</t>
  </si>
  <si>
    <t>YMR052604</t>
  </si>
  <si>
    <t>YMR060504</t>
  </si>
  <si>
    <t>YMR061204</t>
  </si>
  <si>
    <t>YMR061804</t>
  </si>
  <si>
    <t>YMR062604</t>
  </si>
  <si>
    <t>YMR070304</t>
  </si>
  <si>
    <t>YMR070704</t>
  </si>
  <si>
    <t>YMR071004</t>
  </si>
  <si>
    <t>YMR071704</t>
  </si>
  <si>
    <t>YMR072404</t>
  </si>
  <si>
    <t>YMR081504</t>
  </si>
  <si>
    <t>YMR082104</t>
  </si>
  <si>
    <t>YMR082404</t>
  </si>
  <si>
    <t>YMR082804</t>
  </si>
  <si>
    <t>YMR091104</t>
  </si>
  <si>
    <t>R2 = 0.4191</t>
  </si>
  <si>
    <t>Cl = 248.08*Discharge^-0.5722</t>
  </si>
  <si>
    <t>R2 = 0.4399</t>
  </si>
  <si>
    <t>SO4 = 52.612x-0.501</t>
  </si>
  <si>
    <t>R2 = 0.9475</t>
  </si>
  <si>
    <t>HCO3 = 999.53x-0.8079</t>
  </si>
  <si>
    <t>R2 = 0.9111</t>
  </si>
  <si>
    <t>F = 49.065x-0.7879</t>
  </si>
  <si>
    <t>R2 = 0.9349</t>
  </si>
  <si>
    <t>Cl = 145.67x-0.7013</t>
  </si>
  <si>
    <t>R2 = 0.9195</t>
  </si>
  <si>
    <t>SO4 = 284.57x-0.62</t>
  </si>
  <si>
    <t>R2 = 0.8934</t>
  </si>
  <si>
    <t>F = 6.0646x-0.5375</t>
  </si>
  <si>
    <t>R2 = 0.842</t>
  </si>
  <si>
    <t>HCO3 = 253.19x-0.3301</t>
  </si>
  <si>
    <t>R2 = 0.9516</t>
  </si>
  <si>
    <t>Cl = 79.371x-0.6831</t>
  </si>
  <si>
    <t>R2 = 0.9827</t>
  </si>
  <si>
    <t>SO4 = 115.46x-0.599</t>
  </si>
  <si>
    <t>R2 = 0.9299</t>
  </si>
  <si>
    <t>HCO3= 155.8x-0.253</t>
  </si>
  <si>
    <t>R2 = 0.9385</t>
  </si>
  <si>
    <t>F = 6.4233x-0.4885</t>
  </si>
  <si>
    <t>R2 = 0.8599</t>
  </si>
  <si>
    <t>Cl = 81.214x-0.7323</t>
  </si>
  <si>
    <t>R2 = 0.6132</t>
  </si>
  <si>
    <t>SO4 = 9.8759x-0.4114</t>
  </si>
  <si>
    <t>R2 = 0.7725</t>
  </si>
  <si>
    <t>HCO3 = 327.24x-0.5458</t>
  </si>
  <si>
    <t>R2 = 0.9098</t>
  </si>
  <si>
    <t>F = 20.422x-0.6995</t>
  </si>
  <si>
    <t>R2 = 0.9327</t>
  </si>
  <si>
    <t>Cl = 94.406x-0.9027</t>
  </si>
  <si>
    <t>R2 = 0.891</t>
  </si>
  <si>
    <t>SO4 = 305.98x-0.8016</t>
  </si>
  <si>
    <t>R2 = 0.3036</t>
  </si>
  <si>
    <t>HCO3= 191.21x-0.2204</t>
  </si>
  <si>
    <t>R2 = 0.9091</t>
  </si>
  <si>
    <t>F = 2.4579x-0.5052</t>
  </si>
  <si>
    <t>R2 = 0.8624</t>
  </si>
  <si>
    <t>Cl = 475.32x-0.9427</t>
  </si>
  <si>
    <t>R2 = 0.6465</t>
  </si>
  <si>
    <t>SO4 = 67.67x-0.8126</t>
  </si>
  <si>
    <t>R2 = 0.9081</t>
  </si>
  <si>
    <t>HCO3 = 873.11x-0.9206</t>
  </si>
  <si>
    <t>R2 = 0.9021</t>
  </si>
  <si>
    <t>F = 52.923x-0.8934</t>
  </si>
  <si>
    <t>R2 = 0.6149</t>
  </si>
  <si>
    <t>Cl = 116.14x-0.6942</t>
  </si>
  <si>
    <t>R2 = 0.2763</t>
  </si>
  <si>
    <t>SO4 = 38.476x-0.4023</t>
  </si>
  <si>
    <t>R2 = 0.9497</t>
  </si>
  <si>
    <t>HCO3 = 234.15x-0.6794</t>
  </si>
  <si>
    <t>R2 = 0.9281</t>
  </si>
  <si>
    <t>F=7.9236x-0.6033</t>
  </si>
  <si>
    <t>R2 = 0.7106</t>
  </si>
  <si>
    <t>Cl= 100.72x-0.6789</t>
  </si>
  <si>
    <t>R2 = 0.7271</t>
  </si>
  <si>
    <t>SO4= 364.65x-0.6673</t>
  </si>
  <si>
    <t>R2 = 0.3313</t>
  </si>
  <si>
    <t>HCO3 = 116.81x-0.9167</t>
  </si>
  <si>
    <t>R2 = 0.5779</t>
  </si>
  <si>
    <t>F= 1.8744x-0.4207</t>
  </si>
  <si>
    <t>WY 2002</t>
  </si>
  <si>
    <t>Cl</t>
  </si>
  <si>
    <t>SO4</t>
  </si>
  <si>
    <t>HCO3</t>
  </si>
  <si>
    <t>F</t>
  </si>
  <si>
    <t>Total flux of solutes (tons)</t>
  </si>
  <si>
    <t>WY 2003</t>
  </si>
  <si>
    <t>WY 2004</t>
  </si>
  <si>
    <t>Percentage of the flux</t>
  </si>
  <si>
    <t>Boiling</t>
  </si>
  <si>
    <t>Firehole</t>
  </si>
  <si>
    <t>Gibbon</t>
  </si>
  <si>
    <t>Percentage of the Yellowstone or Madison Flux</t>
  </si>
  <si>
    <t>Water Year 2002</t>
  </si>
  <si>
    <t>Water Year 2003</t>
  </si>
  <si>
    <t>YMR102402</t>
  </si>
  <si>
    <t xml:space="preserve">YMR071603A </t>
  </si>
  <si>
    <t xml:space="preserve">YMR082703A </t>
  </si>
  <si>
    <t>F mg/l</t>
  </si>
  <si>
    <t>Water Year 2004</t>
  </si>
  <si>
    <t>bdl</t>
  </si>
  <si>
    <t xml:space="preserve">YYR070203 </t>
  </si>
  <si>
    <t>SNAKE RIVER</t>
  </si>
  <si>
    <t xml:space="preserve">YSR040503 </t>
  </si>
  <si>
    <t xml:space="preserve">YSR071803 </t>
  </si>
  <si>
    <t>daily average discharge</t>
  </si>
  <si>
    <t>FALL RIVER</t>
  </si>
  <si>
    <t>SAMPLES WERE NOT COLLECTED BETWEEN OCTOBER 03 AND APRIL 04</t>
  </si>
  <si>
    <t>GARDINER RIVER</t>
  </si>
  <si>
    <r>
      <t>Drainage area (mi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</si>
  <si>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Drainage area (km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</si>
  <si>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Flux per area (ton/yr/km2)</t>
  </si>
  <si>
    <t>Drainage area</t>
  </si>
  <si>
    <t>River</t>
  </si>
  <si>
    <r>
      <t>Flux in eq m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0"/>
      </rPr>
      <t xml:space="preserve"> yr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following table 5 in Meybeck (2003)</t>
    </r>
  </si>
  <si>
    <r>
      <t xml:space="preserve">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</si>
  <si>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molar ratios of solutes</t>
  </si>
  <si>
    <r>
      <t>SO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/Cl</t>
    </r>
  </si>
  <si>
    <r>
      <t>HCO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/Cl</t>
    </r>
  </si>
  <si>
    <r>
      <t>HCO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/SO</t>
    </r>
    <r>
      <rPr>
        <b/>
        <vertAlign val="subscript"/>
        <sz val="10"/>
        <rFont val="Arial"/>
        <family val="2"/>
      </rPr>
      <t>4</t>
    </r>
  </si>
  <si>
    <t>kton/yr</t>
  </si>
  <si>
    <t>kton/day</t>
  </si>
  <si>
    <t>Molar ratios</t>
  </si>
  <si>
    <t>Samples from YNP Rivers - October 2001-September 2004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</si>
</sst>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"/>
    <numFmt numFmtId="165" formatCode="0.0"/>
    <numFmt numFmtId="166" formatCode="mm/dd/yy;@"/>
    <numFmt numFmtId="167" formatCode="h:mm;@"/>
    <numFmt numFmtId="168" formatCode="mm/dd/yy"/>
    <numFmt numFmtId="169" formatCode="##.00"/>
    <numFmt numFmtId="170" formatCode="00.00"/>
    <numFmt numFmtId="171" formatCode="[$-409]dddd\,\ mmmm\ dd\,\ yyyy"/>
    <numFmt numFmtId="172" formatCode="[$-409]d\-mmm;@"/>
    <numFmt numFmtId="173" formatCode="0.000"/>
    <numFmt numFmtId="174" formatCode="0.000E+00"/>
    <numFmt numFmtId="175" formatCode="[$-409]d\-mmm\-yy;@"/>
    <numFmt numFmtId="176" formatCode="0.000000000000000000"/>
    <numFmt numFmtId="177" formatCode="mmm\-yyyy"/>
    <numFmt numFmtId="178" formatCode="m/d/yy;@"/>
    <numFmt numFmtId="179" formatCode="0.00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name val="Arial Unicode MS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20" fontId="0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6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2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9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9" fontId="0" fillId="0" borderId="0" xfId="0" applyNumberFormat="1" applyBorder="1" applyAlignment="1">
      <alignment/>
    </xf>
    <xf numFmtId="9" fontId="3" fillId="0" borderId="2" xfId="0" applyNumberFormat="1" applyFont="1" applyBorder="1" applyAlignment="1">
      <alignment/>
    </xf>
    <xf numFmtId="2" fontId="0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8" fillId="0" borderId="0" xfId="0" applyFont="1" applyAlignment="1">
      <alignment/>
    </xf>
    <xf numFmtId="168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3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8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9" fontId="0" fillId="0" borderId="0" xfId="0" applyNumberFormat="1" applyAlignment="1">
      <alignment/>
    </xf>
    <xf numFmtId="1" fontId="0" fillId="0" borderId="4" xfId="0" applyNumberFormat="1" applyBorder="1" applyAlignment="1">
      <alignment/>
    </xf>
    <xf numFmtId="9" fontId="0" fillId="0" borderId="5" xfId="0" applyNumberFormat="1" applyBorder="1" applyAlignment="1">
      <alignment/>
    </xf>
    <xf numFmtId="0" fontId="3" fillId="0" borderId="0" xfId="0" applyFont="1" applyFill="1" applyAlignment="1">
      <alignment/>
    </xf>
    <xf numFmtId="166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horizontal="center" wrapText="1"/>
    </xf>
    <xf numFmtId="2" fontId="0" fillId="0" borderId="8" xfId="0" applyNumberFormat="1" applyFill="1" applyBorder="1" applyAlignment="1">
      <alignment horizontal="center" wrapText="1"/>
    </xf>
    <xf numFmtId="2" fontId="0" fillId="0" borderId="9" xfId="0" applyNumberForma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ont="1" applyAlignment="1">
      <alignment horizontal="right"/>
    </xf>
    <xf numFmtId="166" fontId="0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17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1" fontId="3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8" xfId="0" applyNumberFormat="1" applyFill="1" applyBorder="1" applyAlignment="1">
      <alignment horizontal="center" wrapText="1"/>
    </xf>
    <xf numFmtId="1" fontId="0" fillId="0" borderId="8" xfId="0" applyNumberFormat="1" applyFont="1" applyFill="1" applyBorder="1" applyAlignment="1">
      <alignment horizontal="center" wrapText="1"/>
    </xf>
    <xf numFmtId="165" fontId="0" fillId="0" borderId="8" xfId="0" applyNumberFormat="1" applyFill="1" applyBorder="1" applyAlignment="1">
      <alignment horizontal="center" wrapText="1"/>
    </xf>
    <xf numFmtId="165" fontId="0" fillId="0" borderId="8" xfId="0" applyNumberFormat="1" applyFont="1" applyFill="1" applyBorder="1" applyAlignment="1">
      <alignment horizontal="center" wrapText="1"/>
    </xf>
    <xf numFmtId="1" fontId="0" fillId="0" borderId="8" xfId="0" applyNumberFormat="1" applyFont="1" applyFill="1" applyBorder="1" applyAlignment="1">
      <alignment horizont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ill="1" applyAlignment="1">
      <alignment horizontal="center"/>
    </xf>
    <xf numFmtId="166" fontId="3" fillId="0" borderId="0" xfId="0" applyNumberFormat="1" applyFont="1" applyFill="1" applyAlignment="1">
      <alignment horizontal="left"/>
    </xf>
    <xf numFmtId="166" fontId="0" fillId="0" borderId="8" xfId="0" applyNumberFormat="1" applyFill="1" applyBorder="1" applyAlignment="1">
      <alignment horizontal="left" wrapText="1"/>
    </xf>
    <xf numFmtId="166" fontId="0" fillId="0" borderId="0" xfId="0" applyNumberFormat="1" applyAlignment="1">
      <alignment horizontal="left"/>
    </xf>
    <xf numFmtId="166" fontId="0" fillId="0" borderId="0" xfId="0" applyNumberFormat="1" applyFont="1" applyAlignment="1">
      <alignment horizontal="left"/>
    </xf>
    <xf numFmtId="0" fontId="7" fillId="0" borderId="10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2" xfId="0" applyNumberForma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9" fontId="3" fillId="0" borderId="0" xfId="0" applyNumberFormat="1" applyFont="1" applyBorder="1" applyAlignment="1">
      <alignment/>
    </xf>
    <xf numFmtId="9" fontId="3" fillId="0" borderId="4" xfId="0" applyNumberFormat="1" applyFont="1" applyBorder="1" applyAlignment="1">
      <alignment/>
    </xf>
    <xf numFmtId="9" fontId="3" fillId="0" borderId="5" xfId="0" applyNumberFormat="1" applyFont="1" applyBorder="1" applyAlignment="1">
      <alignment/>
    </xf>
    <xf numFmtId="1" fontId="0" fillId="0" borderId="5" xfId="0" applyNumberFormat="1" applyBorder="1" applyAlignment="1">
      <alignment/>
    </xf>
    <xf numFmtId="166" fontId="0" fillId="0" borderId="8" xfId="0" applyNumberFormat="1" applyFill="1" applyBorder="1" applyAlignment="1">
      <alignment horizontal="center" wrapText="1"/>
    </xf>
    <xf numFmtId="9" fontId="0" fillId="0" borderId="4" xfId="0" applyNumberFormat="1" applyBorder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right"/>
    </xf>
    <xf numFmtId="165" fontId="0" fillId="0" borderId="0" xfId="0" applyNumberFormat="1" applyAlignment="1">
      <alignment horizontal="center" wrapText="1"/>
    </xf>
    <xf numFmtId="0" fontId="10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175" fontId="0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1" fontId="7" fillId="0" borderId="11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2" xfId="0" applyNumberFormat="1" applyBorder="1" applyAlignment="1">
      <alignment/>
    </xf>
    <xf numFmtId="0" fontId="0" fillId="0" borderId="11" xfId="0" applyBorder="1" applyAlignment="1">
      <alignment/>
    </xf>
    <xf numFmtId="165" fontId="0" fillId="0" borderId="5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11" fontId="0" fillId="0" borderId="0" xfId="0" applyNumberFormat="1" applyFill="1" applyBorder="1" applyAlignment="1">
      <alignment/>
    </xf>
    <xf numFmtId="1" fontId="3" fillId="0" borderId="0" xfId="0" applyNumberFormat="1" applyFont="1" applyBorder="1" applyAlignment="1">
      <alignment horizontal="left"/>
    </xf>
    <xf numFmtId="9" fontId="0" fillId="0" borderId="0" xfId="0" applyNumberFormat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165" fontId="0" fillId="0" borderId="0" xfId="0" applyNumberFormat="1" applyBorder="1" applyAlignment="1">
      <alignment horizontal="left"/>
    </xf>
    <xf numFmtId="9" fontId="3" fillId="0" borderId="0" xfId="0" applyNumberFormat="1" applyFont="1" applyBorder="1" applyAlignment="1">
      <alignment horizontal="left"/>
    </xf>
    <xf numFmtId="1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7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1" fontId="3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165" fontId="0" fillId="0" borderId="4" xfId="0" applyNumberFormat="1" applyBorder="1" applyAlignment="1">
      <alignment/>
    </xf>
    <xf numFmtId="165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165" fontId="0" fillId="0" borderId="12" xfId="0" applyNumberFormat="1" applyBorder="1" applyAlignment="1">
      <alignment/>
    </xf>
    <xf numFmtId="165" fontId="10" fillId="0" borderId="1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1"/>
  <sheetViews>
    <sheetView workbookViewId="0" topLeftCell="A1">
      <pane xSplit="1" ySplit="3" topLeftCell="B5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12.7109375" style="0" customWidth="1"/>
    <col min="2" max="2" width="11.421875" style="1" customWidth="1"/>
    <col min="3" max="8" width="9.140625" style="1" customWidth="1"/>
    <col min="9" max="10" width="9.140625" style="5" customWidth="1"/>
    <col min="11" max="11" width="9.140625" style="1" customWidth="1"/>
  </cols>
  <sheetData>
    <row r="1" ht="18">
      <c r="A1" s="53" t="s">
        <v>696</v>
      </c>
    </row>
    <row r="2" ht="18">
      <c r="A2" s="53"/>
    </row>
    <row r="3" spans="1:10" ht="12.75">
      <c r="A3" s="61" t="s">
        <v>171</v>
      </c>
      <c r="B3" s="62" t="s">
        <v>1</v>
      </c>
      <c r="C3" s="62" t="s">
        <v>163</v>
      </c>
      <c r="D3" s="62" t="s">
        <v>164</v>
      </c>
      <c r="E3" s="62" t="s">
        <v>161</v>
      </c>
      <c r="F3" s="63" t="s">
        <v>173</v>
      </c>
      <c r="G3" s="63" t="s">
        <v>671</v>
      </c>
      <c r="H3" s="63" t="s">
        <v>174</v>
      </c>
      <c r="I3" s="146" t="s">
        <v>175</v>
      </c>
      <c r="J3" s="146" t="s">
        <v>165</v>
      </c>
    </row>
    <row r="4" spans="1:10" ht="12.75">
      <c r="A4" s="35"/>
      <c r="B4" s="54"/>
      <c r="C4" s="54"/>
      <c r="D4" s="54"/>
      <c r="E4" s="54"/>
      <c r="F4" s="35"/>
      <c r="G4" s="35"/>
      <c r="H4" s="35"/>
      <c r="I4" s="89"/>
      <c r="J4" s="89"/>
    </row>
    <row r="5" ht="12.75">
      <c r="A5" s="60" t="s">
        <v>166</v>
      </c>
    </row>
    <row r="6" ht="12.75">
      <c r="A6" s="60" t="s">
        <v>666</v>
      </c>
    </row>
    <row r="7" spans="1:9" ht="12.75">
      <c r="A7" s="35" t="s">
        <v>155</v>
      </c>
      <c r="B7" s="55">
        <v>37181</v>
      </c>
      <c r="C7" s="9">
        <v>0.6840277777777778</v>
      </c>
      <c r="D7" s="56">
        <v>381</v>
      </c>
      <c r="E7" s="38">
        <v>10.78871985</v>
      </c>
      <c r="F7" s="35">
        <v>66</v>
      </c>
      <c r="G7" s="35">
        <v>7.7</v>
      </c>
      <c r="H7" s="46">
        <v>0.14</v>
      </c>
      <c r="I7" s="89">
        <v>18.4</v>
      </c>
    </row>
    <row r="8" spans="1:9" ht="12.75">
      <c r="A8" s="35" t="s">
        <v>156</v>
      </c>
      <c r="B8" s="55">
        <v>37209</v>
      </c>
      <c r="C8" s="10">
        <v>0.4375</v>
      </c>
      <c r="D8" s="56">
        <v>369</v>
      </c>
      <c r="E8" s="38">
        <v>10.44891765</v>
      </c>
      <c r="F8" s="35">
        <v>67</v>
      </c>
      <c r="G8" s="35">
        <v>7.9</v>
      </c>
      <c r="H8" s="35">
        <v>0.15</v>
      </c>
      <c r="I8" s="89">
        <v>16.8</v>
      </c>
    </row>
    <row r="9" spans="1:10" ht="12.75">
      <c r="A9" s="1" t="s">
        <v>3</v>
      </c>
      <c r="B9" s="8">
        <v>37235</v>
      </c>
      <c r="C9" s="9">
        <v>0.6041666666666666</v>
      </c>
      <c r="D9" s="1">
        <v>369</v>
      </c>
      <c r="E9" s="38">
        <v>10.44891765</v>
      </c>
      <c r="F9" s="1">
        <v>74</v>
      </c>
      <c r="G9" s="1">
        <v>8.1</v>
      </c>
      <c r="H9" s="38">
        <v>0.2</v>
      </c>
      <c r="I9" s="5">
        <v>19.3</v>
      </c>
      <c r="J9" s="5">
        <v>153.485828125</v>
      </c>
    </row>
    <row r="10" spans="1:9" ht="12.75">
      <c r="A10" s="35" t="s">
        <v>157</v>
      </c>
      <c r="B10" s="55">
        <v>37238</v>
      </c>
      <c r="C10" s="9">
        <v>0.5729166666666666</v>
      </c>
      <c r="D10" s="35">
        <v>375</v>
      </c>
      <c r="E10" s="38">
        <v>10.61881875</v>
      </c>
      <c r="F10" s="35">
        <v>67</v>
      </c>
      <c r="G10" s="35">
        <v>7.8</v>
      </c>
      <c r="H10" s="35">
        <v>0.13</v>
      </c>
      <c r="I10" s="89">
        <v>17.9</v>
      </c>
    </row>
    <row r="11" spans="1:10" ht="12.75">
      <c r="A11" s="1" t="s">
        <v>4</v>
      </c>
      <c r="B11" s="8">
        <v>37273</v>
      </c>
      <c r="C11" s="10">
        <v>0.5833333333333334</v>
      </c>
      <c r="D11" s="1">
        <v>358</v>
      </c>
      <c r="E11" s="38">
        <v>10.1374323</v>
      </c>
      <c r="F11" s="1">
        <v>70</v>
      </c>
      <c r="G11" s="1">
        <v>7.9</v>
      </c>
      <c r="H11" s="1">
        <v>0.18</v>
      </c>
      <c r="I11" s="5">
        <v>17</v>
      </c>
      <c r="J11" s="5">
        <v>152.2147239583333</v>
      </c>
    </row>
    <row r="12" spans="1:10" ht="12.75">
      <c r="A12" s="1" t="s">
        <v>5</v>
      </c>
      <c r="B12" s="8">
        <v>37301</v>
      </c>
      <c r="C12" s="10">
        <v>0.5625</v>
      </c>
      <c r="D12" s="1">
        <v>369</v>
      </c>
      <c r="E12" s="38">
        <v>10.44891765</v>
      </c>
      <c r="F12" s="1">
        <v>74</v>
      </c>
      <c r="G12" s="23">
        <v>8</v>
      </c>
      <c r="H12" s="1">
        <v>0.21</v>
      </c>
      <c r="I12" s="5">
        <v>18</v>
      </c>
      <c r="J12" s="5">
        <v>156.66358854166668</v>
      </c>
    </row>
    <row r="13" spans="1:10" ht="12.75">
      <c r="A13" s="1" t="s">
        <v>6</v>
      </c>
      <c r="B13" s="8">
        <v>37322</v>
      </c>
      <c r="C13" s="10">
        <v>0.6354166666666666</v>
      </c>
      <c r="D13" s="1">
        <v>387</v>
      </c>
      <c r="E13" s="38">
        <v>10.95862095</v>
      </c>
      <c r="F13" s="1">
        <v>71</v>
      </c>
      <c r="G13" s="1">
        <v>7.8</v>
      </c>
      <c r="H13" s="38">
        <v>0.2</v>
      </c>
      <c r="I13" s="5">
        <v>18</v>
      </c>
      <c r="J13" s="5">
        <v>149.35473958333333</v>
      </c>
    </row>
    <row r="14" spans="1:10" ht="12.75">
      <c r="A14" s="1" t="s">
        <v>7</v>
      </c>
      <c r="B14" s="8">
        <v>37329</v>
      </c>
      <c r="C14" s="10">
        <v>0.5208333333333334</v>
      </c>
      <c r="D14" s="1">
        <v>381</v>
      </c>
      <c r="E14" s="38">
        <v>10.78871985</v>
      </c>
      <c r="F14" s="1">
        <v>78</v>
      </c>
      <c r="G14" s="1">
        <v>8.2</v>
      </c>
      <c r="H14" s="1">
        <v>0.21</v>
      </c>
      <c r="I14" s="5">
        <v>20</v>
      </c>
      <c r="J14" s="5">
        <v>156.02803645833336</v>
      </c>
    </row>
    <row r="15" spans="1:10" ht="12.75">
      <c r="A15" s="1" t="s">
        <v>8</v>
      </c>
      <c r="B15" s="8">
        <v>37335</v>
      </c>
      <c r="C15" s="10">
        <v>0.5347222222222222</v>
      </c>
      <c r="D15" s="1">
        <v>358</v>
      </c>
      <c r="E15" s="38">
        <v>10.1374323</v>
      </c>
      <c r="F15" s="1">
        <v>72</v>
      </c>
      <c r="G15" s="23">
        <v>8</v>
      </c>
      <c r="H15" s="38">
        <v>0.2</v>
      </c>
      <c r="I15" s="5">
        <v>18</v>
      </c>
      <c r="J15" s="5">
        <v>153.80360416666664</v>
      </c>
    </row>
    <row r="16" spans="1:10" ht="12.75">
      <c r="A16" s="1" t="s">
        <v>9</v>
      </c>
      <c r="B16" s="8">
        <v>37356</v>
      </c>
      <c r="C16" s="10">
        <v>0.3125</v>
      </c>
      <c r="D16" s="1">
        <v>468</v>
      </c>
      <c r="E16" s="38">
        <v>13.252285800000001</v>
      </c>
      <c r="F16" s="1">
        <v>63</v>
      </c>
      <c r="G16" s="23">
        <v>7</v>
      </c>
      <c r="H16" s="1">
        <v>0.16</v>
      </c>
      <c r="I16" s="5">
        <v>19</v>
      </c>
      <c r="J16" s="5">
        <v>133.78371354166669</v>
      </c>
    </row>
    <row r="17" spans="1:10" ht="12.75">
      <c r="A17" s="1" t="s">
        <v>10</v>
      </c>
      <c r="B17" s="8">
        <v>37365</v>
      </c>
      <c r="C17" s="10">
        <v>0.5625</v>
      </c>
      <c r="D17" s="1">
        <v>448</v>
      </c>
      <c r="E17" s="38">
        <v>12.6859488</v>
      </c>
      <c r="F17" s="1">
        <v>64</v>
      </c>
      <c r="G17" s="1">
        <v>7.2</v>
      </c>
      <c r="H17" s="1">
        <v>0.17</v>
      </c>
      <c r="I17" s="5">
        <v>19</v>
      </c>
      <c r="J17" s="5">
        <v>135.37259375</v>
      </c>
    </row>
    <row r="18" spans="1:10" ht="12.75">
      <c r="A18" s="1" t="s">
        <v>11</v>
      </c>
      <c r="B18" s="8">
        <v>37371</v>
      </c>
      <c r="C18" s="10">
        <v>0.5104166666666666</v>
      </c>
      <c r="D18" s="1">
        <v>423</v>
      </c>
      <c r="E18" s="38">
        <v>11.97802755</v>
      </c>
      <c r="F18" s="1">
        <v>64</v>
      </c>
      <c r="G18" s="1">
        <v>7.2</v>
      </c>
      <c r="H18" s="1">
        <v>0.19</v>
      </c>
      <c r="I18" s="5">
        <v>18</v>
      </c>
      <c r="J18" s="5">
        <v>142.04589062500003</v>
      </c>
    </row>
    <row r="19" spans="1:10" ht="12.75">
      <c r="A19" s="1" t="s">
        <v>12</v>
      </c>
      <c r="B19" s="8">
        <v>37378</v>
      </c>
      <c r="C19" s="10">
        <v>0.6041666666666666</v>
      </c>
      <c r="D19" s="1">
        <v>538</v>
      </c>
      <c r="E19" s="38">
        <v>15.2344653</v>
      </c>
      <c r="F19" s="1">
        <v>53</v>
      </c>
      <c r="G19" s="1">
        <v>6.2</v>
      </c>
      <c r="H19" s="1">
        <v>0.13</v>
      </c>
      <c r="I19" s="5">
        <v>16</v>
      </c>
      <c r="J19" s="5">
        <v>115.03492708333333</v>
      </c>
    </row>
    <row r="20" spans="1:10" ht="12.75">
      <c r="A20" s="1" t="s">
        <v>13</v>
      </c>
      <c r="B20" s="8">
        <v>37384</v>
      </c>
      <c r="C20" s="10">
        <v>0.625</v>
      </c>
      <c r="D20" s="1">
        <v>552</v>
      </c>
      <c r="E20" s="38">
        <v>15.6309012</v>
      </c>
      <c r="F20" s="1">
        <v>46</v>
      </c>
      <c r="G20" s="1">
        <v>5.4</v>
      </c>
      <c r="H20" s="1">
        <v>0.11</v>
      </c>
      <c r="I20" s="5">
        <v>15</v>
      </c>
      <c r="J20" s="5">
        <v>108.04385416666669</v>
      </c>
    </row>
    <row r="21" spans="1:10" ht="12.75">
      <c r="A21" s="1" t="s">
        <v>14</v>
      </c>
      <c r="B21" s="8">
        <v>37391</v>
      </c>
      <c r="C21" s="10">
        <v>0.8125</v>
      </c>
      <c r="D21" s="1">
        <v>793</v>
      </c>
      <c r="E21" s="38">
        <v>22.45526205</v>
      </c>
      <c r="F21" s="1">
        <v>30</v>
      </c>
      <c r="G21" s="1">
        <v>3.8</v>
      </c>
      <c r="H21" s="1">
        <v>0.071</v>
      </c>
      <c r="I21" s="5">
        <v>11</v>
      </c>
      <c r="J21" s="5">
        <v>74.35959375</v>
      </c>
    </row>
    <row r="22" spans="1:10" ht="12.75">
      <c r="A22" s="1" t="s">
        <v>15</v>
      </c>
      <c r="B22" s="8">
        <v>37398</v>
      </c>
      <c r="C22" s="9">
        <v>0.4166666666666667</v>
      </c>
      <c r="D22" s="1">
        <v>919</v>
      </c>
      <c r="E22" s="38">
        <v>26.02318515</v>
      </c>
      <c r="F22" s="1">
        <v>30</v>
      </c>
      <c r="G22" s="1">
        <v>3.8</v>
      </c>
      <c r="H22" s="1">
        <v>0.089</v>
      </c>
      <c r="I22" s="5">
        <v>11</v>
      </c>
      <c r="J22" s="5">
        <v>74.99514583333332</v>
      </c>
    </row>
    <row r="23" spans="1:10" ht="12.75">
      <c r="A23" s="1" t="s">
        <v>16</v>
      </c>
      <c r="B23" s="8">
        <v>37406</v>
      </c>
      <c r="C23" s="10">
        <v>0.7465277777777778</v>
      </c>
      <c r="D23" s="1">
        <v>748</v>
      </c>
      <c r="E23" s="38">
        <v>21.1810038</v>
      </c>
      <c r="F23" s="1">
        <v>32</v>
      </c>
      <c r="G23" s="1">
        <v>4.2</v>
      </c>
      <c r="H23" s="1">
        <v>0.089</v>
      </c>
      <c r="I23" s="5">
        <v>10</v>
      </c>
      <c r="J23" s="5">
        <v>83.25732291666667</v>
      </c>
    </row>
    <row r="24" spans="1:10" ht="12.75">
      <c r="A24" s="1" t="s">
        <v>17</v>
      </c>
      <c r="B24" s="8">
        <v>37411</v>
      </c>
      <c r="C24" s="10">
        <v>0.6041666666666666</v>
      </c>
      <c r="D24" s="1">
        <v>757</v>
      </c>
      <c r="E24" s="38">
        <v>21.435855450000002</v>
      </c>
      <c r="F24" s="1">
        <v>34</v>
      </c>
      <c r="G24" s="1">
        <v>4.5</v>
      </c>
      <c r="H24" s="1">
        <v>0.089</v>
      </c>
      <c r="I24" s="5">
        <v>10</v>
      </c>
      <c r="J24" s="5">
        <v>86.11730729166666</v>
      </c>
    </row>
    <row r="25" spans="1:10" ht="12.75">
      <c r="A25" s="1" t="s">
        <v>18</v>
      </c>
      <c r="B25" s="8">
        <v>37419</v>
      </c>
      <c r="C25" s="10">
        <v>0.375</v>
      </c>
      <c r="D25" s="1">
        <v>621</v>
      </c>
      <c r="E25" s="38">
        <v>17.58476385</v>
      </c>
      <c r="F25" s="1">
        <v>45</v>
      </c>
      <c r="G25" s="1">
        <v>5.5</v>
      </c>
      <c r="H25" s="1">
        <v>0.12</v>
      </c>
      <c r="I25" s="5">
        <v>12</v>
      </c>
      <c r="J25" s="5">
        <v>103.27721354166667</v>
      </c>
    </row>
    <row r="26" spans="1:10" ht="12.75">
      <c r="A26" s="1" t="s">
        <v>19</v>
      </c>
      <c r="B26" s="8">
        <v>37420</v>
      </c>
      <c r="C26" s="10">
        <v>0.5729166666666666</v>
      </c>
      <c r="D26" s="1">
        <v>567</v>
      </c>
      <c r="E26" s="38">
        <v>16.05565395</v>
      </c>
      <c r="F26" s="1">
        <v>44</v>
      </c>
      <c r="G26" s="1">
        <v>5.4</v>
      </c>
      <c r="H26" s="1">
        <v>0.11</v>
      </c>
      <c r="I26" s="5">
        <v>12</v>
      </c>
      <c r="J26" s="5">
        <v>104.86609375</v>
      </c>
    </row>
    <row r="27" spans="1:10" ht="12.75">
      <c r="A27" s="1" t="s">
        <v>20</v>
      </c>
      <c r="B27" s="8">
        <v>37433</v>
      </c>
      <c r="C27" s="10">
        <v>0.6145833333333334</v>
      </c>
      <c r="D27" s="1">
        <v>455</v>
      </c>
      <c r="E27" s="38">
        <v>12.88416675</v>
      </c>
      <c r="F27" s="1">
        <v>52</v>
      </c>
      <c r="G27" s="1">
        <v>6.3</v>
      </c>
      <c r="H27" s="1">
        <v>0.15</v>
      </c>
      <c r="I27" s="5">
        <v>13</v>
      </c>
      <c r="J27" s="5">
        <v>125.83931249999999</v>
      </c>
    </row>
    <row r="28" spans="1:10" ht="12.75">
      <c r="A28" s="1" t="s">
        <v>21</v>
      </c>
      <c r="B28" s="8">
        <v>37440</v>
      </c>
      <c r="C28" s="10">
        <v>0.3020833333333333</v>
      </c>
      <c r="D28" s="1">
        <v>405</v>
      </c>
      <c r="E28" s="38">
        <v>11.46832425</v>
      </c>
      <c r="F28" s="1">
        <v>56</v>
      </c>
      <c r="G28" s="1">
        <v>6.9</v>
      </c>
      <c r="H28" s="1">
        <v>0.17</v>
      </c>
      <c r="I28" s="5">
        <v>13</v>
      </c>
      <c r="J28" s="5">
        <v>135.69036979166668</v>
      </c>
    </row>
    <row r="29" spans="1:10" ht="12.75">
      <c r="A29" s="1" t="s">
        <v>22</v>
      </c>
      <c r="B29" s="8">
        <v>37453</v>
      </c>
      <c r="C29" s="10">
        <v>0.5</v>
      </c>
      <c r="D29" s="1">
        <v>387</v>
      </c>
      <c r="E29" s="38">
        <v>10.95862095</v>
      </c>
      <c r="F29" s="1">
        <v>60</v>
      </c>
      <c r="G29" s="1">
        <v>7.3</v>
      </c>
      <c r="H29" s="1">
        <v>0.18</v>
      </c>
      <c r="I29" s="5">
        <v>13</v>
      </c>
      <c r="J29" s="5">
        <v>142.99921874999998</v>
      </c>
    </row>
    <row r="30" spans="1:10" ht="12.75">
      <c r="A30" s="1" t="s">
        <v>23</v>
      </c>
      <c r="B30" s="8">
        <v>37461</v>
      </c>
      <c r="C30" s="10">
        <v>0.2708333333333333</v>
      </c>
      <c r="D30" s="1">
        <v>381</v>
      </c>
      <c r="E30" s="38">
        <v>10.78871985</v>
      </c>
      <c r="F30" s="1">
        <v>60</v>
      </c>
      <c r="G30" s="1">
        <v>7.3</v>
      </c>
      <c r="H30" s="1">
        <v>0.17</v>
      </c>
      <c r="I30" s="5">
        <v>14</v>
      </c>
      <c r="J30" s="5">
        <v>146.49475520833334</v>
      </c>
    </row>
    <row r="31" spans="1:10" ht="12.75">
      <c r="A31" s="1" t="s">
        <v>24</v>
      </c>
      <c r="B31" s="8">
        <v>37468</v>
      </c>
      <c r="C31" s="10">
        <v>0.3090277777777778</v>
      </c>
      <c r="D31" s="1">
        <v>381</v>
      </c>
      <c r="E31" s="38">
        <v>10.78871985</v>
      </c>
      <c r="F31" s="1">
        <v>60</v>
      </c>
      <c r="G31" s="1">
        <v>7.4</v>
      </c>
      <c r="H31" s="1">
        <v>0.18</v>
      </c>
      <c r="I31" s="5">
        <v>15</v>
      </c>
      <c r="J31" s="5">
        <v>146.17697916666668</v>
      </c>
    </row>
    <row r="32" spans="1:10" ht="12.75">
      <c r="A32" s="1" t="s">
        <v>25</v>
      </c>
      <c r="B32" s="8">
        <v>37482</v>
      </c>
      <c r="C32" s="10">
        <v>0.3576388888888889</v>
      </c>
      <c r="D32" s="1">
        <v>369</v>
      </c>
      <c r="E32" s="38">
        <v>10.44891765</v>
      </c>
      <c r="F32" s="1">
        <v>62</v>
      </c>
      <c r="G32" s="1">
        <v>7.7</v>
      </c>
      <c r="H32" s="1">
        <v>0.18</v>
      </c>
      <c r="I32" s="5">
        <v>14</v>
      </c>
      <c r="J32" s="5">
        <v>147.44808333333336</v>
      </c>
    </row>
    <row r="33" spans="1:10" ht="12.75">
      <c r="A33" s="1" t="s">
        <v>26</v>
      </c>
      <c r="B33" s="8">
        <v>37495</v>
      </c>
      <c r="C33" s="10">
        <v>0.8333333333333334</v>
      </c>
      <c r="D33" s="1">
        <v>398</v>
      </c>
      <c r="E33" s="38">
        <v>11.2701063</v>
      </c>
      <c r="F33" s="1">
        <v>63</v>
      </c>
      <c r="G33" s="1">
        <v>7.4</v>
      </c>
      <c r="H33" s="1">
        <v>0.17</v>
      </c>
      <c r="I33" s="5">
        <v>14</v>
      </c>
      <c r="J33" s="5">
        <v>144.905875</v>
      </c>
    </row>
    <row r="34" spans="1:10" ht="12.75">
      <c r="A34" s="1" t="s">
        <v>27</v>
      </c>
      <c r="B34" s="8">
        <v>37496</v>
      </c>
      <c r="C34" s="10">
        <v>0.6145833333333334</v>
      </c>
      <c r="D34" s="1">
        <v>381</v>
      </c>
      <c r="E34" s="38">
        <v>10.78871985</v>
      </c>
      <c r="F34" s="1">
        <v>67</v>
      </c>
      <c r="G34" s="1">
        <v>7.5</v>
      </c>
      <c r="H34" s="1">
        <v>0.19</v>
      </c>
      <c r="I34" s="5">
        <v>18</v>
      </c>
      <c r="J34" s="5">
        <v>147.765859375</v>
      </c>
    </row>
    <row r="35" spans="1:10" ht="12.75">
      <c r="A35" s="1" t="s">
        <v>28</v>
      </c>
      <c r="B35" s="8">
        <v>37530</v>
      </c>
      <c r="C35" s="10">
        <v>0.625</v>
      </c>
      <c r="D35" s="34">
        <v>381</v>
      </c>
      <c r="E35" s="38">
        <v>10.78871985</v>
      </c>
      <c r="F35" s="1">
        <v>66</v>
      </c>
      <c r="G35" s="1">
        <v>7.3</v>
      </c>
      <c r="H35" s="1">
        <v>0.19</v>
      </c>
      <c r="I35" s="5">
        <v>18</v>
      </c>
      <c r="J35" s="5">
        <v>140.77478645833335</v>
      </c>
    </row>
    <row r="36" spans="1:5" ht="12.75">
      <c r="A36" s="60" t="s">
        <v>667</v>
      </c>
      <c r="B36" s="8"/>
      <c r="C36" s="10"/>
      <c r="D36" s="34"/>
      <c r="E36" s="38"/>
    </row>
    <row r="37" spans="1:10" ht="12.75">
      <c r="A37" s="1" t="s">
        <v>191</v>
      </c>
      <c r="B37" s="99">
        <v>37537</v>
      </c>
      <c r="C37" s="10">
        <v>0.6215277777777778</v>
      </c>
      <c r="D37" s="1">
        <v>387</v>
      </c>
      <c r="F37" s="1">
        <v>64</v>
      </c>
      <c r="G37" s="1">
        <v>7.5</v>
      </c>
      <c r="H37" s="1">
        <v>0.19</v>
      </c>
      <c r="I37" s="5">
        <v>17</v>
      </c>
      <c r="J37" s="5">
        <v>147.44808333333336</v>
      </c>
    </row>
    <row r="38" spans="1:10" ht="12.75">
      <c r="A38" s="1" t="s">
        <v>668</v>
      </c>
      <c r="B38" s="99">
        <v>37553</v>
      </c>
      <c r="C38" s="10">
        <v>0.625</v>
      </c>
      <c r="D38" s="1">
        <v>411</v>
      </c>
      <c r="F38" s="1">
        <v>66</v>
      </c>
      <c r="G38" s="1">
        <v>7.5</v>
      </c>
      <c r="H38" s="1">
        <v>0.19</v>
      </c>
      <c r="I38" s="5">
        <v>16</v>
      </c>
      <c r="J38" s="5">
        <v>146.81253125</v>
      </c>
    </row>
    <row r="39" spans="1:10" ht="12.75">
      <c r="A39" s="1" t="s">
        <v>193</v>
      </c>
      <c r="B39" s="99">
        <v>37574</v>
      </c>
      <c r="C39" s="10">
        <v>0.4479166666666667</v>
      </c>
      <c r="D39" s="1">
        <v>392</v>
      </c>
      <c r="F39" s="1">
        <v>69</v>
      </c>
      <c r="G39" s="1">
        <v>7.7</v>
      </c>
      <c r="H39" s="38">
        <v>0.2</v>
      </c>
      <c r="I39" s="5">
        <v>17</v>
      </c>
      <c r="J39" s="5">
        <v>148.08363541666668</v>
      </c>
    </row>
    <row r="40" spans="1:10" ht="12.75">
      <c r="A40" s="1" t="s">
        <v>194</v>
      </c>
      <c r="B40" s="99">
        <v>37607</v>
      </c>
      <c r="C40" s="10">
        <v>0.642361111111111</v>
      </c>
      <c r="D40" s="1">
        <v>392</v>
      </c>
      <c r="F40" s="1">
        <v>70</v>
      </c>
      <c r="G40" s="23">
        <v>8</v>
      </c>
      <c r="H40" s="38">
        <v>0.2</v>
      </c>
      <c r="I40" s="5">
        <v>17</v>
      </c>
      <c r="J40" s="5">
        <v>154.12138020833333</v>
      </c>
    </row>
    <row r="41" spans="1:10" ht="12.75">
      <c r="A41" s="1" t="s">
        <v>195</v>
      </c>
      <c r="B41" s="99">
        <v>37636</v>
      </c>
      <c r="C41" s="10">
        <v>0.5833333333333334</v>
      </c>
      <c r="D41" s="1">
        <v>392</v>
      </c>
      <c r="F41" s="1">
        <v>69</v>
      </c>
      <c r="G41" s="1">
        <v>7.9</v>
      </c>
      <c r="H41" s="1">
        <v>0.19</v>
      </c>
      <c r="I41" s="5">
        <v>18</v>
      </c>
      <c r="J41" s="5">
        <v>147.60697135416666</v>
      </c>
    </row>
    <row r="42" spans="1:10" ht="12.75">
      <c r="A42" s="1" t="s">
        <v>196</v>
      </c>
      <c r="B42" s="99">
        <v>37664</v>
      </c>
      <c r="C42" s="10">
        <v>0.5625</v>
      </c>
      <c r="D42" s="34">
        <v>375</v>
      </c>
      <c r="F42" s="1">
        <v>71</v>
      </c>
      <c r="G42" s="1">
        <v>7.8</v>
      </c>
      <c r="H42" s="1">
        <v>0.19</v>
      </c>
      <c r="I42" s="5">
        <v>18</v>
      </c>
      <c r="J42" s="5">
        <v>152.5325</v>
      </c>
    </row>
    <row r="43" spans="1:10" ht="12.75">
      <c r="A43" s="1" t="s">
        <v>197</v>
      </c>
      <c r="B43" s="99">
        <v>37691</v>
      </c>
      <c r="C43" s="10">
        <v>0.5520833333333334</v>
      </c>
      <c r="D43" s="34">
        <v>387</v>
      </c>
      <c r="F43" s="1">
        <v>73.2</v>
      </c>
      <c r="G43" s="1">
        <v>8.02</v>
      </c>
      <c r="H43" s="1">
        <v>0.19</v>
      </c>
      <c r="I43" s="5">
        <v>18.3</v>
      </c>
      <c r="J43" s="5">
        <v>154.75693229166666</v>
      </c>
    </row>
    <row r="44" spans="1:10" ht="12.75">
      <c r="A44" s="1" t="s">
        <v>198</v>
      </c>
      <c r="B44" s="99">
        <v>37699</v>
      </c>
      <c r="C44" s="1" t="s">
        <v>199</v>
      </c>
      <c r="D44" s="34">
        <v>387</v>
      </c>
      <c r="F44" s="1">
        <v>72.1</v>
      </c>
      <c r="G44" s="1">
        <v>7.91</v>
      </c>
      <c r="H44" s="1">
        <v>0.17</v>
      </c>
      <c r="I44" s="5">
        <v>18.9</v>
      </c>
      <c r="J44" s="5">
        <v>150.62584375</v>
      </c>
    </row>
    <row r="45" spans="1:10" ht="12.75">
      <c r="A45" s="1" t="s">
        <v>200</v>
      </c>
      <c r="B45" s="99">
        <v>37720</v>
      </c>
      <c r="C45" s="1" t="s">
        <v>199</v>
      </c>
      <c r="D45" s="34">
        <v>387</v>
      </c>
      <c r="F45" s="1">
        <v>64.1</v>
      </c>
      <c r="G45" s="1">
        <v>7.26</v>
      </c>
      <c r="H45" s="1">
        <v>0.12</v>
      </c>
      <c r="I45" s="5">
        <v>17.5</v>
      </c>
      <c r="J45" s="5">
        <v>137.27925000000002</v>
      </c>
    </row>
    <row r="46" spans="1:10" ht="12.75">
      <c r="A46" s="1" t="s">
        <v>201</v>
      </c>
      <c r="B46" s="99">
        <v>37727</v>
      </c>
      <c r="C46" s="1" t="s">
        <v>199</v>
      </c>
      <c r="D46" s="34">
        <v>545</v>
      </c>
      <c r="F46" s="1">
        <v>56.2</v>
      </c>
      <c r="G46" s="1">
        <v>6.34</v>
      </c>
      <c r="H46" s="1">
        <v>0.12</v>
      </c>
      <c r="I46" s="5">
        <v>17</v>
      </c>
      <c r="J46" s="5">
        <v>120.75489583333332</v>
      </c>
    </row>
    <row r="47" spans="1:10" ht="12.75">
      <c r="A47" s="1" t="s">
        <v>202</v>
      </c>
      <c r="B47" s="99">
        <v>37734</v>
      </c>
      <c r="C47" s="10">
        <v>0.40972222222222227</v>
      </c>
      <c r="D47" s="34">
        <v>606</v>
      </c>
      <c r="F47" s="1">
        <v>53.1</v>
      </c>
      <c r="G47" s="1">
        <v>5.92</v>
      </c>
      <c r="H47" s="1">
        <v>0.1</v>
      </c>
      <c r="I47" s="5">
        <v>16.1</v>
      </c>
      <c r="J47" s="5">
        <v>111.85716666666666</v>
      </c>
    </row>
    <row r="48" spans="1:10" ht="12.75">
      <c r="A48" s="1" t="s">
        <v>203</v>
      </c>
      <c r="B48" s="99">
        <v>37741</v>
      </c>
      <c r="C48" s="1" t="s">
        <v>199</v>
      </c>
      <c r="D48" s="34">
        <v>560</v>
      </c>
      <c r="F48" s="1">
        <v>58.3</v>
      </c>
      <c r="G48" s="1">
        <v>6.41</v>
      </c>
      <c r="H48" s="1">
        <v>0.14</v>
      </c>
      <c r="I48" s="5">
        <v>17.4</v>
      </c>
      <c r="J48" s="5">
        <v>121.39044791666667</v>
      </c>
    </row>
    <row r="49" spans="1:10" ht="12.75">
      <c r="A49" s="1" t="s">
        <v>204</v>
      </c>
      <c r="B49" s="99">
        <v>37742</v>
      </c>
      <c r="C49" s="1" t="s">
        <v>199</v>
      </c>
      <c r="D49" s="34">
        <v>552</v>
      </c>
      <c r="F49" s="1">
        <v>55.3</v>
      </c>
      <c r="G49" s="1">
        <v>6.14</v>
      </c>
      <c r="H49" s="1">
        <v>0.11</v>
      </c>
      <c r="I49" s="5">
        <v>16.7</v>
      </c>
      <c r="J49" s="5">
        <v>115.67047916666667</v>
      </c>
    </row>
    <row r="50" spans="1:10" ht="12.75">
      <c r="A50" s="1" t="s">
        <v>205</v>
      </c>
      <c r="B50" s="99">
        <v>37748</v>
      </c>
      <c r="C50" s="10">
        <v>0.517361111111111</v>
      </c>
      <c r="D50" s="34">
        <v>552</v>
      </c>
      <c r="F50" s="1">
        <v>55.3</v>
      </c>
      <c r="G50" s="1">
        <v>6.14</v>
      </c>
      <c r="H50" s="1">
        <v>0.11</v>
      </c>
      <c r="I50" s="5">
        <v>17.6</v>
      </c>
      <c r="J50" s="5">
        <v>116.30603124999999</v>
      </c>
    </row>
    <row r="51" spans="1:10" ht="12.75">
      <c r="A51" s="1" t="s">
        <v>206</v>
      </c>
      <c r="B51" s="99">
        <v>37755</v>
      </c>
      <c r="C51" s="10">
        <v>0.5208333333333334</v>
      </c>
      <c r="D51" s="34">
        <v>606</v>
      </c>
      <c r="F51" s="1">
        <v>49.6</v>
      </c>
      <c r="G51" s="1">
        <v>5.67</v>
      </c>
      <c r="H51" s="1">
        <v>0.08</v>
      </c>
      <c r="I51" s="5">
        <v>15.1</v>
      </c>
      <c r="J51" s="5">
        <v>104.23054166666665</v>
      </c>
    </row>
    <row r="52" spans="1:10" ht="12.75">
      <c r="A52" s="1" t="s">
        <v>207</v>
      </c>
      <c r="B52" s="99">
        <v>37763</v>
      </c>
      <c r="C52" s="10">
        <v>0.5729166666666666</v>
      </c>
      <c r="D52" s="34">
        <v>821</v>
      </c>
      <c r="F52" s="1">
        <v>32.1</v>
      </c>
      <c r="G52" s="1">
        <v>3.9</v>
      </c>
      <c r="H52" s="1">
        <v>0.05</v>
      </c>
      <c r="I52" s="5">
        <v>10.2</v>
      </c>
      <c r="J52" s="5">
        <v>72.4529375</v>
      </c>
    </row>
    <row r="53" spans="1:10" ht="12.75">
      <c r="A53" s="1" t="s">
        <v>208</v>
      </c>
      <c r="B53" s="99">
        <v>37768</v>
      </c>
      <c r="C53" s="10">
        <v>0.75</v>
      </c>
      <c r="D53" s="34">
        <v>1110</v>
      </c>
      <c r="F53" s="1">
        <v>21.5</v>
      </c>
      <c r="G53" s="1">
        <v>2.77</v>
      </c>
      <c r="H53" s="1">
        <v>0.05</v>
      </c>
      <c r="I53" s="5">
        <v>7.44</v>
      </c>
      <c r="J53" s="5">
        <v>52.75082291666667</v>
      </c>
    </row>
    <row r="54" spans="1:10" ht="12.75">
      <c r="A54" s="1" t="s">
        <v>209</v>
      </c>
      <c r="B54" s="99">
        <v>37769</v>
      </c>
      <c r="C54" s="10">
        <v>0.46875</v>
      </c>
      <c r="D54" s="34">
        <v>1200</v>
      </c>
      <c r="F54" s="1">
        <v>21.8</v>
      </c>
      <c r="G54" s="1">
        <v>2.88</v>
      </c>
      <c r="H54" s="1">
        <v>0.04</v>
      </c>
      <c r="I54" s="5">
        <v>7.25</v>
      </c>
      <c r="J54" s="5">
        <v>52.75082291666667</v>
      </c>
    </row>
    <row r="55" spans="1:10" ht="12.75">
      <c r="A55" s="1" t="s">
        <v>210</v>
      </c>
      <c r="B55" s="99">
        <v>37776</v>
      </c>
      <c r="C55" s="10">
        <v>0.4895833333333333</v>
      </c>
      <c r="D55" s="34">
        <v>775</v>
      </c>
      <c r="F55" s="1">
        <v>32.5</v>
      </c>
      <c r="G55" s="1">
        <v>3.99</v>
      </c>
      <c r="H55" s="1">
        <v>0.07</v>
      </c>
      <c r="I55" s="5">
        <v>9.22</v>
      </c>
      <c r="J55" s="5">
        <v>77.219578125</v>
      </c>
    </row>
    <row r="56" spans="1:10" ht="12.75">
      <c r="A56" s="1" t="s">
        <v>211</v>
      </c>
      <c r="B56" s="99">
        <v>37783</v>
      </c>
      <c r="C56" s="10">
        <v>0.3090277777777778</v>
      </c>
      <c r="D56" s="34">
        <v>606</v>
      </c>
      <c r="F56" s="1">
        <v>39.4</v>
      </c>
      <c r="G56" s="1">
        <v>4.75</v>
      </c>
      <c r="H56" s="1">
        <v>0.09</v>
      </c>
      <c r="I56" s="5">
        <v>10.3</v>
      </c>
      <c r="J56" s="5">
        <v>94.06170833333334</v>
      </c>
    </row>
    <row r="57" spans="1:10" ht="12.75">
      <c r="A57" s="1" t="s">
        <v>212</v>
      </c>
      <c r="B57" s="99">
        <v>37791</v>
      </c>
      <c r="C57" s="10">
        <v>0.4305555555555556</v>
      </c>
      <c r="D57" s="34">
        <v>516</v>
      </c>
      <c r="F57" s="1">
        <v>47.6</v>
      </c>
      <c r="G57" s="1">
        <v>5.68</v>
      </c>
      <c r="H57" s="1">
        <v>0.12</v>
      </c>
      <c r="I57" s="5">
        <v>12</v>
      </c>
      <c r="J57" s="5">
        <v>113.76382291666667</v>
      </c>
    </row>
    <row r="58" spans="1:10" ht="12.75">
      <c r="A58" s="1" t="s">
        <v>213</v>
      </c>
      <c r="B58" s="99">
        <v>37796</v>
      </c>
      <c r="C58" s="1" t="s">
        <v>199</v>
      </c>
      <c r="D58" s="34">
        <v>488</v>
      </c>
      <c r="F58" s="1">
        <v>50.7</v>
      </c>
      <c r="G58" s="1">
        <v>6.1</v>
      </c>
      <c r="H58" s="1">
        <v>0.12</v>
      </c>
      <c r="I58" s="5">
        <v>12.8</v>
      </c>
      <c r="J58" s="5">
        <v>120.75489583333332</v>
      </c>
    </row>
    <row r="59" spans="1:10" ht="12.75">
      <c r="A59" s="1" t="s">
        <v>214</v>
      </c>
      <c r="B59" s="99">
        <v>37811</v>
      </c>
      <c r="C59" s="1" t="s">
        <v>199</v>
      </c>
      <c r="D59" s="34">
        <v>387</v>
      </c>
      <c r="F59" s="1">
        <v>56.5</v>
      </c>
      <c r="G59" s="1">
        <v>6.89</v>
      </c>
      <c r="H59" s="1">
        <v>0.15</v>
      </c>
      <c r="I59" s="5">
        <v>12.7</v>
      </c>
      <c r="J59" s="5">
        <v>135.05481770833336</v>
      </c>
    </row>
    <row r="60" spans="1:10" ht="12.75">
      <c r="A60" s="1" t="s">
        <v>215</v>
      </c>
      <c r="B60" s="99">
        <v>37818</v>
      </c>
      <c r="C60" s="10">
        <v>0.5208333333333334</v>
      </c>
      <c r="D60" s="34">
        <v>358</v>
      </c>
      <c r="F60" s="1">
        <v>59.5</v>
      </c>
      <c r="G60" s="1">
        <v>7.25</v>
      </c>
      <c r="H60" s="1">
        <v>0.16</v>
      </c>
      <c r="I60" s="5">
        <v>12.8</v>
      </c>
      <c r="J60" s="5">
        <v>141.72811458333334</v>
      </c>
    </row>
    <row r="61" spans="1:10" ht="12.75">
      <c r="A61" s="1" t="s">
        <v>669</v>
      </c>
      <c r="B61" s="99">
        <v>37818</v>
      </c>
      <c r="C61" s="10">
        <v>0.59375</v>
      </c>
      <c r="D61" s="34">
        <v>358</v>
      </c>
      <c r="F61" s="1">
        <v>58.4</v>
      </c>
      <c r="G61" s="1">
        <v>7.16</v>
      </c>
      <c r="H61" s="1">
        <v>0.15</v>
      </c>
      <c r="I61" s="5">
        <v>12.5</v>
      </c>
      <c r="J61" s="5">
        <v>138.55035416666666</v>
      </c>
    </row>
    <row r="62" spans="1:10" ht="12.75">
      <c r="A62" s="1" t="s">
        <v>216</v>
      </c>
      <c r="B62" s="99">
        <v>37826</v>
      </c>
      <c r="C62" s="1" t="s">
        <v>199</v>
      </c>
      <c r="D62" s="34">
        <v>352</v>
      </c>
      <c r="F62" s="1">
        <v>57.9</v>
      </c>
      <c r="G62" s="1">
        <v>7.24</v>
      </c>
      <c r="H62" s="1">
        <v>0.15</v>
      </c>
      <c r="I62" s="5">
        <v>12.3</v>
      </c>
      <c r="J62" s="5">
        <v>145.54142708333336</v>
      </c>
    </row>
    <row r="63" spans="1:10" ht="12.75">
      <c r="A63" s="1" t="s">
        <v>217</v>
      </c>
      <c r="B63" s="99">
        <v>37832</v>
      </c>
      <c r="C63" s="10">
        <v>0.4270833333333333</v>
      </c>
      <c r="D63" s="34">
        <v>352</v>
      </c>
      <c r="F63" s="1">
        <v>58.9</v>
      </c>
      <c r="G63" s="1">
        <v>7.29</v>
      </c>
      <c r="H63" s="1">
        <v>0.15</v>
      </c>
      <c r="I63" s="5">
        <v>13</v>
      </c>
      <c r="J63" s="5">
        <v>142.04589062500003</v>
      </c>
    </row>
    <row r="64" spans="1:10" ht="12.75">
      <c r="A64" s="1" t="s">
        <v>218</v>
      </c>
      <c r="B64" s="99">
        <v>37843</v>
      </c>
      <c r="C64" s="1" t="s">
        <v>199</v>
      </c>
      <c r="D64" s="34">
        <v>352</v>
      </c>
      <c r="F64" s="1">
        <v>65.1</v>
      </c>
      <c r="G64" s="1">
        <v>7.67</v>
      </c>
      <c r="H64" s="1">
        <v>0.17</v>
      </c>
      <c r="I64" s="5">
        <v>14.7</v>
      </c>
      <c r="J64" s="5">
        <v>152.2147239583333</v>
      </c>
    </row>
    <row r="65" spans="1:10" ht="12.75">
      <c r="A65" s="1" t="s">
        <v>219</v>
      </c>
      <c r="B65" s="99">
        <v>37846</v>
      </c>
      <c r="C65" s="10">
        <v>0.5520833333333334</v>
      </c>
      <c r="D65" s="34">
        <v>347</v>
      </c>
      <c r="F65" s="1">
        <v>60</v>
      </c>
      <c r="G65" s="1">
        <v>7.4</v>
      </c>
      <c r="H65" s="1">
        <v>0.15</v>
      </c>
      <c r="I65" s="5">
        <v>13.3</v>
      </c>
      <c r="J65" s="5">
        <v>145.54142708333336</v>
      </c>
    </row>
    <row r="66" spans="1:10" ht="12.75">
      <c r="A66" s="1" t="s">
        <v>220</v>
      </c>
      <c r="B66" s="99">
        <v>37860</v>
      </c>
      <c r="C66" s="10">
        <v>0.5069444444444444</v>
      </c>
      <c r="D66" s="34">
        <v>336</v>
      </c>
      <c r="F66" s="1">
        <v>61.5</v>
      </c>
      <c r="G66" s="1">
        <v>7.52</v>
      </c>
      <c r="H66" s="1">
        <v>0.16</v>
      </c>
      <c r="I66" s="5">
        <v>13.2</v>
      </c>
      <c r="J66" s="5">
        <v>146.17697916666668</v>
      </c>
    </row>
    <row r="67" spans="1:10" ht="12.75">
      <c r="A67" s="1" t="s">
        <v>670</v>
      </c>
      <c r="B67" s="99">
        <v>37860</v>
      </c>
      <c r="C67" s="10">
        <v>0.71875</v>
      </c>
      <c r="D67" s="34">
        <v>341</v>
      </c>
      <c r="F67" s="1">
        <v>34.2</v>
      </c>
      <c r="G67" s="1">
        <v>6.97</v>
      </c>
      <c r="H67" s="1">
        <v>0.08</v>
      </c>
      <c r="I67" s="5">
        <v>8.11</v>
      </c>
      <c r="J67" s="5">
        <v>97.23946875</v>
      </c>
    </row>
    <row r="68" spans="1:10" ht="12.75">
      <c r="A68" s="1" t="s">
        <v>221</v>
      </c>
      <c r="B68" s="99">
        <v>37874</v>
      </c>
      <c r="C68" s="10">
        <v>0.46875</v>
      </c>
      <c r="D68" s="34">
        <v>363</v>
      </c>
      <c r="F68" s="1">
        <v>61</v>
      </c>
      <c r="G68" s="1">
        <v>7.2</v>
      </c>
      <c r="H68" s="1">
        <v>0.15</v>
      </c>
      <c r="I68" s="5">
        <v>14.6</v>
      </c>
      <c r="J68" s="5">
        <v>140.45701041666666</v>
      </c>
    </row>
    <row r="69" spans="1:10" ht="12.75">
      <c r="A69" s="1" t="s">
        <v>222</v>
      </c>
      <c r="B69" s="99">
        <v>37888</v>
      </c>
      <c r="C69" s="1" t="s">
        <v>199</v>
      </c>
      <c r="D69" s="34">
        <v>341</v>
      </c>
      <c r="F69" s="1">
        <v>63.5</v>
      </c>
      <c r="G69" s="1">
        <v>7.59</v>
      </c>
      <c r="H69" s="1">
        <v>0.16</v>
      </c>
      <c r="I69" s="5">
        <v>14.6</v>
      </c>
      <c r="J69" s="5">
        <v>147.44808333333336</v>
      </c>
    </row>
    <row r="70" spans="1:5" ht="12.75">
      <c r="A70" s="60" t="s">
        <v>672</v>
      </c>
      <c r="B70" s="8"/>
      <c r="C70" s="10"/>
      <c r="D70" s="34"/>
      <c r="E70" s="38"/>
    </row>
    <row r="71" spans="1:10" ht="12.75">
      <c r="A71" s="100" t="s">
        <v>562</v>
      </c>
      <c r="B71" s="21">
        <v>37922</v>
      </c>
      <c r="C71" s="10">
        <v>0.5625</v>
      </c>
      <c r="D71" s="1">
        <v>347</v>
      </c>
      <c r="F71" s="38">
        <v>32.7</v>
      </c>
      <c r="G71" s="38">
        <v>6.83</v>
      </c>
      <c r="H71" s="38">
        <v>0.08</v>
      </c>
      <c r="I71" s="38">
        <v>8.08</v>
      </c>
      <c r="J71" s="5">
        <v>156</v>
      </c>
    </row>
    <row r="72" spans="1:10" ht="12.75">
      <c r="A72" s="100" t="s">
        <v>563</v>
      </c>
      <c r="B72" s="21">
        <v>38031</v>
      </c>
      <c r="C72" s="10">
        <v>0.5</v>
      </c>
      <c r="D72" s="1">
        <v>347</v>
      </c>
      <c r="F72" s="38">
        <v>73.9</v>
      </c>
      <c r="G72" s="38">
        <v>8.11</v>
      </c>
      <c r="H72" s="38">
        <v>0.18</v>
      </c>
      <c r="I72" s="38">
        <v>17.7</v>
      </c>
      <c r="J72" s="5">
        <v>156.3458125</v>
      </c>
    </row>
    <row r="73" spans="1:10" ht="12.75">
      <c r="A73" s="100" t="s">
        <v>564</v>
      </c>
      <c r="B73" s="19">
        <v>38041</v>
      </c>
      <c r="C73" s="10">
        <v>0.5833333333333334</v>
      </c>
      <c r="D73" s="1">
        <v>347</v>
      </c>
      <c r="F73" s="141">
        <v>76.2</v>
      </c>
      <c r="G73" s="141">
        <v>8.18</v>
      </c>
      <c r="H73" s="141">
        <v>0.13</v>
      </c>
      <c r="I73" s="141">
        <v>18.3</v>
      </c>
      <c r="J73" s="5">
        <v>156.3458125</v>
      </c>
    </row>
    <row r="74" spans="1:10" ht="12.75">
      <c r="A74" s="148" t="s">
        <v>565</v>
      </c>
      <c r="B74" s="21">
        <v>38055</v>
      </c>
      <c r="C74" s="10">
        <v>0.46875</v>
      </c>
      <c r="D74" s="1">
        <v>375</v>
      </c>
      <c r="F74" s="38">
        <v>71.7</v>
      </c>
      <c r="G74" s="38">
        <v>8.14</v>
      </c>
      <c r="H74" s="38">
        <v>0.18</v>
      </c>
      <c r="I74" s="38">
        <v>17.6</v>
      </c>
      <c r="J74" s="5">
        <v>153.80360416666664</v>
      </c>
    </row>
    <row r="75" spans="1:10" ht="12.75">
      <c r="A75" s="148" t="s">
        <v>566</v>
      </c>
      <c r="B75" s="21">
        <v>38066</v>
      </c>
      <c r="C75" s="10">
        <v>0.3854166666666667</v>
      </c>
      <c r="D75" s="1">
        <v>436</v>
      </c>
      <c r="F75" s="38">
        <v>67.4</v>
      </c>
      <c r="G75" s="38">
        <v>7.77</v>
      </c>
      <c r="H75" s="38">
        <v>0.14</v>
      </c>
      <c r="I75" s="38">
        <v>18.3</v>
      </c>
      <c r="J75" s="5">
        <v>141.41033854166668</v>
      </c>
    </row>
    <row r="76" spans="1:10" ht="12.75">
      <c r="A76" s="148" t="s">
        <v>567</v>
      </c>
      <c r="B76" s="19">
        <v>38084</v>
      </c>
      <c r="C76" s="10">
        <v>0.375</v>
      </c>
      <c r="D76" s="1">
        <v>516</v>
      </c>
      <c r="F76" s="141">
        <v>55.2</v>
      </c>
      <c r="G76" s="141">
        <v>6.4</v>
      </c>
      <c r="H76" s="141">
        <v>0.13</v>
      </c>
      <c r="I76" s="141">
        <v>16.3</v>
      </c>
      <c r="J76" s="5">
        <v>119.80156770833335</v>
      </c>
    </row>
    <row r="77" spans="1:10" ht="12.75">
      <c r="A77" s="148" t="s">
        <v>568</v>
      </c>
      <c r="B77" s="21">
        <v>38087</v>
      </c>
      <c r="C77" s="10">
        <v>0.7708333333333334</v>
      </c>
      <c r="D77" s="1">
        <v>462</v>
      </c>
      <c r="F77" s="38">
        <v>56.5</v>
      </c>
      <c r="G77" s="38">
        <v>6.56</v>
      </c>
      <c r="H77" s="38">
        <v>0.12</v>
      </c>
      <c r="I77" s="38">
        <v>16.3</v>
      </c>
      <c r="J77" s="5">
        <v>127.11041666666667</v>
      </c>
    </row>
    <row r="78" spans="1:10" ht="12.75">
      <c r="A78" s="148" t="s">
        <v>569</v>
      </c>
      <c r="B78" s="21">
        <v>38094</v>
      </c>
      <c r="C78" s="10">
        <v>0.4479166666666667</v>
      </c>
      <c r="D78" s="1">
        <v>462</v>
      </c>
      <c r="F78" s="38">
        <v>57.3</v>
      </c>
      <c r="G78" s="38">
        <v>6.66</v>
      </c>
      <c r="H78" s="38">
        <v>0.12</v>
      </c>
      <c r="I78" s="38">
        <v>15.3</v>
      </c>
      <c r="J78" s="5">
        <v>129.01707291666668</v>
      </c>
    </row>
    <row r="79" spans="1:10" ht="12.75">
      <c r="A79" s="148" t="s">
        <v>570</v>
      </c>
      <c r="B79" s="21">
        <v>38101</v>
      </c>
      <c r="C79" s="10">
        <v>0.5104166666666666</v>
      </c>
      <c r="D79" s="1">
        <v>448</v>
      </c>
      <c r="F79" s="38">
        <v>61.6</v>
      </c>
      <c r="G79" s="38">
        <v>7.01</v>
      </c>
      <c r="H79" s="38">
        <v>0.13</v>
      </c>
      <c r="I79" s="38">
        <v>16.8</v>
      </c>
      <c r="J79" s="5">
        <v>138.55035416666666</v>
      </c>
    </row>
    <row r="80" spans="1:10" ht="12.75">
      <c r="A80" s="148" t="s">
        <v>571</v>
      </c>
      <c r="B80" s="21">
        <v>38108</v>
      </c>
      <c r="C80" s="10">
        <v>0.5208333333333334</v>
      </c>
      <c r="D80" s="1">
        <v>488</v>
      </c>
      <c r="F80" s="38">
        <v>53.9</v>
      </c>
      <c r="G80" s="38">
        <v>6.32</v>
      </c>
      <c r="H80" s="38">
        <v>0.1</v>
      </c>
      <c r="I80" s="38">
        <v>14.6</v>
      </c>
      <c r="J80" s="5">
        <v>119.80156770833335</v>
      </c>
    </row>
    <row r="81" spans="1:10" ht="12.75">
      <c r="A81" s="148" t="s">
        <v>572</v>
      </c>
      <c r="B81" s="21">
        <v>38115</v>
      </c>
      <c r="C81" s="10">
        <v>0.607638888888889</v>
      </c>
      <c r="D81" s="1">
        <v>739</v>
      </c>
      <c r="F81" s="38">
        <v>28.5</v>
      </c>
      <c r="G81" s="38">
        <v>3.59</v>
      </c>
      <c r="H81" s="38">
        <v>0.05</v>
      </c>
      <c r="I81" s="38">
        <v>8.41</v>
      </c>
      <c r="J81" s="5">
        <v>91.83727604166667</v>
      </c>
    </row>
    <row r="82" spans="1:10" ht="12.75">
      <c r="A82" s="100" t="s">
        <v>573</v>
      </c>
      <c r="B82" s="19">
        <v>38130</v>
      </c>
      <c r="C82" s="10">
        <v>0.5354166666666667</v>
      </c>
      <c r="D82" s="1">
        <v>909</v>
      </c>
      <c r="F82" s="141">
        <v>39</v>
      </c>
      <c r="G82" s="141">
        <v>4.44</v>
      </c>
      <c r="H82" s="141">
        <v>0.02</v>
      </c>
      <c r="I82" s="141">
        <v>13.9</v>
      </c>
      <c r="J82" s="5">
        <v>74.99514583333332</v>
      </c>
    </row>
    <row r="83" spans="1:10" ht="12.75">
      <c r="A83" s="100" t="s">
        <v>574</v>
      </c>
      <c r="B83" s="19">
        <v>38133</v>
      </c>
      <c r="C83" s="10">
        <v>0.7916666666666666</v>
      </c>
      <c r="D83" s="1">
        <v>575</v>
      </c>
      <c r="F83" s="141">
        <v>47.4</v>
      </c>
      <c r="G83" s="141">
        <v>5.49</v>
      </c>
      <c r="H83" s="141">
        <v>0.11</v>
      </c>
      <c r="I83" s="141">
        <v>13.1</v>
      </c>
      <c r="J83" s="5">
        <v>103.59498958333333</v>
      </c>
    </row>
    <row r="84" spans="1:10" ht="12.75">
      <c r="A84" s="100" t="s">
        <v>575</v>
      </c>
      <c r="B84" s="19">
        <v>38143</v>
      </c>
      <c r="C84" s="10">
        <v>0.5729166666666666</v>
      </c>
      <c r="D84" s="1">
        <v>598</v>
      </c>
      <c r="F84" s="141">
        <v>42.8</v>
      </c>
      <c r="G84" s="141">
        <v>4.98</v>
      </c>
      <c r="H84" s="141">
        <v>0.09</v>
      </c>
      <c r="I84" s="141">
        <v>10.8</v>
      </c>
      <c r="J84" s="5">
        <v>95.65058854166668</v>
      </c>
    </row>
    <row r="85" spans="1:10" ht="12.75">
      <c r="A85" s="100" t="s">
        <v>576</v>
      </c>
      <c r="B85" s="19">
        <v>38150</v>
      </c>
      <c r="C85" s="10">
        <v>0.625</v>
      </c>
      <c r="D85" s="1">
        <v>687</v>
      </c>
      <c r="F85" s="141">
        <v>45.3</v>
      </c>
      <c r="G85" s="141">
        <v>5.17</v>
      </c>
      <c r="H85" s="141">
        <v>0.1</v>
      </c>
      <c r="I85" s="141">
        <v>13.5</v>
      </c>
      <c r="J85" s="5">
        <v>96.60391666666668</v>
      </c>
    </row>
    <row r="86" spans="1:10" ht="12.75">
      <c r="A86" s="100" t="s">
        <v>577</v>
      </c>
      <c r="B86" s="19">
        <v>38156</v>
      </c>
      <c r="C86" s="10">
        <v>0.5833333333333334</v>
      </c>
      <c r="D86" s="1">
        <v>509</v>
      </c>
      <c r="F86" s="141">
        <v>49.2</v>
      </c>
      <c r="G86" s="141">
        <v>5.89</v>
      </c>
      <c r="H86" s="141">
        <v>0.11</v>
      </c>
      <c r="I86" s="141">
        <v>11.7</v>
      </c>
      <c r="J86" s="5">
        <v>113.12827083333333</v>
      </c>
    </row>
    <row r="87" spans="1:10" ht="12.75">
      <c r="A87" s="100" t="s">
        <v>578</v>
      </c>
      <c r="B87" s="19">
        <v>38164</v>
      </c>
      <c r="C87" s="10">
        <v>0.5868055555555556</v>
      </c>
      <c r="D87" s="1">
        <v>516</v>
      </c>
      <c r="F87" s="141">
        <v>56</v>
      </c>
      <c r="G87" s="141">
        <v>6.25</v>
      </c>
      <c r="H87" s="141">
        <v>0.12</v>
      </c>
      <c r="I87" s="141">
        <v>13.1</v>
      </c>
      <c r="J87" s="5">
        <v>116.94158333333334</v>
      </c>
    </row>
    <row r="88" spans="1:10" ht="12.75">
      <c r="A88" s="100" t="s">
        <v>579</v>
      </c>
      <c r="B88" s="19">
        <v>38171</v>
      </c>
      <c r="C88" s="10">
        <v>0.6666666666666666</v>
      </c>
      <c r="D88" s="1">
        <v>429</v>
      </c>
      <c r="F88" s="141">
        <v>56.3</v>
      </c>
      <c r="G88" s="141">
        <v>6.61</v>
      </c>
      <c r="H88" s="141">
        <v>0.12</v>
      </c>
      <c r="I88" s="141">
        <v>12.9</v>
      </c>
      <c r="J88" s="5">
        <v>141.72811458333334</v>
      </c>
    </row>
    <row r="89" spans="1:10" ht="12.75">
      <c r="A89" s="100" t="s">
        <v>580</v>
      </c>
      <c r="B89" s="19">
        <v>38175</v>
      </c>
      <c r="C89" s="10">
        <v>0.6875</v>
      </c>
      <c r="D89" s="1">
        <v>411</v>
      </c>
      <c r="F89" s="141">
        <v>59.6</v>
      </c>
      <c r="G89" s="141">
        <v>6.94</v>
      </c>
      <c r="H89" s="141">
        <v>0.14</v>
      </c>
      <c r="I89" s="141">
        <v>13.8</v>
      </c>
      <c r="J89" s="5">
        <v>135.05481770833336</v>
      </c>
    </row>
    <row r="90" spans="1:10" ht="12.75">
      <c r="A90" s="100" t="s">
        <v>581</v>
      </c>
      <c r="B90" s="19">
        <v>38178</v>
      </c>
      <c r="C90" s="10">
        <v>0.6041666666666666</v>
      </c>
      <c r="D90" s="1">
        <v>398</v>
      </c>
      <c r="F90" s="38">
        <v>59.2</v>
      </c>
      <c r="G90" s="38">
        <v>6.95</v>
      </c>
      <c r="H90" s="38">
        <v>0.14</v>
      </c>
      <c r="I90" s="38">
        <v>13.2</v>
      </c>
      <c r="J90" s="5">
        <v>135.69036979166668</v>
      </c>
    </row>
    <row r="91" spans="1:10" ht="12.75">
      <c r="A91" s="100" t="s">
        <v>582</v>
      </c>
      <c r="B91" s="19">
        <v>38185</v>
      </c>
      <c r="C91" s="10">
        <v>0.4236111111111111</v>
      </c>
      <c r="D91" s="1">
        <v>381</v>
      </c>
      <c r="F91" s="38">
        <v>60.2</v>
      </c>
      <c r="G91" s="38">
        <v>7.1</v>
      </c>
      <c r="H91" s="38">
        <v>0.14</v>
      </c>
      <c r="I91" s="38">
        <v>13</v>
      </c>
      <c r="J91" s="5">
        <v>139.18590625</v>
      </c>
    </row>
    <row r="92" spans="1:10" ht="12.75">
      <c r="A92" s="100" t="s">
        <v>583</v>
      </c>
      <c r="B92" s="19">
        <v>38192</v>
      </c>
      <c r="C92" s="10">
        <v>0.5208333333333334</v>
      </c>
      <c r="D92" s="1">
        <v>398</v>
      </c>
      <c r="F92" s="38">
        <v>59.9</v>
      </c>
      <c r="G92" s="38">
        <v>7</v>
      </c>
      <c r="H92" s="38">
        <v>0.13</v>
      </c>
      <c r="I92" s="38">
        <v>13.7</v>
      </c>
      <c r="J92" s="5">
        <v>139.18590625</v>
      </c>
    </row>
    <row r="93" spans="1:10" ht="12.75">
      <c r="A93" s="100" t="s">
        <v>584</v>
      </c>
      <c r="B93" s="19">
        <v>38214</v>
      </c>
      <c r="C93" s="1" t="s">
        <v>199</v>
      </c>
      <c r="D93" s="1">
        <v>369</v>
      </c>
      <c r="F93" s="38">
        <v>64</v>
      </c>
      <c r="G93" s="38">
        <v>7.55</v>
      </c>
      <c r="H93" s="38">
        <v>0.15</v>
      </c>
      <c r="I93" s="38">
        <v>13.2</v>
      </c>
      <c r="J93" s="5">
        <v>144.905875</v>
      </c>
    </row>
    <row r="94" spans="1:10" ht="12.75">
      <c r="A94" s="100" t="s">
        <v>585</v>
      </c>
      <c r="B94" s="19">
        <v>38220</v>
      </c>
      <c r="C94" s="10">
        <v>0.5208333333333334</v>
      </c>
      <c r="D94" s="1">
        <v>381</v>
      </c>
      <c r="F94" s="38">
        <v>63.3</v>
      </c>
      <c r="G94" s="38">
        <v>7.4</v>
      </c>
      <c r="H94" s="38">
        <v>0.15</v>
      </c>
      <c r="I94" s="38">
        <v>13.8</v>
      </c>
      <c r="J94" s="5">
        <v>142.36366666666666</v>
      </c>
    </row>
    <row r="95" spans="1:10" ht="12.75">
      <c r="A95" s="100" t="s">
        <v>586</v>
      </c>
      <c r="B95" s="19">
        <v>38223</v>
      </c>
      <c r="C95" s="10">
        <v>0.53125</v>
      </c>
      <c r="D95" s="1">
        <v>423</v>
      </c>
      <c r="F95" s="38">
        <v>63.2</v>
      </c>
      <c r="G95" s="38">
        <v>6.58</v>
      </c>
      <c r="H95" s="38">
        <v>0.14</v>
      </c>
      <c r="I95" s="38">
        <v>17.7</v>
      </c>
      <c r="J95" s="5">
        <v>122.34377604166667</v>
      </c>
    </row>
    <row r="96" spans="1:10" ht="12.75">
      <c r="A96" s="100" t="s">
        <v>587</v>
      </c>
      <c r="B96" s="19">
        <v>38227</v>
      </c>
      <c r="C96" s="10">
        <v>0.5416666666666666</v>
      </c>
      <c r="D96" s="1">
        <v>411</v>
      </c>
      <c r="F96" s="38">
        <v>61.4</v>
      </c>
      <c r="G96" s="38">
        <v>6.97</v>
      </c>
      <c r="H96" s="38">
        <v>0.13</v>
      </c>
      <c r="I96" s="38">
        <v>16.5</v>
      </c>
      <c r="J96" s="5">
        <v>133.4659375</v>
      </c>
    </row>
    <row r="97" spans="1:10" ht="12.75">
      <c r="A97" s="100" t="s">
        <v>588</v>
      </c>
      <c r="B97" s="19">
        <v>38241</v>
      </c>
      <c r="C97" s="10">
        <v>0.6041666666666666</v>
      </c>
      <c r="D97" s="1">
        <v>375</v>
      </c>
      <c r="F97" s="38">
        <v>64.1</v>
      </c>
      <c r="G97" s="38">
        <v>7.5</v>
      </c>
      <c r="H97" s="38">
        <v>0.15</v>
      </c>
      <c r="I97" s="38">
        <v>14.1</v>
      </c>
      <c r="J97" s="5">
        <v>143.63477083333333</v>
      </c>
    </row>
    <row r="98" ht="12.75"/>
    <row r="99" ht="12.75">
      <c r="A99" s="60" t="s">
        <v>167</v>
      </c>
    </row>
    <row r="100" spans="1:3" ht="12.75">
      <c r="A100" s="60" t="s">
        <v>666</v>
      </c>
      <c r="C100" s="35"/>
    </row>
    <row r="101" spans="1:10" ht="12.75">
      <c r="A101" s="29" t="s">
        <v>54</v>
      </c>
      <c r="B101" s="30">
        <v>37238</v>
      </c>
      <c r="C101" s="22">
        <v>0.513888888888889</v>
      </c>
      <c r="D101" s="29">
        <v>669</v>
      </c>
      <c r="E101" s="45">
        <v>18.94397265</v>
      </c>
      <c r="F101" s="57">
        <v>16</v>
      </c>
      <c r="G101" s="29">
        <v>1.2</v>
      </c>
      <c r="H101" s="29">
        <v>0.037</v>
      </c>
      <c r="I101" s="57">
        <v>44</v>
      </c>
      <c r="J101" s="57">
        <v>81.50955468750001</v>
      </c>
    </row>
    <row r="102" spans="1:10" ht="12.75">
      <c r="A102" s="29" t="s">
        <v>55</v>
      </c>
      <c r="B102" s="30">
        <v>37271</v>
      </c>
      <c r="C102" s="22">
        <v>0.4298611111111111</v>
      </c>
      <c r="D102" s="29">
        <v>681</v>
      </c>
      <c r="E102" s="45">
        <v>19.28377485</v>
      </c>
      <c r="F102" s="57">
        <v>19</v>
      </c>
      <c r="G102" s="29">
        <v>1.1</v>
      </c>
      <c r="H102" s="29">
        <v>0.047</v>
      </c>
      <c r="I102" s="57">
        <v>49</v>
      </c>
      <c r="J102" s="57">
        <v>102.4827734375</v>
      </c>
    </row>
    <row r="103" spans="1:10" ht="12.75">
      <c r="A103" s="29" t="s">
        <v>56</v>
      </c>
      <c r="B103" s="30">
        <v>37300</v>
      </c>
      <c r="C103" s="22">
        <v>0.44166666666666665</v>
      </c>
      <c r="D103" s="29">
        <v>675</v>
      </c>
      <c r="E103" s="45">
        <v>19.11387375</v>
      </c>
      <c r="F103" s="57">
        <v>19</v>
      </c>
      <c r="G103" s="29">
        <v>1.2</v>
      </c>
      <c r="H103" s="29">
        <v>0.047</v>
      </c>
      <c r="I103" s="57">
        <v>51</v>
      </c>
      <c r="J103" s="57">
        <v>96.44502864583333</v>
      </c>
    </row>
    <row r="104" spans="1:10" ht="12.75">
      <c r="A104" s="29" t="s">
        <v>57</v>
      </c>
      <c r="B104" s="30">
        <v>37321</v>
      </c>
      <c r="C104" s="22">
        <v>0.7013888888888888</v>
      </c>
      <c r="D104" s="29">
        <v>730</v>
      </c>
      <c r="E104" s="45">
        <v>20.6713005</v>
      </c>
      <c r="F104" s="57">
        <v>18</v>
      </c>
      <c r="G104" s="29">
        <v>1.2</v>
      </c>
      <c r="H104" s="29">
        <v>0.043</v>
      </c>
      <c r="I104" s="57">
        <v>49</v>
      </c>
      <c r="J104" s="57">
        <v>98.66946093749998</v>
      </c>
    </row>
    <row r="105" spans="1:10" ht="12.75">
      <c r="A105" s="29" t="s">
        <v>58</v>
      </c>
      <c r="B105" s="30">
        <v>37335</v>
      </c>
      <c r="C105" s="22">
        <v>0.7652777777777778</v>
      </c>
      <c r="D105" s="29">
        <v>774</v>
      </c>
      <c r="E105" s="45">
        <v>21.9172419</v>
      </c>
      <c r="F105" s="57">
        <v>17</v>
      </c>
      <c r="G105" s="39">
        <v>1</v>
      </c>
      <c r="H105" s="58">
        <v>0.04</v>
      </c>
      <c r="I105" s="57">
        <v>45</v>
      </c>
      <c r="J105" s="57">
        <v>90.24839583333333</v>
      </c>
    </row>
    <row r="106" spans="1:10" ht="12.75">
      <c r="A106" s="29" t="s">
        <v>59</v>
      </c>
      <c r="B106" s="30">
        <v>37364</v>
      </c>
      <c r="C106" s="22">
        <v>0.5638888888888889</v>
      </c>
      <c r="D106" s="29">
        <v>1520</v>
      </c>
      <c r="E106" s="45">
        <v>43.041612</v>
      </c>
      <c r="F106" s="57">
        <v>10</v>
      </c>
      <c r="G106" s="29">
        <v>0.79</v>
      </c>
      <c r="H106" s="29">
        <v>0.023</v>
      </c>
      <c r="I106" s="57">
        <v>32</v>
      </c>
      <c r="J106" s="57">
        <v>80.5562265625</v>
      </c>
    </row>
    <row r="107" spans="1:10" ht="12.75">
      <c r="A107" s="29" t="s">
        <v>60</v>
      </c>
      <c r="B107" s="30">
        <v>37370</v>
      </c>
      <c r="C107" s="22">
        <v>0.6951388888888889</v>
      </c>
      <c r="D107" s="29">
        <v>1190</v>
      </c>
      <c r="E107" s="45">
        <v>33.6970515</v>
      </c>
      <c r="F107" s="57">
        <v>12</v>
      </c>
      <c r="G107" s="29">
        <v>0.82</v>
      </c>
      <c r="H107" s="29">
        <v>0.022</v>
      </c>
      <c r="I107" s="57">
        <v>36</v>
      </c>
      <c r="J107" s="57">
        <v>83.25732291666667</v>
      </c>
    </row>
    <row r="108" spans="1:10" ht="12.75">
      <c r="A108" s="29" t="s">
        <v>61</v>
      </c>
      <c r="B108" s="30">
        <v>37377</v>
      </c>
      <c r="C108" s="22">
        <v>0.6145833333333334</v>
      </c>
      <c r="D108" s="29">
        <v>2280</v>
      </c>
      <c r="E108" s="45">
        <v>64.56241800000001</v>
      </c>
      <c r="F108" s="39">
        <v>6.3</v>
      </c>
      <c r="G108" s="29">
        <v>0.45</v>
      </c>
      <c r="H108" s="29" t="s">
        <v>168</v>
      </c>
      <c r="I108" s="57">
        <v>21</v>
      </c>
      <c r="J108" s="57">
        <v>62.442992187499996</v>
      </c>
    </row>
    <row r="109" spans="1:10" ht="12.75">
      <c r="A109" s="29" t="s">
        <v>62</v>
      </c>
      <c r="B109" s="30">
        <v>37384</v>
      </c>
      <c r="C109" s="22">
        <v>0.7458333333333332</v>
      </c>
      <c r="D109" s="29">
        <v>2320</v>
      </c>
      <c r="E109" s="45">
        <v>65.695092</v>
      </c>
      <c r="F109" s="39">
        <v>6.6</v>
      </c>
      <c r="G109" s="29">
        <v>0.47</v>
      </c>
      <c r="H109" s="29" t="s">
        <v>168</v>
      </c>
      <c r="I109" s="57">
        <v>21</v>
      </c>
      <c r="J109" s="57">
        <v>65.30297656249999</v>
      </c>
    </row>
    <row r="110" spans="1:10" ht="12.75">
      <c r="A110" s="29" t="s">
        <v>63</v>
      </c>
      <c r="B110" s="30">
        <v>37390</v>
      </c>
      <c r="C110" s="22">
        <v>0.83125</v>
      </c>
      <c r="D110" s="29">
        <v>5110</v>
      </c>
      <c r="E110" s="45">
        <v>144.6991035</v>
      </c>
      <c r="F110" s="39">
        <v>3</v>
      </c>
      <c r="G110" s="29">
        <v>0.27</v>
      </c>
      <c r="H110" s="29" t="s">
        <v>168</v>
      </c>
      <c r="I110" s="57">
        <v>11</v>
      </c>
      <c r="J110" s="57">
        <v>46.236414062499996</v>
      </c>
    </row>
    <row r="111" spans="1:10" ht="12.75">
      <c r="A111" s="29" t="s">
        <v>64</v>
      </c>
      <c r="B111" s="30">
        <v>37399</v>
      </c>
      <c r="C111" s="22">
        <v>0.3298611111111111</v>
      </c>
      <c r="D111" s="29">
        <v>7560</v>
      </c>
      <c r="E111" s="45">
        <v>214.075386</v>
      </c>
      <c r="F111" s="39">
        <v>2.4</v>
      </c>
      <c r="G111" s="29">
        <v>0.22</v>
      </c>
      <c r="H111" s="29" t="s">
        <v>168</v>
      </c>
      <c r="I111" s="57">
        <v>8.6</v>
      </c>
      <c r="J111" s="57">
        <v>42.74087760416667</v>
      </c>
    </row>
    <row r="112" spans="1:10" ht="12.75">
      <c r="A112" s="29" t="s">
        <v>65</v>
      </c>
      <c r="B112" s="30">
        <v>37406</v>
      </c>
      <c r="C112" s="22">
        <v>0.4618055555555556</v>
      </c>
      <c r="D112" s="29">
        <v>13600</v>
      </c>
      <c r="E112" s="45">
        <v>385.10916000000003</v>
      </c>
      <c r="F112" s="39">
        <v>2.2</v>
      </c>
      <c r="G112" s="29">
        <v>0.19</v>
      </c>
      <c r="H112" s="29" t="s">
        <v>168</v>
      </c>
      <c r="I112" s="57">
        <v>6.4</v>
      </c>
      <c r="J112" s="57">
        <v>38.133125</v>
      </c>
    </row>
    <row r="113" spans="1:10" ht="12.75">
      <c r="A113" s="29" t="s">
        <v>66</v>
      </c>
      <c r="B113" s="30">
        <v>37412</v>
      </c>
      <c r="C113" s="22">
        <v>0.3645833333333333</v>
      </c>
      <c r="D113" s="29">
        <v>12200</v>
      </c>
      <c r="E113" s="45">
        <v>345.46557</v>
      </c>
      <c r="F113" s="39">
        <v>2.2</v>
      </c>
      <c r="G113" s="29">
        <v>0.21</v>
      </c>
      <c r="H113" s="29" t="s">
        <v>168</v>
      </c>
      <c r="I113" s="57">
        <v>6.7</v>
      </c>
      <c r="J113" s="57">
        <v>67.686296875</v>
      </c>
    </row>
    <row r="114" spans="1:10" ht="12.75">
      <c r="A114" s="29" t="s">
        <v>67</v>
      </c>
      <c r="B114" s="30">
        <v>37419</v>
      </c>
      <c r="C114" s="22">
        <v>0.3506944444444444</v>
      </c>
      <c r="D114" s="29">
        <v>9020</v>
      </c>
      <c r="E114" s="45">
        <v>255.417987</v>
      </c>
      <c r="F114" s="39">
        <v>3.8</v>
      </c>
      <c r="G114" s="29">
        <v>0.36</v>
      </c>
      <c r="H114" s="29" t="s">
        <v>168</v>
      </c>
      <c r="I114" s="57">
        <v>9.9</v>
      </c>
      <c r="J114" s="57">
        <v>45.75975</v>
      </c>
    </row>
    <row r="115" spans="1:10" ht="12.75">
      <c r="A115" s="29" t="s">
        <v>68</v>
      </c>
      <c r="B115" s="30">
        <v>37426</v>
      </c>
      <c r="C115" s="22">
        <v>0.7083333333333334</v>
      </c>
      <c r="D115" s="29">
        <v>11800</v>
      </c>
      <c r="E115" s="45">
        <v>334.13883</v>
      </c>
      <c r="F115" s="39">
        <v>2.8</v>
      </c>
      <c r="G115" s="29">
        <v>0.33</v>
      </c>
      <c r="H115" s="29" t="s">
        <v>168</v>
      </c>
      <c r="I115" s="57">
        <v>7.9</v>
      </c>
      <c r="J115" s="57">
        <v>37.81534895833334</v>
      </c>
    </row>
    <row r="116" spans="1:10" ht="12.75">
      <c r="A116" s="29" t="s">
        <v>69</v>
      </c>
      <c r="B116" s="30">
        <v>37433</v>
      </c>
      <c r="C116" s="22">
        <v>0.5590277777777778</v>
      </c>
      <c r="D116" s="29">
        <v>9840</v>
      </c>
      <c r="E116" s="45">
        <v>278.637804</v>
      </c>
      <c r="F116" s="39">
        <v>6.1</v>
      </c>
      <c r="G116" s="29">
        <v>0.42</v>
      </c>
      <c r="H116" s="29">
        <v>0.044</v>
      </c>
      <c r="I116" s="57">
        <v>10</v>
      </c>
      <c r="J116" s="57">
        <v>61.966328125</v>
      </c>
    </row>
    <row r="117" spans="1:10" ht="12.75">
      <c r="A117" s="29" t="s">
        <v>70</v>
      </c>
      <c r="B117" s="30">
        <v>37440</v>
      </c>
      <c r="C117" s="22">
        <v>0.38680555555555557</v>
      </c>
      <c r="D117" s="29">
        <v>7300</v>
      </c>
      <c r="E117" s="45">
        <v>206.713005</v>
      </c>
      <c r="F117" s="39">
        <v>4.1</v>
      </c>
      <c r="G117" s="29">
        <v>0.43</v>
      </c>
      <c r="H117" s="29" t="s">
        <v>168</v>
      </c>
      <c r="I117" s="57">
        <v>11</v>
      </c>
      <c r="J117" s="57">
        <v>49.414174479166675</v>
      </c>
    </row>
    <row r="118" spans="1:10" ht="12.75">
      <c r="A118" s="29" t="s">
        <v>71</v>
      </c>
      <c r="B118" s="30">
        <v>37448</v>
      </c>
      <c r="C118" s="22">
        <v>0.5</v>
      </c>
      <c r="D118" s="29">
        <v>5230</v>
      </c>
      <c r="E118" s="45">
        <v>148.0971255</v>
      </c>
      <c r="F118" s="39">
        <v>5.6</v>
      </c>
      <c r="G118" s="29">
        <v>0.54</v>
      </c>
      <c r="H118" s="29" t="s">
        <v>168</v>
      </c>
      <c r="I118" s="57">
        <v>13</v>
      </c>
      <c r="J118" s="57">
        <v>25.898747395833333</v>
      </c>
    </row>
    <row r="119" spans="1:10" ht="12.75">
      <c r="A119" s="29" t="s">
        <v>72</v>
      </c>
      <c r="B119" s="30">
        <v>37454</v>
      </c>
      <c r="C119" s="22">
        <v>0.37916666666666665</v>
      </c>
      <c r="D119" s="29">
        <v>4570</v>
      </c>
      <c r="E119" s="45">
        <v>129.4080045</v>
      </c>
      <c r="F119" s="39">
        <v>5.6</v>
      </c>
      <c r="G119" s="29">
        <v>0.59</v>
      </c>
      <c r="H119" s="29" t="s">
        <v>168</v>
      </c>
      <c r="I119" s="57">
        <v>15</v>
      </c>
      <c r="J119" s="57">
        <v>55.13414322916667</v>
      </c>
    </row>
    <row r="120" spans="1:10" ht="12.75">
      <c r="A120" s="29" t="s">
        <v>73</v>
      </c>
      <c r="B120" s="30">
        <v>37462</v>
      </c>
      <c r="C120" s="22">
        <v>0.638888888888889</v>
      </c>
      <c r="D120" s="29">
        <v>3570</v>
      </c>
      <c r="E120" s="45">
        <v>101.0911545</v>
      </c>
      <c r="F120" s="39">
        <v>6.2</v>
      </c>
      <c r="G120" s="29">
        <v>0.62</v>
      </c>
      <c r="H120" s="29" t="s">
        <v>168</v>
      </c>
      <c r="I120" s="57">
        <v>15</v>
      </c>
      <c r="J120" s="57">
        <v>58.47079166666667</v>
      </c>
    </row>
    <row r="121" spans="1:10" ht="12.75">
      <c r="A121" s="29" t="s">
        <v>74</v>
      </c>
      <c r="B121" s="30">
        <v>37482</v>
      </c>
      <c r="C121" s="22">
        <v>0.5</v>
      </c>
      <c r="D121" s="29">
        <v>2340</v>
      </c>
      <c r="E121" s="45">
        <v>66.261429</v>
      </c>
      <c r="F121" s="39">
        <v>8.2</v>
      </c>
      <c r="G121" s="29">
        <v>0.74</v>
      </c>
      <c r="H121" s="29" t="s">
        <v>168</v>
      </c>
      <c r="I121" s="57">
        <v>20</v>
      </c>
      <c r="J121" s="57">
        <v>66.41519270833334</v>
      </c>
    </row>
    <row r="122" spans="1:10" ht="12.75">
      <c r="A122" s="29" t="s">
        <v>75</v>
      </c>
      <c r="B122" s="30">
        <v>37496</v>
      </c>
      <c r="C122" s="22">
        <v>0.6013888888888889</v>
      </c>
      <c r="D122" s="29">
        <v>1840</v>
      </c>
      <c r="E122" s="45">
        <v>52.103004</v>
      </c>
      <c r="F122" s="39">
        <v>9.3</v>
      </c>
      <c r="G122" s="29">
        <v>0.79</v>
      </c>
      <c r="H122" s="29" t="s">
        <v>168</v>
      </c>
      <c r="I122" s="57">
        <v>24</v>
      </c>
      <c r="J122" s="57">
        <v>72.13516145833333</v>
      </c>
    </row>
    <row r="123" spans="1:10" ht="12.75">
      <c r="A123" s="29" t="s">
        <v>76</v>
      </c>
      <c r="B123" s="30">
        <v>37509</v>
      </c>
      <c r="C123" s="22">
        <v>0.4888888888888889</v>
      </c>
      <c r="D123" s="29">
        <v>1720</v>
      </c>
      <c r="E123" s="45">
        <v>48.704982</v>
      </c>
      <c r="F123" s="57">
        <v>10</v>
      </c>
      <c r="G123" s="29">
        <v>0.81</v>
      </c>
      <c r="H123" s="29" t="s">
        <v>168</v>
      </c>
      <c r="I123" s="57">
        <v>26</v>
      </c>
      <c r="J123" s="57">
        <v>73.08848958333334</v>
      </c>
    </row>
    <row r="124" ht="12.75">
      <c r="A124" s="60" t="s">
        <v>667</v>
      </c>
    </row>
    <row r="125" spans="1:10" ht="12.75">
      <c r="A125" s="1" t="s">
        <v>225</v>
      </c>
      <c r="B125" s="99">
        <v>37546</v>
      </c>
      <c r="C125" s="10">
        <v>0.5520833333333334</v>
      </c>
      <c r="D125" s="34">
        <v>1140</v>
      </c>
      <c r="E125" s="29"/>
      <c r="F125" s="1">
        <v>12.4</v>
      </c>
      <c r="G125" s="1">
        <v>0.92</v>
      </c>
      <c r="H125" s="1">
        <v>0.01</v>
      </c>
      <c r="I125" s="1">
        <v>32.7</v>
      </c>
      <c r="J125" s="57">
        <v>80.07956250000001</v>
      </c>
    </row>
    <row r="126" spans="1:10" ht="12.75">
      <c r="A126" s="1" t="s">
        <v>226</v>
      </c>
      <c r="B126" s="99">
        <v>37579</v>
      </c>
      <c r="C126" s="10">
        <v>0.625</v>
      </c>
      <c r="D126" s="34">
        <v>932</v>
      </c>
      <c r="E126" s="29"/>
      <c r="F126" s="1">
        <v>15.1</v>
      </c>
      <c r="G126" s="1">
        <v>1.05</v>
      </c>
      <c r="H126" s="1">
        <v>0.02</v>
      </c>
      <c r="I126" s="1">
        <v>38.9</v>
      </c>
      <c r="J126" s="57">
        <v>86.43508333333334</v>
      </c>
    </row>
    <row r="127" spans="1:10" ht="12.75">
      <c r="A127" s="1" t="s">
        <v>227</v>
      </c>
      <c r="B127" s="99">
        <v>37634</v>
      </c>
      <c r="C127" s="10">
        <v>0.6666666666666666</v>
      </c>
      <c r="D127" s="34">
        <v>748</v>
      </c>
      <c r="E127" s="29"/>
      <c r="F127" s="1">
        <v>17</v>
      </c>
      <c r="G127" s="1">
        <v>1.14</v>
      </c>
      <c r="H127" s="1">
        <v>0.02</v>
      </c>
      <c r="I127" s="1">
        <v>45.3</v>
      </c>
      <c r="J127" s="57">
        <v>88.65951562500001</v>
      </c>
    </row>
    <row r="128" spans="1:10" ht="12.75">
      <c r="A128" s="1" t="s">
        <v>228</v>
      </c>
      <c r="B128" s="99">
        <v>37670</v>
      </c>
      <c r="C128" s="10">
        <v>0.4444444444444444</v>
      </c>
      <c r="D128" s="34">
        <v>834</v>
      </c>
      <c r="E128" s="29"/>
      <c r="F128" s="1">
        <v>16.3</v>
      </c>
      <c r="G128" s="1">
        <v>1.14</v>
      </c>
      <c r="H128" s="1">
        <v>0.02</v>
      </c>
      <c r="I128" s="1">
        <v>43.7</v>
      </c>
      <c r="J128" s="57">
        <v>85.79953125</v>
      </c>
    </row>
    <row r="129" spans="1:10" ht="12.75">
      <c r="A129" s="1" t="s">
        <v>229</v>
      </c>
      <c r="B129" s="99">
        <v>37685</v>
      </c>
      <c r="C129" s="10">
        <v>0.6666666666666666</v>
      </c>
      <c r="D129" s="34">
        <v>755</v>
      </c>
      <c r="E129" s="29"/>
      <c r="F129" s="1">
        <v>17</v>
      </c>
      <c r="G129" s="1">
        <v>1.18</v>
      </c>
      <c r="H129" s="1">
        <v>0.02</v>
      </c>
      <c r="I129" s="1">
        <v>46.4</v>
      </c>
      <c r="J129" s="57">
        <v>91.5195</v>
      </c>
    </row>
    <row r="130" spans="1:10" ht="12.75">
      <c r="A130" s="1" t="s">
        <v>230</v>
      </c>
      <c r="B130" s="99">
        <v>37690</v>
      </c>
      <c r="C130" s="10">
        <v>0.7777777777777778</v>
      </c>
      <c r="D130" s="34">
        <v>861</v>
      </c>
      <c r="E130" s="29"/>
      <c r="F130" s="1">
        <v>16.5</v>
      </c>
      <c r="G130" s="1">
        <v>1.14</v>
      </c>
      <c r="H130" s="1">
        <v>0.02</v>
      </c>
      <c r="I130" s="1">
        <v>45.7</v>
      </c>
      <c r="J130" s="57">
        <v>83.25732291666667</v>
      </c>
    </row>
    <row r="131" spans="1:10" ht="12.75">
      <c r="A131" s="1" t="s">
        <v>231</v>
      </c>
      <c r="B131" s="99">
        <v>37721</v>
      </c>
      <c r="C131" s="10">
        <v>0.5701388888888889</v>
      </c>
      <c r="D131" s="34">
        <v>1070</v>
      </c>
      <c r="E131" s="29"/>
      <c r="F131" s="1">
        <v>14.2</v>
      </c>
      <c r="G131" s="1">
        <v>1.06</v>
      </c>
      <c r="H131" s="1">
        <v>0.01</v>
      </c>
      <c r="I131" s="1">
        <v>38.9</v>
      </c>
      <c r="J131" s="57">
        <v>93.42615625</v>
      </c>
    </row>
    <row r="132" spans="1:10" ht="12.75">
      <c r="A132" s="1" t="s">
        <v>232</v>
      </c>
      <c r="B132" s="99">
        <v>37733</v>
      </c>
      <c r="C132" s="10">
        <v>0.78125</v>
      </c>
      <c r="D132" s="34">
        <v>2320</v>
      </c>
      <c r="E132" s="29"/>
      <c r="F132" s="1">
        <v>6.54</v>
      </c>
      <c r="G132" s="1">
        <v>0.53</v>
      </c>
      <c r="H132" s="1" t="s">
        <v>673</v>
      </c>
      <c r="I132" s="1">
        <v>20.8</v>
      </c>
      <c r="J132" s="57">
        <v>69.27517708333333</v>
      </c>
    </row>
    <row r="133" spans="1:10" ht="12.75">
      <c r="A133" s="1" t="s">
        <v>233</v>
      </c>
      <c r="B133" s="99">
        <v>37748</v>
      </c>
      <c r="C133" s="10">
        <v>0.4284722222222222</v>
      </c>
      <c r="D133" s="34">
        <v>2280</v>
      </c>
      <c r="E133" s="29"/>
      <c r="F133" s="1">
        <v>6.85</v>
      </c>
      <c r="G133" s="1">
        <v>0.58</v>
      </c>
      <c r="H133" s="1" t="s">
        <v>673</v>
      </c>
      <c r="I133" s="1">
        <v>31</v>
      </c>
      <c r="J133" s="57">
        <v>59.74189583333334</v>
      </c>
    </row>
    <row r="134" spans="1:10" ht="12.75">
      <c r="A134" s="1" t="s">
        <v>234</v>
      </c>
      <c r="B134" s="99">
        <v>37755</v>
      </c>
      <c r="C134" s="10">
        <v>0.5</v>
      </c>
      <c r="D134" s="34">
        <v>3150</v>
      </c>
      <c r="E134" s="29"/>
      <c r="F134" s="1">
        <v>5.87</v>
      </c>
      <c r="G134" s="1">
        <v>0.53</v>
      </c>
      <c r="H134" s="1" t="s">
        <v>673</v>
      </c>
      <c r="I134" s="1">
        <v>19.4</v>
      </c>
      <c r="J134" s="57">
        <v>64.19076041666666</v>
      </c>
    </row>
    <row r="135" spans="1:10" ht="12.75">
      <c r="A135" s="1" t="s">
        <v>235</v>
      </c>
      <c r="B135" s="99">
        <v>37762</v>
      </c>
      <c r="C135" s="10">
        <v>0.5590277777777778</v>
      </c>
      <c r="D135" s="34">
        <v>4880</v>
      </c>
      <c r="E135" s="29"/>
      <c r="F135" s="1">
        <v>3.81</v>
      </c>
      <c r="G135" s="1">
        <v>0.37</v>
      </c>
      <c r="H135" s="1" t="s">
        <v>673</v>
      </c>
      <c r="I135" s="1">
        <v>14.1</v>
      </c>
      <c r="J135" s="57">
        <v>47.34863020833334</v>
      </c>
    </row>
    <row r="136" spans="1:10" ht="12.75">
      <c r="A136" s="1" t="s">
        <v>236</v>
      </c>
      <c r="B136" s="99">
        <v>37769</v>
      </c>
      <c r="C136" s="10">
        <v>0.38819444444444445</v>
      </c>
      <c r="D136" s="34">
        <v>18300</v>
      </c>
      <c r="E136" s="29"/>
      <c r="F136" s="1">
        <v>1.31</v>
      </c>
      <c r="G136" s="1">
        <v>0.18</v>
      </c>
      <c r="H136" s="1" t="s">
        <v>673</v>
      </c>
      <c r="I136" s="1">
        <v>9.9</v>
      </c>
      <c r="J136" s="57">
        <v>26.693187499999997</v>
      </c>
    </row>
    <row r="137" spans="1:10" ht="12.75">
      <c r="A137" s="1" t="s">
        <v>237</v>
      </c>
      <c r="B137" s="99">
        <v>37770</v>
      </c>
      <c r="C137" s="10">
        <v>0.6458333333333334</v>
      </c>
      <c r="D137" s="34">
        <v>18400</v>
      </c>
      <c r="E137" s="29"/>
      <c r="F137" s="1">
        <v>1.24</v>
      </c>
      <c r="G137" s="1">
        <v>0.15</v>
      </c>
      <c r="H137" s="1" t="s">
        <v>673</v>
      </c>
      <c r="I137" s="1">
        <v>4.42</v>
      </c>
      <c r="J137" s="57">
        <v>34.319812500000005</v>
      </c>
    </row>
    <row r="138" spans="1:10" ht="12.75">
      <c r="A138" s="1" t="s">
        <v>238</v>
      </c>
      <c r="B138" s="99">
        <v>37776</v>
      </c>
      <c r="C138" s="10">
        <v>0.46875</v>
      </c>
      <c r="D138" s="34">
        <v>13200</v>
      </c>
      <c r="E138" s="29"/>
      <c r="F138" s="1">
        <v>2.33</v>
      </c>
      <c r="G138" s="1">
        <v>0.28</v>
      </c>
      <c r="H138" s="1" t="s">
        <v>673</v>
      </c>
      <c r="I138" s="1">
        <v>12.7</v>
      </c>
      <c r="J138" s="57">
        <v>28.282067708333333</v>
      </c>
    </row>
    <row r="139" spans="1:10" ht="12.75">
      <c r="A139" s="1" t="s">
        <v>239</v>
      </c>
      <c r="B139" s="99">
        <v>37783</v>
      </c>
      <c r="C139" s="10">
        <v>5.1</v>
      </c>
      <c r="D139" s="34">
        <v>12000</v>
      </c>
      <c r="E139" s="29"/>
      <c r="F139" s="1">
        <v>2.77</v>
      </c>
      <c r="G139" s="1">
        <v>0.29</v>
      </c>
      <c r="H139" s="1" t="s">
        <v>673</v>
      </c>
      <c r="I139" s="1">
        <v>11.5</v>
      </c>
      <c r="J139" s="57">
        <v>3.5484991319444448</v>
      </c>
    </row>
    <row r="140" spans="1:10" ht="12.75">
      <c r="A140" s="1" t="s">
        <v>240</v>
      </c>
      <c r="B140" s="99">
        <v>37790</v>
      </c>
      <c r="C140" s="10">
        <v>0.32569444444444445</v>
      </c>
      <c r="D140" s="34">
        <v>12100</v>
      </c>
      <c r="E140" s="29"/>
      <c r="F140" s="1">
        <v>2.78</v>
      </c>
      <c r="G140" s="1">
        <v>0.29</v>
      </c>
      <c r="H140" s="1" t="s">
        <v>673</v>
      </c>
      <c r="I140" s="1">
        <v>10.9</v>
      </c>
      <c r="J140" s="57">
        <v>32.41315625</v>
      </c>
    </row>
    <row r="141" spans="1:10" ht="12.75">
      <c r="A141" s="1" t="s">
        <v>241</v>
      </c>
      <c r="B141" s="99">
        <v>37797</v>
      </c>
      <c r="C141" s="10">
        <v>0.32222222222222224</v>
      </c>
      <c r="D141" s="34">
        <v>7560</v>
      </c>
      <c r="E141" s="29"/>
      <c r="F141" s="1">
        <v>4.32</v>
      </c>
      <c r="G141" s="1">
        <v>0.45</v>
      </c>
      <c r="H141" s="1" t="s">
        <v>673</v>
      </c>
      <c r="I141" s="1">
        <v>17.1</v>
      </c>
      <c r="J141" s="57">
        <v>36.86202083333334</v>
      </c>
    </row>
    <row r="142" spans="1:10" ht="12.75">
      <c r="A142" s="1" t="s">
        <v>674</v>
      </c>
      <c r="B142" s="99">
        <v>37804</v>
      </c>
      <c r="C142" s="10">
        <v>0.3333333333333333</v>
      </c>
      <c r="D142" s="34">
        <v>7080</v>
      </c>
      <c r="E142" s="29"/>
      <c r="F142" s="1">
        <v>15.5</v>
      </c>
      <c r="G142" s="1">
        <v>0.9</v>
      </c>
      <c r="H142" s="1">
        <v>0.02</v>
      </c>
      <c r="I142" s="1">
        <v>63.9</v>
      </c>
      <c r="J142" s="57">
        <v>0</v>
      </c>
    </row>
    <row r="143" spans="1:10" ht="12.75">
      <c r="A143" s="1" t="s">
        <v>242</v>
      </c>
      <c r="B143" s="99">
        <v>37811</v>
      </c>
      <c r="C143" s="10">
        <v>0.3423611111111111</v>
      </c>
      <c r="D143" s="34">
        <v>5510</v>
      </c>
      <c r="E143" s="29"/>
      <c r="F143" s="1">
        <v>5.25</v>
      </c>
      <c r="G143" s="1">
        <v>0.51</v>
      </c>
      <c r="H143" s="1" t="s">
        <v>673</v>
      </c>
      <c r="I143" s="1">
        <v>13.8</v>
      </c>
      <c r="J143" s="57">
        <v>48.619734375</v>
      </c>
    </row>
    <row r="144" spans="1:10" ht="12.75">
      <c r="A144" s="1" t="s">
        <v>243</v>
      </c>
      <c r="B144" s="99">
        <v>37812</v>
      </c>
      <c r="C144" s="10">
        <v>0.28125</v>
      </c>
      <c r="D144" s="34">
        <v>5250</v>
      </c>
      <c r="E144" s="29"/>
      <c r="F144" s="1">
        <v>5.38</v>
      </c>
      <c r="G144" s="1">
        <v>0.53</v>
      </c>
      <c r="H144" s="1" t="s">
        <v>673</v>
      </c>
      <c r="I144" s="1">
        <v>12.1</v>
      </c>
      <c r="J144" s="57">
        <v>47.66640625</v>
      </c>
    </row>
    <row r="145" spans="1:10" ht="12.75">
      <c r="A145" s="1" t="s">
        <v>244</v>
      </c>
      <c r="B145" s="99">
        <v>37818</v>
      </c>
      <c r="C145" s="10">
        <v>0.31805555555555554</v>
      </c>
      <c r="D145" s="34">
        <v>4420</v>
      </c>
      <c r="E145" s="29"/>
      <c r="F145" s="1">
        <v>5.99</v>
      </c>
      <c r="G145" s="1">
        <v>0.58</v>
      </c>
      <c r="H145" s="1" t="s">
        <v>673</v>
      </c>
      <c r="I145" s="1">
        <v>14.9</v>
      </c>
      <c r="J145" s="57">
        <v>51.479718749999996</v>
      </c>
    </row>
    <row r="146" spans="1:10" ht="12.75">
      <c r="A146" s="1" t="s">
        <v>245</v>
      </c>
      <c r="B146" s="99">
        <v>37825</v>
      </c>
      <c r="C146" s="10">
        <v>0.5631944444444444</v>
      </c>
      <c r="D146" s="34">
        <v>3650</v>
      </c>
      <c r="E146" s="29"/>
      <c r="F146" s="1">
        <v>6.41</v>
      </c>
      <c r="G146" s="1">
        <v>0.61</v>
      </c>
      <c r="H146" s="1" t="s">
        <v>673</v>
      </c>
      <c r="I146" s="1">
        <v>15.1</v>
      </c>
      <c r="J146" s="57">
        <v>55.29303124999999</v>
      </c>
    </row>
    <row r="147" spans="1:10" ht="12.75">
      <c r="A147" s="1" t="s">
        <v>246</v>
      </c>
      <c r="B147" s="99">
        <v>37839</v>
      </c>
      <c r="C147" s="10">
        <v>0.513888888888889</v>
      </c>
      <c r="D147" s="34">
        <v>2760</v>
      </c>
      <c r="E147" s="29"/>
      <c r="F147" s="1">
        <v>7.5</v>
      </c>
      <c r="G147" s="1">
        <v>0.67</v>
      </c>
      <c r="H147" s="1" t="s">
        <v>673</v>
      </c>
      <c r="I147" s="1">
        <v>18.2</v>
      </c>
      <c r="J147" s="57">
        <v>58.47079166666667</v>
      </c>
    </row>
    <row r="148" spans="1:10" ht="12.75">
      <c r="A148" s="1" t="s">
        <v>247</v>
      </c>
      <c r="B148" s="99">
        <v>37846</v>
      </c>
      <c r="C148" s="9">
        <v>0.5923611111111111</v>
      </c>
      <c r="D148" s="32">
        <v>2300</v>
      </c>
      <c r="E148" s="29"/>
      <c r="F148" s="1">
        <v>8.51</v>
      </c>
      <c r="G148" s="1">
        <v>0.73</v>
      </c>
      <c r="H148" s="1">
        <v>0.01</v>
      </c>
      <c r="I148" s="1">
        <v>21.4</v>
      </c>
      <c r="J148" s="57">
        <v>59.424119791666676</v>
      </c>
    </row>
    <row r="149" spans="1:10" ht="12.75">
      <c r="A149" s="1" t="s">
        <v>248</v>
      </c>
      <c r="B149" s="99">
        <v>37854</v>
      </c>
      <c r="C149" s="10">
        <v>0.4902777777777778</v>
      </c>
      <c r="D149" s="34">
        <v>1970</v>
      </c>
      <c r="E149" s="29"/>
      <c r="F149" s="1">
        <v>9</v>
      </c>
      <c r="G149" s="1">
        <v>0.77</v>
      </c>
      <c r="H149" s="1">
        <v>0.01</v>
      </c>
      <c r="I149" s="1">
        <v>21.7</v>
      </c>
      <c r="J149" s="57">
        <v>66.41519270833334</v>
      </c>
    </row>
    <row r="150" spans="1:10" ht="12.75">
      <c r="A150" s="1" t="s">
        <v>249</v>
      </c>
      <c r="B150" s="99">
        <v>37859</v>
      </c>
      <c r="C150" s="10">
        <v>0.3125</v>
      </c>
      <c r="D150" s="34">
        <v>1790</v>
      </c>
      <c r="E150" s="29"/>
      <c r="F150" s="1">
        <v>9.47</v>
      </c>
      <c r="G150" s="1">
        <v>0.78</v>
      </c>
      <c r="H150" s="1">
        <v>0.01</v>
      </c>
      <c r="I150" s="1">
        <v>23.2</v>
      </c>
      <c r="J150" s="57">
        <v>65.14408854166666</v>
      </c>
    </row>
    <row r="151" spans="1:10" ht="12.75">
      <c r="A151" s="1" t="s">
        <v>250</v>
      </c>
      <c r="B151" s="99">
        <v>37860</v>
      </c>
      <c r="C151" s="10">
        <v>0.3958333333333333</v>
      </c>
      <c r="D151" s="34">
        <v>1760</v>
      </c>
      <c r="E151" s="29"/>
      <c r="F151" s="1">
        <v>9.67</v>
      </c>
      <c r="G151" s="1">
        <v>0.79</v>
      </c>
      <c r="H151" s="1">
        <v>0.01</v>
      </c>
      <c r="I151" s="1">
        <v>23.7</v>
      </c>
      <c r="J151" s="57">
        <v>66.09741666666667</v>
      </c>
    </row>
    <row r="152" spans="1:10" ht="12.75">
      <c r="A152" s="1" t="s">
        <v>251</v>
      </c>
      <c r="B152" s="99">
        <v>37867</v>
      </c>
      <c r="C152" s="10">
        <v>0.4930555555555556</v>
      </c>
      <c r="D152" s="34">
        <v>1610</v>
      </c>
      <c r="E152" s="29"/>
      <c r="F152" s="1">
        <v>10.5</v>
      </c>
      <c r="G152" s="1">
        <v>0.83</v>
      </c>
      <c r="H152" s="1">
        <v>0.01</v>
      </c>
      <c r="I152" s="1">
        <v>25.1</v>
      </c>
      <c r="J152" s="57">
        <v>70.54628125</v>
      </c>
    </row>
    <row r="153" spans="1:10" ht="12.75">
      <c r="A153" s="1" t="s">
        <v>252</v>
      </c>
      <c r="B153" s="99">
        <v>37881</v>
      </c>
      <c r="C153" s="10">
        <v>0.44097222222222227</v>
      </c>
      <c r="D153" s="34">
        <v>1440</v>
      </c>
      <c r="E153" s="29"/>
      <c r="F153" s="1">
        <v>11</v>
      </c>
      <c r="G153" s="1">
        <v>0.85</v>
      </c>
      <c r="H153" s="1">
        <v>0.01</v>
      </c>
      <c r="I153" s="1">
        <v>27.6</v>
      </c>
      <c r="J153" s="57">
        <v>73.72404166666668</v>
      </c>
    </row>
    <row r="154" spans="1:10" ht="12.75">
      <c r="A154" s="1" t="s">
        <v>253</v>
      </c>
      <c r="B154" s="99">
        <v>37888</v>
      </c>
      <c r="C154" s="10">
        <v>0.4444444444444444</v>
      </c>
      <c r="D154" s="34">
        <v>1260</v>
      </c>
      <c r="E154" s="29"/>
      <c r="F154" s="1">
        <v>11.9</v>
      </c>
      <c r="G154" s="1">
        <v>0.9</v>
      </c>
      <c r="H154" s="1">
        <v>0.02</v>
      </c>
      <c r="I154" s="1">
        <v>29.3</v>
      </c>
      <c r="J154" s="57">
        <v>77.53735416666666</v>
      </c>
    </row>
    <row r="155" ht="12.75">
      <c r="A155" s="60" t="s">
        <v>672</v>
      </c>
    </row>
    <row r="156" spans="1:10" ht="12.75">
      <c r="A156" s="100" t="s">
        <v>254</v>
      </c>
      <c r="B156" s="21">
        <v>37895</v>
      </c>
      <c r="C156" s="10" t="s">
        <v>199</v>
      </c>
      <c r="D156" s="1">
        <v>1150</v>
      </c>
      <c r="F156" s="38">
        <v>12.5</v>
      </c>
      <c r="G156" s="38">
        <v>0.93</v>
      </c>
      <c r="H156" s="38">
        <v>0.01</v>
      </c>
      <c r="I156" s="38">
        <v>30.7</v>
      </c>
      <c r="J156" s="5">
        <v>82.62177083333333</v>
      </c>
    </row>
    <row r="157" spans="1:10" ht="12.75">
      <c r="A157" s="100" t="s">
        <v>255</v>
      </c>
      <c r="B157" s="21">
        <v>37900</v>
      </c>
      <c r="C157" s="10">
        <v>0.7083333333333334</v>
      </c>
      <c r="D157" s="1">
        <v>1110</v>
      </c>
      <c r="F157" s="38">
        <v>12.9</v>
      </c>
      <c r="G157" s="38">
        <v>0.95</v>
      </c>
      <c r="H157" s="38">
        <v>0.01</v>
      </c>
      <c r="I157" s="38">
        <v>32.6</v>
      </c>
      <c r="J157" s="5">
        <v>78.80845833333333</v>
      </c>
    </row>
    <row r="158" spans="1:10" ht="12.75">
      <c r="A158" s="100" t="s">
        <v>256</v>
      </c>
      <c r="B158" s="21">
        <v>37942</v>
      </c>
      <c r="C158" s="10">
        <v>0.7083333333333334</v>
      </c>
      <c r="D158" s="1">
        <v>918</v>
      </c>
      <c r="F158" s="38">
        <v>15.1</v>
      </c>
      <c r="G158" s="38">
        <v>1.04</v>
      </c>
      <c r="H158" s="38">
        <v>0.02</v>
      </c>
      <c r="I158" s="38">
        <v>39.6</v>
      </c>
      <c r="J158" s="5">
        <v>88.34173958333334</v>
      </c>
    </row>
    <row r="159" spans="1:10" ht="12.75">
      <c r="A159" s="100" t="s">
        <v>257</v>
      </c>
      <c r="B159" s="21">
        <v>38029</v>
      </c>
      <c r="C159" s="10">
        <v>0.6527777777777778</v>
      </c>
      <c r="D159" s="1">
        <v>669</v>
      </c>
      <c r="F159" s="38">
        <v>17.7</v>
      </c>
      <c r="G159" s="38">
        <v>1.14</v>
      </c>
      <c r="H159" s="38">
        <v>0.03</v>
      </c>
      <c r="I159" s="38">
        <v>48.2</v>
      </c>
      <c r="J159" s="5">
        <v>97.87502083333335</v>
      </c>
    </row>
    <row r="160" spans="1:10" ht="12.75">
      <c r="A160" s="100" t="s">
        <v>258</v>
      </c>
      <c r="B160" s="21">
        <v>38054</v>
      </c>
      <c r="C160" s="10">
        <v>0.5944444444444444</v>
      </c>
      <c r="D160" s="1">
        <v>780</v>
      </c>
      <c r="F160" s="38">
        <v>16.9</v>
      </c>
      <c r="G160" s="38">
        <v>1.13</v>
      </c>
      <c r="H160" s="38">
        <v>0.02</v>
      </c>
      <c r="I160" s="38">
        <v>42.6</v>
      </c>
      <c r="J160" s="5">
        <v>95.65058854166668</v>
      </c>
    </row>
    <row r="161" spans="1:10" ht="12.75">
      <c r="A161" s="100" t="s">
        <v>259</v>
      </c>
      <c r="B161" s="21">
        <v>38068</v>
      </c>
      <c r="C161" s="10">
        <v>0.4604166666666667</v>
      </c>
      <c r="D161" s="1">
        <v>939</v>
      </c>
      <c r="F161" s="38">
        <v>14.6</v>
      </c>
      <c r="G161" s="38">
        <v>1.02</v>
      </c>
      <c r="H161" s="38">
        <v>0.02</v>
      </c>
      <c r="I161" s="38">
        <v>40.5</v>
      </c>
      <c r="J161" s="5">
        <v>89.93061979166667</v>
      </c>
    </row>
    <row r="162" spans="1:10" ht="12.75">
      <c r="A162" s="100" t="s">
        <v>260</v>
      </c>
      <c r="B162" s="21">
        <v>38090</v>
      </c>
      <c r="C162" s="10">
        <v>0.5791666666666667</v>
      </c>
      <c r="D162" s="1">
        <v>2320</v>
      </c>
      <c r="F162" s="38">
        <v>7.22</v>
      </c>
      <c r="G162" s="38">
        <v>0.57</v>
      </c>
      <c r="H162" s="38" t="s">
        <v>673</v>
      </c>
      <c r="I162" s="38">
        <v>20.8</v>
      </c>
      <c r="J162" s="5">
        <v>68.63962500000001</v>
      </c>
    </row>
    <row r="163" spans="1:10" ht="12.75">
      <c r="A163" s="100" t="s">
        <v>261</v>
      </c>
      <c r="B163" s="21">
        <v>38100</v>
      </c>
      <c r="C163" s="10">
        <v>0.3368055555555556</v>
      </c>
      <c r="D163" s="1">
        <v>1780</v>
      </c>
      <c r="F163" s="38">
        <v>6.38</v>
      </c>
      <c r="G163" s="38">
        <v>0.58</v>
      </c>
      <c r="H163" s="38" t="s">
        <v>673</v>
      </c>
      <c r="I163" s="38">
        <v>21.5</v>
      </c>
      <c r="J163" s="5">
        <v>69.27517708333333</v>
      </c>
    </row>
    <row r="164" spans="1:10" ht="12.75">
      <c r="A164" s="100" t="s">
        <v>262</v>
      </c>
      <c r="B164" s="21">
        <v>38103</v>
      </c>
      <c r="C164" s="10">
        <v>0.5597222222222222</v>
      </c>
      <c r="D164" s="1">
        <v>1990</v>
      </c>
      <c r="F164" s="38">
        <v>7.73</v>
      </c>
      <c r="G164" s="38">
        <v>0.61</v>
      </c>
      <c r="H164" s="38" t="s">
        <v>673</v>
      </c>
      <c r="I164" s="38">
        <v>21.6</v>
      </c>
      <c r="J164" s="5">
        <v>71.18183333333333</v>
      </c>
    </row>
    <row r="165" spans="1:10" ht="12.75">
      <c r="A165" s="100" t="s">
        <v>263</v>
      </c>
      <c r="B165" s="21">
        <v>38111</v>
      </c>
      <c r="C165" s="10">
        <v>0.4826388888888889</v>
      </c>
      <c r="D165" s="1">
        <v>5180</v>
      </c>
      <c r="F165" s="38">
        <v>2.97</v>
      </c>
      <c r="G165" s="38">
        <v>0.28</v>
      </c>
      <c r="H165" s="38" t="s">
        <v>673</v>
      </c>
      <c r="I165" s="38">
        <v>9.66</v>
      </c>
      <c r="J165" s="5">
        <v>46.39530208333333</v>
      </c>
    </row>
    <row r="166" spans="1:10" ht="12.75">
      <c r="A166" s="100" t="s">
        <v>264</v>
      </c>
      <c r="B166" s="21">
        <v>38118</v>
      </c>
      <c r="C166" s="10">
        <v>0.3541666666666667</v>
      </c>
      <c r="D166" s="1">
        <v>6420</v>
      </c>
      <c r="F166" s="38">
        <v>2.82</v>
      </c>
      <c r="G166" s="38">
        <v>0.28</v>
      </c>
      <c r="H166" s="38" t="s">
        <v>673</v>
      </c>
      <c r="I166" s="38">
        <v>8.24</v>
      </c>
      <c r="J166" s="5">
        <v>50.844166666666666</v>
      </c>
    </row>
    <row r="167" spans="1:10" ht="12.75">
      <c r="A167" s="100" t="s">
        <v>265</v>
      </c>
      <c r="B167" s="19">
        <v>38125</v>
      </c>
      <c r="C167" s="10">
        <v>0.375</v>
      </c>
      <c r="D167" s="1">
        <v>3980</v>
      </c>
      <c r="F167" s="38">
        <v>4.81</v>
      </c>
      <c r="G167" s="38">
        <v>0.44</v>
      </c>
      <c r="H167" s="38" t="s">
        <v>673</v>
      </c>
      <c r="I167" s="38">
        <v>13.7</v>
      </c>
      <c r="J167" s="5">
        <v>52.433046875</v>
      </c>
    </row>
    <row r="168" spans="1:10" ht="12.75">
      <c r="A168" s="100" t="s">
        <v>266</v>
      </c>
      <c r="B168" s="19">
        <v>38131</v>
      </c>
      <c r="C168" s="10">
        <v>0.5069444444444444</v>
      </c>
      <c r="D168" s="1">
        <v>5140</v>
      </c>
      <c r="F168" s="38">
        <v>3.99</v>
      </c>
      <c r="G168" s="38">
        <v>0.38</v>
      </c>
      <c r="H168" s="38" t="s">
        <v>673</v>
      </c>
      <c r="I168" s="38">
        <v>11.7</v>
      </c>
      <c r="J168" s="5">
        <v>48.30195833333334</v>
      </c>
    </row>
    <row r="169" spans="1:10" ht="12.75">
      <c r="A169" s="100" t="s">
        <v>267</v>
      </c>
      <c r="B169" s="19">
        <v>38139</v>
      </c>
      <c r="C169" s="10">
        <v>0.6805555555555555</v>
      </c>
      <c r="D169" s="1">
        <v>5230</v>
      </c>
      <c r="F169" s="38">
        <v>3.96</v>
      </c>
      <c r="G169" s="38">
        <v>0.39</v>
      </c>
      <c r="H169" s="38" t="s">
        <v>673</v>
      </c>
      <c r="I169" s="38">
        <v>10.6</v>
      </c>
      <c r="J169" s="5">
        <v>50.208614583333336</v>
      </c>
    </row>
    <row r="170" spans="1:10" ht="12.75">
      <c r="A170" s="100" t="s">
        <v>268</v>
      </c>
      <c r="B170" s="19">
        <v>38145</v>
      </c>
      <c r="C170" s="10">
        <v>0.6027777777777777</v>
      </c>
      <c r="D170" s="1">
        <v>10100</v>
      </c>
      <c r="F170" s="38">
        <v>2.18</v>
      </c>
      <c r="G170" s="38">
        <v>0.22</v>
      </c>
      <c r="H170" s="38" t="s">
        <v>673</v>
      </c>
      <c r="I170" s="38">
        <v>5.97</v>
      </c>
      <c r="J170" s="5">
        <v>36.22646875</v>
      </c>
    </row>
    <row r="171" spans="1:10" ht="12.75">
      <c r="A171" s="100" t="s">
        <v>269</v>
      </c>
      <c r="B171" s="19">
        <v>38152</v>
      </c>
      <c r="C171" s="10">
        <v>0.7083333333333334</v>
      </c>
      <c r="D171" s="1">
        <v>7160</v>
      </c>
      <c r="F171" s="38">
        <v>3.49</v>
      </c>
      <c r="G171" s="38">
        <v>0.35</v>
      </c>
      <c r="H171" s="38" t="s">
        <v>673</v>
      </c>
      <c r="I171" s="38">
        <v>8.78</v>
      </c>
      <c r="J171" s="5">
        <v>45.75975</v>
      </c>
    </row>
    <row r="172" spans="1:10" ht="12.75">
      <c r="A172" s="100" t="s">
        <v>270</v>
      </c>
      <c r="B172" s="19">
        <v>38159</v>
      </c>
      <c r="C172" s="10">
        <v>0.83125</v>
      </c>
      <c r="D172" s="1">
        <v>5830</v>
      </c>
      <c r="F172" s="38">
        <v>3.93</v>
      </c>
      <c r="G172" s="38">
        <v>0.38</v>
      </c>
      <c r="H172" s="38">
        <v>0.01</v>
      </c>
      <c r="I172" s="38">
        <v>10.1</v>
      </c>
      <c r="J172" s="5">
        <v>47.66640625</v>
      </c>
    </row>
    <row r="173" spans="1:10" ht="12.75">
      <c r="A173" s="100" t="s">
        <v>271</v>
      </c>
      <c r="B173" s="19">
        <v>38166</v>
      </c>
      <c r="C173" s="10">
        <v>0.4861111111111111</v>
      </c>
      <c r="D173" s="1">
        <v>6470</v>
      </c>
      <c r="F173" s="38">
        <v>3.88</v>
      </c>
      <c r="G173" s="38">
        <v>0.37</v>
      </c>
      <c r="H173" s="38" t="s">
        <v>673</v>
      </c>
      <c r="I173" s="38">
        <v>10.1</v>
      </c>
      <c r="J173" s="5">
        <v>43.21754166666667</v>
      </c>
    </row>
    <row r="174" spans="1:10" ht="12.75">
      <c r="A174" s="100" t="s">
        <v>272</v>
      </c>
      <c r="B174" s="19">
        <v>38174</v>
      </c>
      <c r="C174" s="10">
        <v>0.3958333333333333</v>
      </c>
      <c r="D174" s="1">
        <v>5560</v>
      </c>
      <c r="F174" s="38">
        <v>4.39</v>
      </c>
      <c r="G174" s="38">
        <v>0.43</v>
      </c>
      <c r="H174" s="38" t="s">
        <v>673</v>
      </c>
      <c r="I174" s="38">
        <v>11</v>
      </c>
      <c r="J174" s="5">
        <v>47.03085416666667</v>
      </c>
    </row>
    <row r="175" spans="1:10" ht="12.75">
      <c r="A175" s="100" t="s">
        <v>273</v>
      </c>
      <c r="B175" s="19">
        <v>38175</v>
      </c>
      <c r="C175" s="10">
        <v>0.8229166666666666</v>
      </c>
      <c r="D175" s="1">
        <v>5090</v>
      </c>
      <c r="F175" s="38">
        <v>4.6</v>
      </c>
      <c r="G175" s="38">
        <v>0.44</v>
      </c>
      <c r="H175" s="38" t="s">
        <v>673</v>
      </c>
      <c r="I175" s="38">
        <v>11.5</v>
      </c>
      <c r="J175" s="5">
        <v>47.66640625</v>
      </c>
    </row>
    <row r="176" spans="1:10" ht="12.75">
      <c r="A176" s="100" t="s">
        <v>274</v>
      </c>
      <c r="B176" s="19">
        <v>38180</v>
      </c>
      <c r="C176" s="10">
        <v>0.3576388888888889</v>
      </c>
      <c r="D176" s="1">
        <v>4440</v>
      </c>
      <c r="F176" s="38">
        <v>5.26</v>
      </c>
      <c r="G176" s="38">
        <v>0.5</v>
      </c>
      <c r="H176" s="38" t="s">
        <v>673</v>
      </c>
      <c r="I176" s="38">
        <v>12.4</v>
      </c>
      <c r="J176" s="5">
        <v>53.06859895833333</v>
      </c>
    </row>
    <row r="177" spans="1:10" ht="12.75">
      <c r="A177" s="100" t="s">
        <v>275</v>
      </c>
      <c r="B177" s="19">
        <v>38187</v>
      </c>
      <c r="C177" s="10">
        <v>0.3888888888888889</v>
      </c>
      <c r="D177" s="1">
        <v>4400</v>
      </c>
      <c r="F177" s="38">
        <v>6</v>
      </c>
      <c r="G177" s="38">
        <v>0.51</v>
      </c>
      <c r="H177" s="38" t="s">
        <v>673</v>
      </c>
      <c r="I177" s="38">
        <v>15</v>
      </c>
      <c r="J177" s="5">
        <v>43.53531770833333</v>
      </c>
    </row>
    <row r="178" spans="1:10" ht="12.75">
      <c r="A178" s="100" t="s">
        <v>276</v>
      </c>
      <c r="B178" s="19">
        <v>38194</v>
      </c>
      <c r="C178" s="10">
        <v>0.41805555555555557</v>
      </c>
      <c r="D178" s="1">
        <v>3310</v>
      </c>
      <c r="F178" s="38">
        <v>6.4</v>
      </c>
      <c r="G178" s="38">
        <v>0.59</v>
      </c>
      <c r="H178" s="38" t="s">
        <v>673</v>
      </c>
      <c r="I178" s="38">
        <v>15.3</v>
      </c>
      <c r="J178" s="5">
        <v>56.246359375000004</v>
      </c>
    </row>
    <row r="179" spans="1:10" ht="12.75">
      <c r="A179" s="100" t="s">
        <v>277</v>
      </c>
      <c r="B179" s="19">
        <v>38201</v>
      </c>
      <c r="C179" s="10">
        <v>0.375</v>
      </c>
      <c r="D179" s="1">
        <v>2790</v>
      </c>
      <c r="F179" s="38">
        <v>7.21</v>
      </c>
      <c r="G179" s="38">
        <v>0.64</v>
      </c>
      <c r="H179" s="38">
        <v>0.01</v>
      </c>
      <c r="I179" s="38">
        <v>16.9</v>
      </c>
      <c r="J179" s="5">
        <v>59.106343750000015</v>
      </c>
    </row>
    <row r="180" spans="1:10" ht="12.75">
      <c r="A180" s="100" t="s">
        <v>278</v>
      </c>
      <c r="B180" s="19">
        <v>38208</v>
      </c>
      <c r="C180" s="10">
        <v>0.548611111111111</v>
      </c>
      <c r="D180" s="1">
        <v>2390</v>
      </c>
      <c r="F180" s="38">
        <v>7.81</v>
      </c>
      <c r="G180" s="38">
        <v>0.68</v>
      </c>
      <c r="H180" s="38">
        <v>0.01</v>
      </c>
      <c r="I180" s="38">
        <v>18.6</v>
      </c>
      <c r="J180" s="5">
        <v>64.50853645833334</v>
      </c>
    </row>
    <row r="181" spans="1:10" ht="12.75">
      <c r="A181" s="100" t="s">
        <v>279</v>
      </c>
      <c r="B181" s="19">
        <v>38215</v>
      </c>
      <c r="C181" s="10">
        <v>0.3541666666666667</v>
      </c>
      <c r="D181" s="1">
        <v>2090</v>
      </c>
      <c r="F181" s="38">
        <v>8.65</v>
      </c>
      <c r="G181" s="38">
        <v>0.73</v>
      </c>
      <c r="H181" s="38">
        <v>0.01</v>
      </c>
      <c r="I181" s="38">
        <v>20.3</v>
      </c>
      <c r="J181" s="5">
        <v>65.46186458333334</v>
      </c>
    </row>
    <row r="182" spans="1:10" ht="12.75">
      <c r="A182" s="100" t="s">
        <v>280</v>
      </c>
      <c r="B182" s="19">
        <v>38222</v>
      </c>
      <c r="C182" s="10">
        <v>0.4375</v>
      </c>
      <c r="D182" s="1">
        <v>2140</v>
      </c>
      <c r="F182" s="38">
        <v>8.6</v>
      </c>
      <c r="G182" s="38">
        <v>0.73</v>
      </c>
      <c r="H182" s="38" t="s">
        <v>673</v>
      </c>
      <c r="I182" s="38">
        <v>21.5</v>
      </c>
      <c r="J182" s="5">
        <v>63.55520833333333</v>
      </c>
    </row>
    <row r="183" spans="1:10" ht="12.75">
      <c r="A183" s="100" t="s">
        <v>281</v>
      </c>
      <c r="B183" s="19">
        <v>38223</v>
      </c>
      <c r="C183" s="10">
        <v>0.8194444444444445</v>
      </c>
      <c r="D183" s="1">
        <v>2140</v>
      </c>
      <c r="F183" s="38">
        <v>8.57</v>
      </c>
      <c r="G183" s="38">
        <v>0.68</v>
      </c>
      <c r="H183" s="38">
        <v>0.02</v>
      </c>
      <c r="I183" s="38">
        <v>23.8</v>
      </c>
      <c r="J183" s="5">
        <v>61.01300000000001</v>
      </c>
    </row>
    <row r="184" spans="1:10" ht="12.75">
      <c r="A184" s="100" t="s">
        <v>282</v>
      </c>
      <c r="B184" s="19">
        <v>38229</v>
      </c>
      <c r="C184" s="10">
        <v>0.3819444444444444</v>
      </c>
      <c r="D184" s="1">
        <v>2100</v>
      </c>
      <c r="F184" s="38">
        <v>8.36</v>
      </c>
      <c r="G184" s="38">
        <v>0.7</v>
      </c>
      <c r="H184" s="38">
        <v>0.01</v>
      </c>
      <c r="I184" s="38">
        <v>20.8</v>
      </c>
      <c r="J184" s="5">
        <v>64.8263125</v>
      </c>
    </row>
    <row r="185" spans="1:10" ht="12.75">
      <c r="A185" s="100" t="s">
        <v>283</v>
      </c>
      <c r="B185" s="19">
        <v>38237</v>
      </c>
      <c r="C185" s="10">
        <v>0.375</v>
      </c>
      <c r="D185" s="1">
        <v>1870</v>
      </c>
      <c r="F185" s="38">
        <v>9.15</v>
      </c>
      <c r="G185" s="38">
        <v>0.75</v>
      </c>
      <c r="H185" s="38">
        <v>0.01</v>
      </c>
      <c r="I185" s="38">
        <v>22</v>
      </c>
      <c r="J185" s="5">
        <v>66.73296875</v>
      </c>
    </row>
    <row r="186" spans="1:10" ht="12.75">
      <c r="A186" s="100" t="s">
        <v>284</v>
      </c>
      <c r="B186" s="19">
        <v>38243</v>
      </c>
      <c r="C186" s="10">
        <v>0.40277777777777773</v>
      </c>
      <c r="D186" s="1">
        <v>1780</v>
      </c>
      <c r="F186" s="38">
        <v>9.51</v>
      </c>
      <c r="G186" s="38">
        <v>0.77</v>
      </c>
      <c r="H186" s="38">
        <v>0.02</v>
      </c>
      <c r="I186" s="38">
        <v>23</v>
      </c>
      <c r="J186" s="5">
        <v>68.00407291666667</v>
      </c>
    </row>
    <row r="187" spans="1:10" ht="12.75">
      <c r="A187" s="100" t="s">
        <v>285</v>
      </c>
      <c r="B187" s="19">
        <v>38250</v>
      </c>
      <c r="C187" s="10">
        <v>0.4305555555555556</v>
      </c>
      <c r="D187" s="1">
        <v>2130</v>
      </c>
      <c r="F187" s="38">
        <v>8.46</v>
      </c>
      <c r="G187" s="38">
        <v>0.69</v>
      </c>
      <c r="H187" s="38">
        <v>0.01</v>
      </c>
      <c r="I187" s="38">
        <v>23.7</v>
      </c>
      <c r="J187" s="5">
        <v>64.50853645833334</v>
      </c>
    </row>
    <row r="189" ht="15.75">
      <c r="A189" s="147" t="s">
        <v>675</v>
      </c>
    </row>
    <row r="190" ht="12.75">
      <c r="A190" s="60" t="s">
        <v>666</v>
      </c>
    </row>
    <row r="191" spans="1:10" ht="12.75">
      <c r="A191" s="29" t="s">
        <v>30</v>
      </c>
      <c r="B191" s="59">
        <v>37238</v>
      </c>
      <c r="C191" s="22">
        <v>0.6840277777777778</v>
      </c>
      <c r="D191" s="29">
        <v>315</v>
      </c>
      <c r="E191" s="45">
        <v>8.91980775</v>
      </c>
      <c r="F191" s="29">
        <v>21</v>
      </c>
      <c r="G191" s="32">
        <v>2.6</v>
      </c>
      <c r="H191" s="29">
        <v>0.085</v>
      </c>
      <c r="I191" s="57">
        <v>32</v>
      </c>
      <c r="J191" s="57">
        <v>89.1361796875</v>
      </c>
    </row>
    <row r="192" spans="1:10" ht="12.75">
      <c r="A192" s="29" t="s">
        <v>31</v>
      </c>
      <c r="B192" s="59">
        <v>37274</v>
      </c>
      <c r="C192" s="22">
        <v>0.7083333333333334</v>
      </c>
      <c r="D192" s="29">
        <v>264</v>
      </c>
      <c r="E192" s="45">
        <v>7.4756484</v>
      </c>
      <c r="F192" s="29">
        <v>23</v>
      </c>
      <c r="G192" s="32">
        <v>2.7</v>
      </c>
      <c r="H192" s="29">
        <v>0.066</v>
      </c>
      <c r="I192" s="57">
        <v>35</v>
      </c>
      <c r="J192" s="57">
        <v>95.01503645833334</v>
      </c>
    </row>
    <row r="193" spans="1:10" ht="12.75">
      <c r="A193" s="29" t="s">
        <v>32</v>
      </c>
      <c r="B193" s="59">
        <v>37300</v>
      </c>
      <c r="C193" s="22">
        <v>0.6458333333333334</v>
      </c>
      <c r="D193" s="29">
        <v>328</v>
      </c>
      <c r="E193" s="45">
        <v>9.287926800000001</v>
      </c>
      <c r="F193" s="29">
        <v>22</v>
      </c>
      <c r="G193" s="32">
        <v>2.8</v>
      </c>
      <c r="H193" s="29">
        <v>0.073</v>
      </c>
      <c r="I193" s="57">
        <v>32</v>
      </c>
      <c r="J193" s="57">
        <v>92.15505208333333</v>
      </c>
    </row>
    <row r="194" spans="1:10" ht="12.75">
      <c r="A194" s="29" t="s">
        <v>33</v>
      </c>
      <c r="B194" s="59">
        <v>37322</v>
      </c>
      <c r="C194" s="22">
        <v>0.4444444444444444</v>
      </c>
      <c r="D194" s="29">
        <v>281</v>
      </c>
      <c r="E194" s="45">
        <v>7.95703485</v>
      </c>
      <c r="F194" s="29">
        <v>22</v>
      </c>
      <c r="G194" s="32">
        <v>2.9</v>
      </c>
      <c r="H194" s="29">
        <v>0.068</v>
      </c>
      <c r="I194" s="57">
        <v>31</v>
      </c>
      <c r="J194" s="57">
        <v>92.63171614583334</v>
      </c>
    </row>
    <row r="195" spans="1:10" ht="12.75">
      <c r="A195" s="29" t="s">
        <v>34</v>
      </c>
      <c r="B195" s="59">
        <v>37336</v>
      </c>
      <c r="C195" s="22">
        <v>0.6666666666666666</v>
      </c>
      <c r="D195" s="29">
        <v>351</v>
      </c>
      <c r="E195" s="45">
        <v>9.93921435</v>
      </c>
      <c r="F195" s="29">
        <v>20</v>
      </c>
      <c r="G195" s="32">
        <v>2.7</v>
      </c>
      <c r="H195" s="29">
        <v>0.059</v>
      </c>
      <c r="I195" s="57">
        <v>30</v>
      </c>
      <c r="J195" s="57">
        <v>87.00708020833335</v>
      </c>
    </row>
    <row r="196" spans="1:10" ht="12.75">
      <c r="A196" s="29" t="s">
        <v>35</v>
      </c>
      <c r="B196" s="59">
        <v>37355</v>
      </c>
      <c r="C196" s="22">
        <v>0.625</v>
      </c>
      <c r="D196" s="29">
        <v>473</v>
      </c>
      <c r="E196" s="45">
        <v>13.39387005</v>
      </c>
      <c r="F196" s="29">
        <v>15</v>
      </c>
      <c r="G196" s="32">
        <v>1.9</v>
      </c>
      <c r="H196" s="29">
        <v>0.053</v>
      </c>
      <c r="I196" s="57">
        <v>28</v>
      </c>
      <c r="J196" s="57">
        <v>91.20172395833333</v>
      </c>
    </row>
    <row r="197" spans="1:10" ht="12.75">
      <c r="A197" s="29" t="s">
        <v>36</v>
      </c>
      <c r="B197" s="59">
        <v>37365</v>
      </c>
      <c r="C197" s="22">
        <v>0.375</v>
      </c>
      <c r="D197" s="29">
        <v>621</v>
      </c>
      <c r="E197" s="45">
        <v>17.58476385</v>
      </c>
      <c r="F197" s="29">
        <v>13</v>
      </c>
      <c r="G197" s="32">
        <v>1.9</v>
      </c>
      <c r="H197" s="29">
        <v>0.041</v>
      </c>
      <c r="I197" s="57">
        <v>22</v>
      </c>
      <c r="J197" s="57">
        <v>78.33179427083334</v>
      </c>
    </row>
    <row r="198" spans="1:10" ht="12.75">
      <c r="A198" s="29" t="s">
        <v>37</v>
      </c>
      <c r="B198" s="59">
        <v>37371</v>
      </c>
      <c r="C198" s="22">
        <v>0.7291666666666666</v>
      </c>
      <c r="D198" s="29">
        <v>666</v>
      </c>
      <c r="E198" s="45">
        <v>18.8590221</v>
      </c>
      <c r="F198" s="29">
        <v>9.2</v>
      </c>
      <c r="G198" s="32">
        <v>1.3</v>
      </c>
      <c r="H198" s="29">
        <v>0.024</v>
      </c>
      <c r="I198" s="57">
        <v>18</v>
      </c>
      <c r="J198" s="57">
        <v>73.72404166666668</v>
      </c>
    </row>
    <row r="199" spans="1:10" ht="12.75">
      <c r="A199" s="29" t="s">
        <v>38</v>
      </c>
      <c r="B199" s="59">
        <v>37377</v>
      </c>
      <c r="C199" s="22">
        <v>0.8090277777777778</v>
      </c>
      <c r="D199" s="29">
        <v>1570</v>
      </c>
      <c r="E199" s="45">
        <v>44.457454500000004</v>
      </c>
      <c r="F199" s="29">
        <v>6.9</v>
      </c>
      <c r="G199" s="39">
        <v>1</v>
      </c>
      <c r="H199" s="29" t="s">
        <v>168</v>
      </c>
      <c r="I199" s="57">
        <v>14</v>
      </c>
      <c r="J199" s="57">
        <v>68.00407291666667</v>
      </c>
    </row>
    <row r="200" spans="1:10" ht="12.75">
      <c r="A200" s="29" t="s">
        <v>39</v>
      </c>
      <c r="B200" s="59">
        <v>37384</v>
      </c>
      <c r="C200" s="22">
        <v>0.6666666666666666</v>
      </c>
      <c r="D200" s="29">
        <v>1440</v>
      </c>
      <c r="E200" s="45">
        <v>40.776264000000005</v>
      </c>
      <c r="F200" s="29">
        <v>7.4</v>
      </c>
      <c r="G200" s="32">
        <v>1.1</v>
      </c>
      <c r="H200" s="29" t="s">
        <v>168</v>
      </c>
      <c r="I200" s="57">
        <v>14</v>
      </c>
      <c r="J200" s="57">
        <v>63.396320312499995</v>
      </c>
    </row>
    <row r="201" spans="1:10" ht="12.75">
      <c r="A201" s="29" t="s">
        <v>40</v>
      </c>
      <c r="B201" s="59">
        <v>37392</v>
      </c>
      <c r="C201" s="22">
        <v>0.7222222222222222</v>
      </c>
      <c r="D201" s="29">
        <v>3530</v>
      </c>
      <c r="E201" s="45">
        <v>99.95848050000001</v>
      </c>
      <c r="F201" s="29">
        <v>3.8</v>
      </c>
      <c r="G201" s="32">
        <v>0.77</v>
      </c>
      <c r="H201" s="29">
        <v>0.105</v>
      </c>
      <c r="I201" s="57">
        <v>8.2</v>
      </c>
      <c r="J201" s="57">
        <v>54.49859114583333</v>
      </c>
    </row>
    <row r="202" spans="1:10" ht="12.75">
      <c r="A202" s="29" t="s">
        <v>41</v>
      </c>
      <c r="B202" s="59">
        <v>37398</v>
      </c>
      <c r="C202" s="22">
        <v>0.6319444444444444</v>
      </c>
      <c r="D202" s="29">
        <v>3650</v>
      </c>
      <c r="E202" s="45">
        <v>103.3565025</v>
      </c>
      <c r="F202" s="29">
        <v>3.7</v>
      </c>
      <c r="G202" s="45">
        <v>0.7</v>
      </c>
      <c r="H202" s="29" t="s">
        <v>168</v>
      </c>
      <c r="I202" s="57">
        <v>8.2</v>
      </c>
      <c r="J202" s="57">
        <v>51.95638281250001</v>
      </c>
    </row>
    <row r="203" spans="1:10" ht="12.75">
      <c r="A203" s="29" t="s">
        <v>42</v>
      </c>
      <c r="B203" s="59">
        <v>37404</v>
      </c>
      <c r="C203" s="22">
        <v>0.625</v>
      </c>
      <c r="D203" s="29">
        <v>3500</v>
      </c>
      <c r="E203" s="45">
        <v>99.108975</v>
      </c>
      <c r="F203" s="29">
        <v>3.3</v>
      </c>
      <c r="G203" s="32">
        <v>0.58</v>
      </c>
      <c r="H203" s="29" t="s">
        <v>168</v>
      </c>
      <c r="I203" s="57">
        <v>7.2</v>
      </c>
      <c r="J203" s="57">
        <v>48.46084635416666</v>
      </c>
    </row>
    <row r="204" spans="1:10" ht="12.75">
      <c r="A204" s="29" t="s">
        <v>43</v>
      </c>
      <c r="B204" s="59">
        <v>37412</v>
      </c>
      <c r="C204" s="22">
        <v>0.8784722222222222</v>
      </c>
      <c r="D204" s="29">
        <v>4650</v>
      </c>
      <c r="E204" s="45">
        <v>131.6733525</v>
      </c>
      <c r="F204" s="29">
        <v>3.2</v>
      </c>
      <c r="G204" s="45">
        <v>0.6</v>
      </c>
      <c r="H204" s="29" t="s">
        <v>168</v>
      </c>
      <c r="I204" s="57">
        <v>5.9</v>
      </c>
      <c r="J204" s="57">
        <v>42.899765625</v>
      </c>
    </row>
    <row r="205" spans="1:10" ht="12.75">
      <c r="A205" s="29" t="s">
        <v>44</v>
      </c>
      <c r="B205" s="59">
        <v>37420</v>
      </c>
      <c r="C205" s="22">
        <v>0.7152777777777778</v>
      </c>
      <c r="D205" s="29">
        <v>2100</v>
      </c>
      <c r="E205" s="45">
        <v>59.465385000000005</v>
      </c>
      <c r="F205" s="39">
        <v>6</v>
      </c>
      <c r="G205" s="39">
        <v>1</v>
      </c>
      <c r="H205" s="29" t="s">
        <v>168</v>
      </c>
      <c r="I205" s="57">
        <v>11</v>
      </c>
      <c r="J205" s="57">
        <v>58.31190364583333</v>
      </c>
    </row>
    <row r="206" spans="1:10" ht="12.75">
      <c r="A206" s="29" t="s">
        <v>45</v>
      </c>
      <c r="B206" s="59">
        <v>37435</v>
      </c>
      <c r="C206" s="22">
        <v>0.3861111111111111</v>
      </c>
      <c r="D206" s="29">
        <v>1470</v>
      </c>
      <c r="E206" s="45">
        <v>41.625769500000004</v>
      </c>
      <c r="F206" s="29">
        <v>6.2</v>
      </c>
      <c r="G206" s="39">
        <v>1</v>
      </c>
      <c r="H206" s="29" t="s">
        <v>168</v>
      </c>
      <c r="I206" s="57">
        <v>12</v>
      </c>
      <c r="J206" s="57">
        <v>61.171888020833336</v>
      </c>
    </row>
    <row r="207" spans="1:10" ht="12.75">
      <c r="A207" s="29" t="s">
        <v>46</v>
      </c>
      <c r="B207" s="59">
        <v>37441</v>
      </c>
      <c r="C207" s="22">
        <v>0.6527777777777778</v>
      </c>
      <c r="D207" s="29">
        <v>893</v>
      </c>
      <c r="E207" s="45">
        <v>25.286947050000002</v>
      </c>
      <c r="F207" s="29">
        <v>8.3</v>
      </c>
      <c r="G207" s="32">
        <v>1.3</v>
      </c>
      <c r="H207" s="29" t="s">
        <v>168</v>
      </c>
      <c r="I207" s="57">
        <v>16</v>
      </c>
      <c r="J207" s="57">
        <v>64.66742447916666</v>
      </c>
    </row>
    <row r="208" spans="1:10" ht="12.75">
      <c r="A208" s="29" t="s">
        <v>47</v>
      </c>
      <c r="B208" s="59">
        <v>37447</v>
      </c>
      <c r="C208" s="22">
        <v>0.7638888888888888</v>
      </c>
      <c r="D208" s="29">
        <v>634</v>
      </c>
      <c r="E208" s="45">
        <v>17.952882900000002</v>
      </c>
      <c r="F208" s="29">
        <v>10</v>
      </c>
      <c r="G208" s="32">
        <v>1.6</v>
      </c>
      <c r="H208" s="29">
        <v>0.024</v>
      </c>
      <c r="I208" s="57">
        <v>21</v>
      </c>
      <c r="J208" s="57">
        <v>76.7429140625</v>
      </c>
    </row>
    <row r="209" spans="1:10" ht="12.75">
      <c r="A209" s="29" t="s">
        <v>48</v>
      </c>
      <c r="B209" s="59">
        <v>37454</v>
      </c>
      <c r="C209" s="22">
        <v>0.8298611111111112</v>
      </c>
      <c r="D209" s="29">
        <v>536</v>
      </c>
      <c r="E209" s="45">
        <v>15.177831600000001</v>
      </c>
      <c r="F209" s="29">
        <v>11</v>
      </c>
      <c r="G209" s="32">
        <v>1.6</v>
      </c>
      <c r="H209" s="29">
        <v>0.037</v>
      </c>
      <c r="I209" s="57">
        <v>22</v>
      </c>
      <c r="J209" s="57">
        <v>78.01401822916668</v>
      </c>
    </row>
    <row r="210" spans="1:10" ht="12.75">
      <c r="A210" s="29" t="s">
        <v>49</v>
      </c>
      <c r="B210" s="59">
        <v>37462</v>
      </c>
      <c r="C210" s="22">
        <v>0.625</v>
      </c>
      <c r="D210" s="29">
        <v>415</v>
      </c>
      <c r="E210" s="45">
        <v>11.75149275</v>
      </c>
      <c r="F210" s="29">
        <v>13</v>
      </c>
      <c r="G210" s="32">
        <v>1.8</v>
      </c>
      <c r="H210" s="29">
        <v>0.042</v>
      </c>
      <c r="I210" s="57">
        <v>27</v>
      </c>
      <c r="J210" s="57">
        <v>83.4162109375</v>
      </c>
    </row>
    <row r="211" spans="1:10" ht="12.75">
      <c r="A211" s="29" t="s">
        <v>50</v>
      </c>
      <c r="B211" s="59">
        <v>37482</v>
      </c>
      <c r="C211" s="22">
        <v>0.6666666666666666</v>
      </c>
      <c r="D211" s="29">
        <v>276</v>
      </c>
      <c r="E211" s="45">
        <v>7.8154506</v>
      </c>
      <c r="F211" s="29">
        <v>17</v>
      </c>
      <c r="G211" s="39">
        <v>2</v>
      </c>
      <c r="H211" s="29">
        <v>0.053</v>
      </c>
      <c r="I211" s="57">
        <v>35</v>
      </c>
      <c r="J211" s="57">
        <v>88.97729166666667</v>
      </c>
    </row>
    <row r="212" spans="1:10" ht="12.75">
      <c r="A212" s="29" t="s">
        <v>51</v>
      </c>
      <c r="B212" s="59">
        <v>37497</v>
      </c>
      <c r="C212" s="22">
        <v>0.625</v>
      </c>
      <c r="D212" s="29">
        <v>281</v>
      </c>
      <c r="E212" s="45">
        <v>7.95703485</v>
      </c>
      <c r="F212" s="29">
        <v>17</v>
      </c>
      <c r="G212" s="32">
        <v>1.9</v>
      </c>
      <c r="H212" s="29">
        <v>0.051</v>
      </c>
      <c r="I212" s="57">
        <v>36</v>
      </c>
      <c r="J212" s="57">
        <v>99.94056510416667</v>
      </c>
    </row>
    <row r="213" spans="1:10" ht="12.75">
      <c r="A213" s="29" t="s">
        <v>52</v>
      </c>
      <c r="B213" s="59">
        <v>37511</v>
      </c>
      <c r="C213" s="22">
        <v>0.7326388888888888</v>
      </c>
      <c r="D213" s="29">
        <v>311</v>
      </c>
      <c r="E213" s="45">
        <v>8.80654035</v>
      </c>
      <c r="F213" s="29">
        <v>18</v>
      </c>
      <c r="G213" s="32">
        <v>2.1</v>
      </c>
      <c r="H213" s="29">
        <v>0.055</v>
      </c>
      <c r="I213" s="57">
        <v>33</v>
      </c>
      <c r="J213" s="57">
        <v>92.63171614583334</v>
      </c>
    </row>
    <row r="214" spans="1:10" ht="12.75">
      <c r="A214" s="29" t="s">
        <v>53</v>
      </c>
      <c r="B214" s="59">
        <v>37528</v>
      </c>
      <c r="C214" s="22">
        <v>0.6041666666666666</v>
      </c>
      <c r="D214" s="29">
        <v>252</v>
      </c>
      <c r="E214" s="45">
        <v>7.1358462000000005</v>
      </c>
      <c r="F214" s="29">
        <v>20</v>
      </c>
      <c r="G214" s="32">
        <v>2.1</v>
      </c>
      <c r="H214" s="29">
        <v>0.061</v>
      </c>
      <c r="I214" s="57">
        <v>37</v>
      </c>
      <c r="J214" s="57">
        <v>100.89389322916666</v>
      </c>
    </row>
    <row r="215" ht="12.75">
      <c r="A215" s="60" t="s">
        <v>667</v>
      </c>
    </row>
    <row r="216" spans="1:14" ht="12.75" customHeight="1">
      <c r="A216" s="29" t="s">
        <v>286</v>
      </c>
      <c r="B216" s="149">
        <v>37538</v>
      </c>
      <c r="C216" s="22">
        <v>0.625</v>
      </c>
      <c r="D216" s="29">
        <v>281</v>
      </c>
      <c r="E216" s="145"/>
      <c r="F216" s="29">
        <v>19</v>
      </c>
      <c r="G216" s="32">
        <v>2.1</v>
      </c>
      <c r="H216" s="45">
        <v>0.058</v>
      </c>
      <c r="I216" s="29">
        <v>35</v>
      </c>
      <c r="J216" s="57">
        <v>97.23946875</v>
      </c>
      <c r="K216" s="32"/>
      <c r="N216" s="45"/>
    </row>
    <row r="217" spans="1:14" ht="12.75" customHeight="1">
      <c r="A217" s="29" t="s">
        <v>287</v>
      </c>
      <c r="B217" s="149">
        <v>37547</v>
      </c>
      <c r="C217" s="22">
        <v>0.6875</v>
      </c>
      <c r="D217" s="29">
        <v>248</v>
      </c>
      <c r="E217" s="145"/>
      <c r="F217" s="29">
        <v>19</v>
      </c>
      <c r="G217" s="32">
        <v>2.3</v>
      </c>
      <c r="H217" s="45">
        <v>0.068</v>
      </c>
      <c r="I217" s="29">
        <v>32</v>
      </c>
      <c r="J217" s="57">
        <v>92.63171614583334</v>
      </c>
      <c r="K217" s="32"/>
      <c r="N217" s="45"/>
    </row>
    <row r="218" spans="1:14" ht="12.75" customHeight="1">
      <c r="A218" s="29" t="s">
        <v>288</v>
      </c>
      <c r="B218" s="149">
        <v>37554</v>
      </c>
      <c r="C218" s="22">
        <v>0.5972222222222222</v>
      </c>
      <c r="D218" s="29">
        <v>256</v>
      </c>
      <c r="E218" s="145"/>
      <c r="F218" s="29">
        <v>20</v>
      </c>
      <c r="G218" s="32">
        <v>2.3</v>
      </c>
      <c r="H218" s="45">
        <v>0.069</v>
      </c>
      <c r="I218" s="29">
        <v>34</v>
      </c>
      <c r="J218" s="57">
        <v>94.22059635416666</v>
      </c>
      <c r="K218" s="32"/>
      <c r="N218" s="45"/>
    </row>
    <row r="219" spans="1:14" ht="12.75" customHeight="1">
      <c r="A219" s="29" t="s">
        <v>289</v>
      </c>
      <c r="B219" s="149">
        <v>37607</v>
      </c>
      <c r="C219" s="22">
        <v>0.5659722222222222</v>
      </c>
      <c r="D219" s="29">
        <v>306</v>
      </c>
      <c r="E219" s="145"/>
      <c r="F219" s="29">
        <v>20</v>
      </c>
      <c r="G219" s="32">
        <v>2.5</v>
      </c>
      <c r="H219" s="45">
        <v>0.06</v>
      </c>
      <c r="I219" s="29">
        <v>31</v>
      </c>
      <c r="J219" s="57">
        <v>89.77173177083334</v>
      </c>
      <c r="K219" s="32"/>
      <c r="N219" s="45"/>
    </row>
    <row r="220" spans="1:14" ht="12.75" customHeight="1">
      <c r="A220" s="29" t="s">
        <v>290</v>
      </c>
      <c r="B220" s="149">
        <v>37637</v>
      </c>
      <c r="C220" s="22">
        <v>0.625</v>
      </c>
      <c r="D220" s="29">
        <v>311</v>
      </c>
      <c r="E220" s="145"/>
      <c r="F220" s="29">
        <v>20</v>
      </c>
      <c r="G220" s="32">
        <v>2.5</v>
      </c>
      <c r="H220" s="45">
        <v>0.073</v>
      </c>
      <c r="I220" s="29">
        <v>30</v>
      </c>
      <c r="J220" s="57">
        <v>86.91174739583333</v>
      </c>
      <c r="K220" s="32"/>
      <c r="N220" s="45"/>
    </row>
    <row r="221" spans="1:14" ht="12.75" customHeight="1">
      <c r="A221" s="29" t="s">
        <v>291</v>
      </c>
      <c r="B221" s="149">
        <v>37665</v>
      </c>
      <c r="C221" s="22">
        <v>0.6875</v>
      </c>
      <c r="D221" s="29">
        <v>342</v>
      </c>
      <c r="E221" s="145"/>
      <c r="F221" s="29">
        <v>20</v>
      </c>
      <c r="G221" s="32">
        <v>2.5</v>
      </c>
      <c r="H221" s="45">
        <v>0.059</v>
      </c>
      <c r="I221" s="29">
        <v>30</v>
      </c>
      <c r="J221" s="57">
        <v>83.89287500000002</v>
      </c>
      <c r="K221" s="32"/>
      <c r="N221" s="45"/>
    </row>
    <row r="222" spans="1:14" ht="12.75">
      <c r="A222" s="1" t="s">
        <v>292</v>
      </c>
      <c r="B222" s="99">
        <v>37687</v>
      </c>
      <c r="C222" s="10">
        <v>0.5</v>
      </c>
      <c r="D222" s="1">
        <v>302</v>
      </c>
      <c r="F222" s="1">
        <v>19.6</v>
      </c>
      <c r="G222" s="1">
        <v>2.65</v>
      </c>
      <c r="H222" s="1">
        <v>0.03</v>
      </c>
      <c r="I222" s="1">
        <v>29</v>
      </c>
      <c r="J222" s="57">
        <v>83.25732291666667</v>
      </c>
      <c r="N222" s="1"/>
    </row>
    <row r="223" spans="1:14" ht="12.75">
      <c r="A223" s="1" t="s">
        <v>293</v>
      </c>
      <c r="B223" s="99">
        <v>37701</v>
      </c>
      <c r="C223" s="10">
        <v>0.5</v>
      </c>
      <c r="D223" s="1">
        <v>333</v>
      </c>
      <c r="F223" s="1">
        <v>18.8</v>
      </c>
      <c r="G223" s="1">
        <v>2.42</v>
      </c>
      <c r="H223" s="1">
        <v>0.03</v>
      </c>
      <c r="I223" s="1">
        <v>28.9</v>
      </c>
      <c r="J223" s="57">
        <v>82.93954687499999</v>
      </c>
      <c r="N223" s="1"/>
    </row>
    <row r="224" spans="1:14" ht="12.75">
      <c r="A224" s="1" t="s">
        <v>676</v>
      </c>
      <c r="B224" s="99">
        <v>37716</v>
      </c>
      <c r="C224" s="10">
        <v>0.5</v>
      </c>
      <c r="D224" s="1">
        <v>342</v>
      </c>
      <c r="F224" s="1">
        <v>9.26</v>
      </c>
      <c r="G224" s="1">
        <v>1.32</v>
      </c>
      <c r="H224" s="1">
        <v>0.02</v>
      </c>
      <c r="I224" s="1">
        <v>20.7</v>
      </c>
      <c r="J224" s="57">
        <v>86.752859375</v>
      </c>
      <c r="N224" s="1"/>
    </row>
    <row r="225" spans="1:14" ht="12.75">
      <c r="A225" s="1" t="s">
        <v>294</v>
      </c>
      <c r="B225" s="99">
        <v>37720</v>
      </c>
      <c r="C225" s="10">
        <v>0.5</v>
      </c>
      <c r="D225" s="1">
        <v>342</v>
      </c>
      <c r="F225" s="1">
        <v>18.7</v>
      </c>
      <c r="G225" s="1">
        <v>2.49</v>
      </c>
      <c r="H225" s="1">
        <v>0.03</v>
      </c>
      <c r="I225" s="1">
        <v>28.3</v>
      </c>
      <c r="J225" s="57">
        <v>95.96836458333333</v>
      </c>
      <c r="N225" s="1"/>
    </row>
    <row r="226" spans="1:14" ht="12.75">
      <c r="A226" s="1" t="s">
        <v>295</v>
      </c>
      <c r="B226" s="99">
        <v>37735</v>
      </c>
      <c r="C226" s="10">
        <v>0.5</v>
      </c>
      <c r="D226" s="1">
        <v>948</v>
      </c>
      <c r="F226" s="1">
        <v>8.46</v>
      </c>
      <c r="G226" s="1">
        <v>1.12</v>
      </c>
      <c r="H226" s="1">
        <v>0.01</v>
      </c>
      <c r="I226" s="1">
        <v>16.9</v>
      </c>
      <c r="J226" s="57">
        <v>69.91072916666667</v>
      </c>
      <c r="N226" s="1"/>
    </row>
    <row r="227" spans="1:14" ht="12.75">
      <c r="A227" s="1" t="s">
        <v>296</v>
      </c>
      <c r="B227" s="99">
        <v>37750</v>
      </c>
      <c r="C227" s="10">
        <v>0.5</v>
      </c>
      <c r="D227" s="1">
        <v>1160</v>
      </c>
      <c r="F227" s="1">
        <v>7.79</v>
      </c>
      <c r="G227" s="1">
        <v>1.23</v>
      </c>
      <c r="H227" s="1">
        <v>0.01</v>
      </c>
      <c r="I227" s="1">
        <v>15.3</v>
      </c>
      <c r="J227" s="57">
        <v>74.35959375</v>
      </c>
      <c r="N227" s="1"/>
    </row>
    <row r="228" spans="1:14" ht="12.75">
      <c r="A228" s="1" t="s">
        <v>297</v>
      </c>
      <c r="B228" s="99">
        <v>37756</v>
      </c>
      <c r="C228" s="10">
        <v>0.5</v>
      </c>
      <c r="D228" s="1">
        <v>2420</v>
      </c>
      <c r="F228" s="1">
        <v>3.64</v>
      </c>
      <c r="G228" s="1">
        <v>0.74</v>
      </c>
      <c r="H228" s="1" t="s">
        <v>673</v>
      </c>
      <c r="I228" s="1">
        <v>9.13</v>
      </c>
      <c r="J228" s="57">
        <v>61.648552083333335</v>
      </c>
      <c r="N228" s="1"/>
    </row>
    <row r="229" spans="1:14" ht="12.75">
      <c r="A229" s="1" t="s">
        <v>298</v>
      </c>
      <c r="B229" s="99">
        <v>37762</v>
      </c>
      <c r="C229" s="10">
        <v>0.5</v>
      </c>
      <c r="D229" s="1">
        <v>2650</v>
      </c>
      <c r="F229" s="1">
        <v>4.35</v>
      </c>
      <c r="G229" s="1">
        <v>0.83</v>
      </c>
      <c r="H229" s="1" t="s">
        <v>673</v>
      </c>
      <c r="I229" s="1">
        <v>8.52</v>
      </c>
      <c r="J229" s="57">
        <v>53.386374999999994</v>
      </c>
      <c r="N229" s="1"/>
    </row>
    <row r="230" spans="1:14" ht="12.75">
      <c r="A230" s="1" t="s">
        <v>299</v>
      </c>
      <c r="B230" s="99">
        <v>37770</v>
      </c>
      <c r="C230" s="10">
        <v>0.5</v>
      </c>
      <c r="D230" s="1">
        <v>5490</v>
      </c>
      <c r="F230" s="1">
        <v>2.25</v>
      </c>
      <c r="G230" s="1">
        <v>0.59</v>
      </c>
      <c r="H230" s="1" t="s">
        <v>673</v>
      </c>
      <c r="I230" s="1">
        <v>5.72</v>
      </c>
      <c r="J230" s="57">
        <v>50.208614583333336</v>
      </c>
      <c r="N230" s="1"/>
    </row>
    <row r="231" spans="1:14" ht="12.75">
      <c r="A231" s="1" t="s">
        <v>300</v>
      </c>
      <c r="B231" s="99">
        <v>37776</v>
      </c>
      <c r="C231" s="10">
        <v>0.5</v>
      </c>
      <c r="D231" s="1">
        <v>3430</v>
      </c>
      <c r="F231" s="1">
        <v>3.69</v>
      </c>
      <c r="G231" s="1">
        <v>0.77</v>
      </c>
      <c r="H231" s="1" t="s">
        <v>673</v>
      </c>
      <c r="I231" s="1">
        <v>8</v>
      </c>
      <c r="J231" s="57">
        <v>53.386374999999994</v>
      </c>
      <c r="N231" s="1"/>
    </row>
    <row r="232" spans="1:14" ht="12.75">
      <c r="A232" s="1" t="s">
        <v>301</v>
      </c>
      <c r="B232" s="99">
        <v>37783</v>
      </c>
      <c r="C232" s="10">
        <v>0.5</v>
      </c>
      <c r="D232" s="1">
        <v>2620</v>
      </c>
      <c r="F232" s="1">
        <v>3.77</v>
      </c>
      <c r="G232" s="1">
        <v>0.72</v>
      </c>
      <c r="H232" s="1" t="s">
        <v>673</v>
      </c>
      <c r="I232" s="1">
        <v>7.58</v>
      </c>
      <c r="J232" s="57">
        <v>47.03085416666667</v>
      </c>
      <c r="N232" s="1"/>
    </row>
    <row r="233" spans="1:14" ht="12.75">
      <c r="A233" s="1" t="s">
        <v>302</v>
      </c>
      <c r="B233" s="99">
        <v>37797</v>
      </c>
      <c r="C233" s="10">
        <v>0.5</v>
      </c>
      <c r="D233" s="1">
        <v>1060</v>
      </c>
      <c r="F233" s="1">
        <v>7.65</v>
      </c>
      <c r="G233" s="1">
        <v>1.27</v>
      </c>
      <c r="H233" s="1">
        <v>0.01</v>
      </c>
      <c r="I233" s="1">
        <v>15.3</v>
      </c>
      <c r="J233" s="57">
        <v>63.872984375</v>
      </c>
      <c r="N233" s="1"/>
    </row>
    <row r="234" spans="1:14" ht="12.75">
      <c r="A234" s="1" t="s">
        <v>303</v>
      </c>
      <c r="B234" s="99">
        <v>37805</v>
      </c>
      <c r="C234" s="10">
        <v>0.5</v>
      </c>
      <c r="D234" s="1">
        <v>747</v>
      </c>
      <c r="F234" s="1">
        <v>9.68</v>
      </c>
      <c r="G234" s="1">
        <v>1.47</v>
      </c>
      <c r="H234" s="1">
        <v>0.02</v>
      </c>
      <c r="I234" s="1">
        <v>18.9</v>
      </c>
      <c r="J234" s="57">
        <v>67.36852083333333</v>
      </c>
      <c r="N234" s="1"/>
    </row>
    <row r="235" spans="1:14" ht="12.75">
      <c r="A235" s="1" t="s">
        <v>304</v>
      </c>
      <c r="B235" s="99">
        <v>37812</v>
      </c>
      <c r="C235" s="10">
        <v>0.5</v>
      </c>
      <c r="D235" s="1">
        <v>542</v>
      </c>
      <c r="F235" s="1">
        <v>11.4</v>
      </c>
      <c r="G235" s="1">
        <v>1.64</v>
      </c>
      <c r="H235" s="1">
        <v>0.02</v>
      </c>
      <c r="I235" s="1">
        <v>22.7</v>
      </c>
      <c r="J235" s="57">
        <v>73.08848958333334</v>
      </c>
      <c r="N235" s="1"/>
    </row>
    <row r="236" spans="1:14" ht="12.75">
      <c r="A236" s="1" t="s">
        <v>305</v>
      </c>
      <c r="B236" s="99">
        <v>37818</v>
      </c>
      <c r="C236" s="10">
        <v>0.5</v>
      </c>
      <c r="D236" s="1">
        <v>441</v>
      </c>
      <c r="F236" s="1">
        <v>12.6</v>
      </c>
      <c r="G236" s="1">
        <v>1.72</v>
      </c>
      <c r="H236" s="1">
        <v>0.03</v>
      </c>
      <c r="I236" s="1">
        <v>25.5</v>
      </c>
      <c r="J236" s="57">
        <v>78.80845833333333</v>
      </c>
      <c r="N236" s="1"/>
    </row>
    <row r="237" spans="1:14" ht="12.75">
      <c r="A237" s="1" t="s">
        <v>677</v>
      </c>
      <c r="B237" s="99">
        <v>37820</v>
      </c>
      <c r="C237" s="10">
        <v>0.5</v>
      </c>
      <c r="D237" s="1">
        <v>425</v>
      </c>
      <c r="F237" s="1">
        <v>5.05</v>
      </c>
      <c r="G237" s="1">
        <v>0.89</v>
      </c>
      <c r="H237" s="1" t="s">
        <v>673</v>
      </c>
      <c r="I237" s="1">
        <v>10.1</v>
      </c>
      <c r="J237" s="57">
        <v>52.75082291666667</v>
      </c>
      <c r="N237" s="1"/>
    </row>
    <row r="238" spans="1:14" ht="12.75">
      <c r="A238" s="1" t="s">
        <v>306</v>
      </c>
      <c r="B238" s="99">
        <v>37825</v>
      </c>
      <c r="C238" s="10">
        <v>0.5</v>
      </c>
      <c r="D238" s="1">
        <v>375</v>
      </c>
      <c r="F238" s="1">
        <v>14</v>
      </c>
      <c r="G238" s="1">
        <v>1.85</v>
      </c>
      <c r="H238" s="1">
        <v>0.03</v>
      </c>
      <c r="I238" s="1">
        <v>28.2</v>
      </c>
      <c r="J238" s="57">
        <v>81.66844270833333</v>
      </c>
      <c r="N238" s="1"/>
    </row>
    <row r="239" spans="1:14" ht="12.75">
      <c r="A239" s="1" t="s">
        <v>307</v>
      </c>
      <c r="B239" s="99">
        <v>37832</v>
      </c>
      <c r="C239" s="10">
        <v>0.5</v>
      </c>
      <c r="D239" s="1">
        <v>324</v>
      </c>
      <c r="F239" s="1">
        <v>15.6</v>
      </c>
      <c r="G239" s="1">
        <v>1.97</v>
      </c>
      <c r="H239" s="1">
        <v>0.03</v>
      </c>
      <c r="I239" s="1">
        <v>31.7</v>
      </c>
      <c r="J239" s="57">
        <v>91.5195</v>
      </c>
      <c r="N239" s="1"/>
    </row>
    <row r="240" spans="1:14" ht="12.75">
      <c r="A240" s="1" t="s">
        <v>308</v>
      </c>
      <c r="B240" s="99">
        <v>37840</v>
      </c>
      <c r="C240" s="10">
        <v>0.5</v>
      </c>
      <c r="D240" s="1">
        <v>298</v>
      </c>
      <c r="F240" s="1">
        <v>16.3</v>
      </c>
      <c r="G240" s="1">
        <v>1.97</v>
      </c>
      <c r="H240" s="1">
        <v>0.03</v>
      </c>
      <c r="I240" s="1">
        <v>33.1</v>
      </c>
      <c r="J240" s="57">
        <v>93.10838020833334</v>
      </c>
      <c r="N240" s="1"/>
    </row>
    <row r="241" spans="1:14" ht="12.75">
      <c r="A241" s="1" t="s">
        <v>309</v>
      </c>
      <c r="B241" s="99">
        <v>37846</v>
      </c>
      <c r="C241" s="10">
        <v>0.5</v>
      </c>
      <c r="D241" s="1">
        <v>276</v>
      </c>
      <c r="F241" s="1">
        <v>17</v>
      </c>
      <c r="G241" s="1">
        <v>2.02</v>
      </c>
      <c r="H241" s="1">
        <v>0.03</v>
      </c>
      <c r="I241" s="1">
        <v>34.8</v>
      </c>
      <c r="J241" s="57">
        <v>95.65058854166668</v>
      </c>
      <c r="N241" s="1"/>
    </row>
    <row r="242" spans="1:14" ht="12.75">
      <c r="A242" s="1" t="s">
        <v>310</v>
      </c>
      <c r="B242" s="99">
        <v>37861</v>
      </c>
      <c r="C242" s="10">
        <v>0.5</v>
      </c>
      <c r="D242" s="1">
        <v>241</v>
      </c>
      <c r="F242" s="1">
        <v>18.4</v>
      </c>
      <c r="G242" s="1">
        <v>2.07</v>
      </c>
      <c r="H242" s="1">
        <v>0.04</v>
      </c>
      <c r="I242" s="1">
        <v>38.2</v>
      </c>
      <c r="J242" s="57">
        <v>100.41722916666667</v>
      </c>
      <c r="N242" s="1"/>
    </row>
    <row r="243" ht="12.75">
      <c r="A243" s="60" t="s">
        <v>672</v>
      </c>
    </row>
    <row r="244" spans="1:10" ht="12.75">
      <c r="A244" s="100" t="s">
        <v>311</v>
      </c>
      <c r="B244" s="21">
        <v>37903</v>
      </c>
      <c r="C244" s="1" t="s">
        <v>678</v>
      </c>
      <c r="D244" s="82">
        <v>213</v>
      </c>
      <c r="F244" s="7">
        <v>19.1</v>
      </c>
      <c r="G244" s="7">
        <v>2.5</v>
      </c>
      <c r="H244" s="7">
        <v>0.04</v>
      </c>
      <c r="I244" s="7">
        <v>29.7</v>
      </c>
      <c r="J244" s="25">
        <v>98.51057291666667</v>
      </c>
    </row>
    <row r="245" spans="1:10" ht="12.75">
      <c r="A245" s="100" t="s">
        <v>312</v>
      </c>
      <c r="B245" s="21">
        <v>37909</v>
      </c>
      <c r="C245" s="1" t="s">
        <v>678</v>
      </c>
      <c r="D245" s="82">
        <v>216</v>
      </c>
      <c r="F245" s="7">
        <v>21</v>
      </c>
      <c r="G245" s="7">
        <v>2.32</v>
      </c>
      <c r="H245" s="7">
        <v>0.04</v>
      </c>
      <c r="I245" s="7">
        <v>40</v>
      </c>
      <c r="J245" s="25">
        <v>104.86609375</v>
      </c>
    </row>
    <row r="246" spans="1:10" ht="12.75">
      <c r="A246" s="100" t="s">
        <v>313</v>
      </c>
      <c r="B246" s="21">
        <v>37940</v>
      </c>
      <c r="C246" s="1" t="s">
        <v>678</v>
      </c>
      <c r="D246" s="82">
        <v>286</v>
      </c>
      <c r="F246" s="7">
        <v>18.9</v>
      </c>
      <c r="G246" s="7">
        <v>2.12</v>
      </c>
      <c r="H246" s="7">
        <v>0.04</v>
      </c>
      <c r="I246" s="7">
        <v>36.7</v>
      </c>
      <c r="J246" s="25">
        <v>82.62177083333333</v>
      </c>
    </row>
    <row r="247" spans="1:10" ht="12.75">
      <c r="A247" s="100" t="s">
        <v>314</v>
      </c>
      <c r="B247" s="21">
        <v>37969</v>
      </c>
      <c r="C247" s="1" t="s">
        <v>678</v>
      </c>
      <c r="D247" s="82">
        <v>338</v>
      </c>
      <c r="F247" s="7">
        <v>18.9</v>
      </c>
      <c r="G247" s="7">
        <v>2.64</v>
      </c>
      <c r="H247" s="7">
        <v>0.04</v>
      </c>
      <c r="I247" s="7">
        <v>28.1</v>
      </c>
      <c r="J247" s="25">
        <v>81.35066666666667</v>
      </c>
    </row>
    <row r="248" spans="1:10" ht="12.75">
      <c r="A248" s="100" t="s">
        <v>315</v>
      </c>
      <c r="B248" s="21">
        <v>38003</v>
      </c>
      <c r="C248" s="1" t="s">
        <v>678</v>
      </c>
      <c r="D248" s="82">
        <v>326</v>
      </c>
      <c r="F248" s="7">
        <v>18.8</v>
      </c>
      <c r="G248" s="7">
        <v>2.66</v>
      </c>
      <c r="H248" s="7">
        <v>0.04</v>
      </c>
      <c r="I248" s="7">
        <v>27.6</v>
      </c>
      <c r="J248" s="25">
        <v>82.62177083333333</v>
      </c>
    </row>
    <row r="249" spans="1:10" ht="12.75">
      <c r="A249" s="100" t="s">
        <v>316</v>
      </c>
      <c r="B249" s="21">
        <v>38030</v>
      </c>
      <c r="C249" s="1" t="s">
        <v>678</v>
      </c>
      <c r="D249" s="82">
        <v>279</v>
      </c>
      <c r="F249" s="7">
        <v>22.4</v>
      </c>
      <c r="G249" s="7">
        <v>2.65</v>
      </c>
      <c r="H249" s="7">
        <v>0.05</v>
      </c>
      <c r="I249" s="7">
        <v>36.9</v>
      </c>
      <c r="J249" s="25">
        <v>99.46390104166667</v>
      </c>
    </row>
    <row r="250" spans="1:10" ht="12.75">
      <c r="A250" s="100" t="s">
        <v>317</v>
      </c>
      <c r="B250" s="21">
        <v>38052</v>
      </c>
      <c r="C250" s="1" t="s">
        <v>678</v>
      </c>
      <c r="D250" s="82">
        <v>290</v>
      </c>
      <c r="F250" s="7">
        <v>21.6</v>
      </c>
      <c r="G250" s="7">
        <v>2.64</v>
      </c>
      <c r="H250" s="7">
        <v>0.05</v>
      </c>
      <c r="I250" s="7">
        <v>33.5</v>
      </c>
      <c r="J250" s="25">
        <v>93.42615625</v>
      </c>
    </row>
    <row r="251" spans="1:10" ht="12.75">
      <c r="A251" s="100" t="s">
        <v>318</v>
      </c>
      <c r="B251" s="21">
        <v>38066</v>
      </c>
      <c r="C251" s="1" t="s">
        <v>678</v>
      </c>
      <c r="D251" s="82">
        <v>319</v>
      </c>
      <c r="F251" s="7">
        <v>18.1</v>
      </c>
      <c r="G251" s="7">
        <v>2.14</v>
      </c>
      <c r="H251" s="7">
        <v>0.03</v>
      </c>
      <c r="I251" s="7">
        <v>32.1</v>
      </c>
      <c r="J251" s="25">
        <v>91.5195</v>
      </c>
    </row>
    <row r="252" spans="1:10" ht="12.75">
      <c r="A252" s="100" t="s">
        <v>319</v>
      </c>
      <c r="B252" s="21">
        <v>38087</v>
      </c>
      <c r="C252" s="1" t="s">
        <v>678</v>
      </c>
      <c r="D252" s="82">
        <v>703</v>
      </c>
      <c r="F252" s="7">
        <v>10.4</v>
      </c>
      <c r="G252" s="7">
        <v>1.29</v>
      </c>
      <c r="H252" s="7">
        <v>0.02</v>
      </c>
      <c r="I252" s="7">
        <v>21.7</v>
      </c>
      <c r="J252" s="25">
        <v>78.17290625</v>
      </c>
    </row>
    <row r="253" spans="1:10" ht="12.75">
      <c r="A253" s="100" t="s">
        <v>320</v>
      </c>
      <c r="B253" s="21">
        <v>38094</v>
      </c>
      <c r="C253" s="1" t="s">
        <v>678</v>
      </c>
      <c r="D253" s="82">
        <v>836</v>
      </c>
      <c r="F253" s="7">
        <v>8.41</v>
      </c>
      <c r="G253" s="7">
        <v>1.1</v>
      </c>
      <c r="H253" s="7">
        <v>0.01</v>
      </c>
      <c r="I253" s="7">
        <v>17.2</v>
      </c>
      <c r="J253" s="25">
        <v>68.00407291666667</v>
      </c>
    </row>
    <row r="254" spans="1:10" ht="12.75">
      <c r="A254" s="100" t="s">
        <v>321</v>
      </c>
      <c r="B254" s="21">
        <v>38102</v>
      </c>
      <c r="C254" s="1" t="s">
        <v>678</v>
      </c>
      <c r="D254" s="82">
        <v>763</v>
      </c>
      <c r="F254" s="7">
        <v>9.76</v>
      </c>
      <c r="G254" s="7">
        <v>1.33</v>
      </c>
      <c r="H254" s="7">
        <v>0.02</v>
      </c>
      <c r="I254" s="7">
        <v>18.5</v>
      </c>
      <c r="J254" s="25">
        <v>74.35959375</v>
      </c>
    </row>
    <row r="255" spans="1:10" ht="12.75">
      <c r="A255" s="100" t="s">
        <v>322</v>
      </c>
      <c r="B255" s="21">
        <v>38108</v>
      </c>
      <c r="C255" s="1" t="s">
        <v>678</v>
      </c>
      <c r="D255" s="82">
        <v>1360</v>
      </c>
      <c r="F255" s="7">
        <v>6.26</v>
      </c>
      <c r="G255" s="7">
        <v>0.92</v>
      </c>
      <c r="H255" s="7" t="s">
        <v>673</v>
      </c>
      <c r="I255" s="7">
        <v>13</v>
      </c>
      <c r="J255" s="25">
        <v>60.69522395833334</v>
      </c>
    </row>
    <row r="256" spans="1:10" ht="12.75">
      <c r="A256" s="100" t="s">
        <v>323</v>
      </c>
      <c r="B256" s="19">
        <v>38116</v>
      </c>
      <c r="C256" s="1" t="s">
        <v>678</v>
      </c>
      <c r="D256" s="82">
        <v>3840</v>
      </c>
      <c r="F256" s="7">
        <v>3.64</v>
      </c>
      <c r="G256" s="7">
        <v>0.66</v>
      </c>
      <c r="H256" s="7" t="s">
        <v>673</v>
      </c>
      <c r="I256" s="7">
        <v>6.51</v>
      </c>
      <c r="J256" s="25">
        <v>42.58198958333334</v>
      </c>
    </row>
    <row r="257" spans="1:10" ht="12.75">
      <c r="A257" s="100" t="s">
        <v>324</v>
      </c>
      <c r="B257" s="19">
        <v>38122</v>
      </c>
      <c r="C257" s="1" t="s">
        <v>678</v>
      </c>
      <c r="D257" s="82">
        <v>1700</v>
      </c>
      <c r="F257" s="7">
        <v>7.05</v>
      </c>
      <c r="G257" s="7">
        <v>1.07</v>
      </c>
      <c r="H257" s="7">
        <v>0.01</v>
      </c>
      <c r="I257" s="7">
        <v>11.1</v>
      </c>
      <c r="J257" s="25">
        <v>54.65747916666667</v>
      </c>
    </row>
    <row r="258" spans="1:10" ht="12.75">
      <c r="A258" s="100" t="s">
        <v>325</v>
      </c>
      <c r="B258" s="19">
        <v>38129</v>
      </c>
      <c r="C258" s="10">
        <v>0.6236111111111111</v>
      </c>
      <c r="D258" s="1">
        <v>2350</v>
      </c>
      <c r="F258" s="7">
        <v>4.94</v>
      </c>
      <c r="G258" s="7">
        <v>0.84</v>
      </c>
      <c r="H258" s="7">
        <v>0.01</v>
      </c>
      <c r="I258" s="7">
        <v>8.48</v>
      </c>
      <c r="J258" s="25">
        <v>47.66640625</v>
      </c>
    </row>
    <row r="259" spans="1:10" ht="12.75">
      <c r="A259" s="100" t="s">
        <v>326</v>
      </c>
      <c r="B259" s="19">
        <v>38136</v>
      </c>
      <c r="C259" s="10">
        <v>0.6805555555555555</v>
      </c>
      <c r="D259" s="1">
        <v>3030</v>
      </c>
      <c r="F259" s="7">
        <v>4.07</v>
      </c>
      <c r="G259" s="7">
        <v>0.71</v>
      </c>
      <c r="H259" s="7" t="s">
        <v>673</v>
      </c>
      <c r="I259" s="7">
        <v>7.42</v>
      </c>
      <c r="J259" s="25">
        <v>47.34863020833334</v>
      </c>
    </row>
    <row r="260" spans="1:10" ht="12.75">
      <c r="A260" s="100" t="s">
        <v>327</v>
      </c>
      <c r="B260" s="19">
        <v>38143</v>
      </c>
      <c r="C260" s="10">
        <v>0.5833333333333334</v>
      </c>
      <c r="D260" s="1">
        <v>2960</v>
      </c>
      <c r="F260" s="7">
        <v>3.6</v>
      </c>
      <c r="G260" s="7">
        <v>0.62</v>
      </c>
      <c r="H260" s="7" t="s">
        <v>673</v>
      </c>
      <c r="I260" s="7">
        <v>6.81</v>
      </c>
      <c r="J260" s="25">
        <v>45.75975</v>
      </c>
    </row>
    <row r="261" spans="1:10" ht="12.75">
      <c r="A261" s="100" t="s">
        <v>328</v>
      </c>
      <c r="B261" s="19">
        <v>38151</v>
      </c>
      <c r="C261" s="10">
        <v>0.7013888888888888</v>
      </c>
      <c r="D261" s="1">
        <v>1900</v>
      </c>
      <c r="F261" s="7">
        <v>5.49</v>
      </c>
      <c r="G261" s="7">
        <v>0.92</v>
      </c>
      <c r="H261" s="7">
        <v>0.01</v>
      </c>
      <c r="I261" s="7">
        <v>9.94</v>
      </c>
      <c r="J261" s="25">
        <v>52.11527083333333</v>
      </c>
    </row>
    <row r="262" spans="1:10" ht="12.75">
      <c r="A262" s="100" t="s">
        <v>329</v>
      </c>
      <c r="B262" s="19">
        <v>38157</v>
      </c>
      <c r="C262" s="10">
        <v>0.4375</v>
      </c>
      <c r="D262" s="1">
        <v>1700</v>
      </c>
      <c r="F262" s="7">
        <v>5.45</v>
      </c>
      <c r="G262" s="7">
        <v>0.89</v>
      </c>
      <c r="H262" s="7">
        <v>0.01</v>
      </c>
      <c r="I262" s="7">
        <v>10.2</v>
      </c>
      <c r="J262" s="25">
        <v>52.433046875</v>
      </c>
    </row>
    <row r="263" spans="1:10" ht="12.75">
      <c r="A263" s="100" t="s">
        <v>330</v>
      </c>
      <c r="B263" s="19">
        <v>38167</v>
      </c>
      <c r="C263" s="10">
        <v>0.75</v>
      </c>
      <c r="D263" s="1">
        <v>1160</v>
      </c>
      <c r="F263" s="7">
        <v>7.27</v>
      </c>
      <c r="G263" s="7">
        <v>1.13</v>
      </c>
      <c r="H263" s="7">
        <v>0.02</v>
      </c>
      <c r="I263" s="7">
        <v>13.2</v>
      </c>
      <c r="J263" s="25">
        <v>59.106343750000015</v>
      </c>
    </row>
    <row r="264" spans="1:10" ht="12.75">
      <c r="A264" s="100" t="s">
        <v>331</v>
      </c>
      <c r="B264" s="19">
        <v>38171</v>
      </c>
      <c r="C264" s="10">
        <v>0.8333333333333334</v>
      </c>
      <c r="D264" s="1">
        <v>956</v>
      </c>
      <c r="F264" s="7">
        <v>8.52</v>
      </c>
      <c r="G264" s="7">
        <v>1.31</v>
      </c>
      <c r="H264" s="7">
        <v>0.02</v>
      </c>
      <c r="I264" s="7">
        <v>15.6</v>
      </c>
      <c r="J264" s="25">
        <v>63.55520833333333</v>
      </c>
    </row>
    <row r="265" spans="1:10" ht="12.75">
      <c r="A265" s="100" t="s">
        <v>332</v>
      </c>
      <c r="B265" s="19">
        <v>38178</v>
      </c>
      <c r="C265" s="10">
        <v>0.6875</v>
      </c>
      <c r="D265" s="1">
        <v>775</v>
      </c>
      <c r="F265" s="7">
        <v>9.47</v>
      </c>
      <c r="G265" s="7">
        <v>1.4</v>
      </c>
      <c r="H265" s="7">
        <v>0.02</v>
      </c>
      <c r="I265" s="7">
        <v>17.3</v>
      </c>
      <c r="J265" s="25">
        <v>68.32184895833335</v>
      </c>
    </row>
    <row r="266" spans="1:10" ht="12.75">
      <c r="A266" s="100" t="s">
        <v>333</v>
      </c>
      <c r="B266" s="19">
        <v>38185</v>
      </c>
      <c r="C266" s="10">
        <v>0.75</v>
      </c>
      <c r="D266" s="1">
        <v>565</v>
      </c>
      <c r="F266" s="7">
        <v>11.3</v>
      </c>
      <c r="G266" s="7">
        <v>1.65</v>
      </c>
      <c r="H266" s="7">
        <v>0.03</v>
      </c>
      <c r="I266" s="7">
        <v>21.3</v>
      </c>
      <c r="J266" s="25">
        <v>74.99514583333332</v>
      </c>
    </row>
    <row r="267" spans="1:10" ht="12.75">
      <c r="A267" s="100" t="s">
        <v>334</v>
      </c>
      <c r="B267" s="19">
        <v>38192</v>
      </c>
      <c r="C267" s="10">
        <v>0.6458333333333334</v>
      </c>
      <c r="D267" s="1">
        <v>496</v>
      </c>
      <c r="F267" s="7">
        <v>14.3</v>
      </c>
      <c r="G267" s="7">
        <v>1.78</v>
      </c>
      <c r="H267" s="7">
        <v>0.03</v>
      </c>
      <c r="I267" s="7">
        <v>23.2</v>
      </c>
      <c r="J267" s="25">
        <v>80.71511458333333</v>
      </c>
    </row>
    <row r="268" spans="1:10" ht="12.75">
      <c r="A268" s="100" t="s">
        <v>335</v>
      </c>
      <c r="B268" s="19">
        <v>38213</v>
      </c>
      <c r="C268" s="10">
        <v>0.6770833333333334</v>
      </c>
      <c r="D268" s="1">
        <v>293</v>
      </c>
      <c r="F268" s="7">
        <v>16.6</v>
      </c>
      <c r="G268" s="7">
        <v>2.08</v>
      </c>
      <c r="H268" s="7">
        <v>0.04</v>
      </c>
      <c r="I268" s="7">
        <v>32.9</v>
      </c>
      <c r="J268" s="25">
        <v>92.15505208333333</v>
      </c>
    </row>
    <row r="269" spans="1:10" ht="12.75">
      <c r="A269" s="100" t="s">
        <v>336</v>
      </c>
      <c r="B269" s="19">
        <v>38227</v>
      </c>
      <c r="C269" s="10">
        <v>0.6145833333333334</v>
      </c>
      <c r="D269" s="1">
        <v>441</v>
      </c>
      <c r="F269" s="7">
        <v>14.6</v>
      </c>
      <c r="G269" s="7">
        <v>1.99</v>
      </c>
      <c r="H269" s="7">
        <v>0.04</v>
      </c>
      <c r="I269" s="7">
        <v>25.8</v>
      </c>
      <c r="J269" s="25">
        <v>82.30399479166665</v>
      </c>
    </row>
    <row r="270" ht="12.75">
      <c r="A270" s="60"/>
    </row>
    <row r="271" ht="15.75">
      <c r="A271" s="147" t="s">
        <v>679</v>
      </c>
    </row>
    <row r="272" ht="12.75">
      <c r="A272" s="60" t="s">
        <v>666</v>
      </c>
    </row>
    <row r="273" spans="1:10" ht="12.75">
      <c r="A273" s="29" t="s">
        <v>104</v>
      </c>
      <c r="B273" s="59">
        <v>37299</v>
      </c>
      <c r="C273" s="9">
        <v>0.75</v>
      </c>
      <c r="D273" s="32">
        <v>822</v>
      </c>
      <c r="E273" s="45">
        <v>23.2764507</v>
      </c>
      <c r="F273" s="29">
        <v>14</v>
      </c>
      <c r="G273" s="29">
        <v>3.4</v>
      </c>
      <c r="H273" s="29">
        <v>0.033</v>
      </c>
      <c r="I273" s="57">
        <v>3.6</v>
      </c>
      <c r="J273" s="57">
        <v>84.05176302083333</v>
      </c>
    </row>
    <row r="274" spans="1:10" ht="12.75">
      <c r="A274" s="29" t="s">
        <v>105</v>
      </c>
      <c r="B274" s="30">
        <v>37335</v>
      </c>
      <c r="C274" s="9">
        <v>0.49652777777777773</v>
      </c>
      <c r="D274" s="32">
        <v>274</v>
      </c>
      <c r="E274" s="45">
        <v>7.7588169</v>
      </c>
      <c r="F274" s="29">
        <v>16</v>
      </c>
      <c r="G274" s="29">
        <v>3.8</v>
      </c>
      <c r="H274" s="29">
        <v>0.035</v>
      </c>
      <c r="I274" s="57">
        <v>4.1</v>
      </c>
      <c r="J274" s="57">
        <v>93.10838020833334</v>
      </c>
    </row>
    <row r="275" spans="1:10" ht="12.75">
      <c r="A275" s="29" t="s">
        <v>106</v>
      </c>
      <c r="B275" s="30">
        <v>37356</v>
      </c>
      <c r="C275" s="9">
        <v>0.46875</v>
      </c>
      <c r="D275" s="32">
        <v>640</v>
      </c>
      <c r="E275" s="45">
        <v>18.122784</v>
      </c>
      <c r="F275" s="29">
        <v>12</v>
      </c>
      <c r="G275" s="29">
        <v>2.7</v>
      </c>
      <c r="H275" s="29" t="s">
        <v>168</v>
      </c>
      <c r="I275" s="57">
        <v>3.8</v>
      </c>
      <c r="J275" s="57">
        <v>75.63069791666668</v>
      </c>
    </row>
    <row r="276" spans="1:10" ht="12.75">
      <c r="A276" s="29" t="s">
        <v>107</v>
      </c>
      <c r="B276" s="30">
        <v>37363</v>
      </c>
      <c r="C276" s="9">
        <v>0.5868055555555556</v>
      </c>
      <c r="D276" s="32">
        <v>756</v>
      </c>
      <c r="E276" s="45">
        <v>21.407538600000002</v>
      </c>
      <c r="F276" s="29">
        <v>11</v>
      </c>
      <c r="G276" s="29">
        <v>2.1</v>
      </c>
      <c r="H276" s="29">
        <v>0.029</v>
      </c>
      <c r="I276" s="57">
        <v>3.5</v>
      </c>
      <c r="J276" s="57">
        <v>67.84518489583334</v>
      </c>
    </row>
    <row r="277" spans="1:10" ht="12.75">
      <c r="A277" s="29" t="s">
        <v>108</v>
      </c>
      <c r="B277" s="30">
        <v>37370</v>
      </c>
      <c r="C277" s="9">
        <v>0.3680555555555556</v>
      </c>
      <c r="D277" s="32">
        <v>716</v>
      </c>
      <c r="E277" s="45">
        <v>20.2748646</v>
      </c>
      <c r="F277" s="29">
        <v>12</v>
      </c>
      <c r="G277" s="39">
        <v>2</v>
      </c>
      <c r="H277" s="29">
        <v>0.022</v>
      </c>
      <c r="I277" s="57">
        <v>4</v>
      </c>
      <c r="J277" s="57">
        <v>81.03289062500001</v>
      </c>
    </row>
    <row r="278" spans="1:10" ht="12.75">
      <c r="A278" s="29" t="s">
        <v>109</v>
      </c>
      <c r="B278" s="30">
        <v>37377</v>
      </c>
      <c r="C278" s="9">
        <v>0.3993055555555556</v>
      </c>
      <c r="D278" s="32">
        <v>1690</v>
      </c>
      <c r="E278" s="45">
        <v>47.8554765</v>
      </c>
      <c r="F278" s="29">
        <v>6.4</v>
      </c>
      <c r="G278" s="29">
        <v>1.2</v>
      </c>
      <c r="H278" s="29" t="s">
        <v>168</v>
      </c>
      <c r="I278" s="57">
        <v>2.5</v>
      </c>
      <c r="J278" s="57">
        <v>44.806421875</v>
      </c>
    </row>
    <row r="279" spans="1:10" ht="12.75">
      <c r="A279" s="29" t="s">
        <v>110</v>
      </c>
      <c r="B279" s="30">
        <v>37384</v>
      </c>
      <c r="C279" s="9">
        <v>0.4236111111111111</v>
      </c>
      <c r="D279" s="29">
        <v>1230</v>
      </c>
      <c r="E279" s="45">
        <v>34.8297255</v>
      </c>
      <c r="F279" s="29">
        <v>6.3</v>
      </c>
      <c r="G279" s="29">
        <v>1.4</v>
      </c>
      <c r="H279" s="29" t="s">
        <v>168</v>
      </c>
      <c r="I279" s="57">
        <v>2.9</v>
      </c>
      <c r="J279" s="57">
        <v>53.22748697916667</v>
      </c>
    </row>
    <row r="280" spans="1:10" ht="12.75">
      <c r="A280" s="29" t="s">
        <v>111</v>
      </c>
      <c r="B280" s="30">
        <v>37391</v>
      </c>
      <c r="C280" s="9">
        <v>0.5069444444444444</v>
      </c>
      <c r="D280" s="29">
        <v>1900</v>
      </c>
      <c r="E280" s="45">
        <v>53.802015000000004</v>
      </c>
      <c r="F280" s="29">
        <v>4.1</v>
      </c>
      <c r="G280" s="29">
        <v>1.2</v>
      </c>
      <c r="H280" s="29" t="s">
        <v>168</v>
      </c>
      <c r="I280" s="57">
        <v>2.1</v>
      </c>
      <c r="J280" s="57">
        <v>36.7031328125</v>
      </c>
    </row>
    <row r="281" spans="1:10" ht="12.75">
      <c r="A281" s="29" t="s">
        <v>112</v>
      </c>
      <c r="B281" s="30">
        <v>37398</v>
      </c>
      <c r="C281" s="9">
        <v>0.5902777777777778</v>
      </c>
      <c r="D281" s="29">
        <v>2480</v>
      </c>
      <c r="E281" s="45">
        <v>70.22578800000001</v>
      </c>
      <c r="F281" s="29">
        <v>3.7</v>
      </c>
      <c r="G281" s="29">
        <v>0.99</v>
      </c>
      <c r="H281" s="29" t="s">
        <v>168</v>
      </c>
      <c r="I281" s="57">
        <v>2.1</v>
      </c>
      <c r="J281" s="57">
        <v>34.955364583333335</v>
      </c>
    </row>
    <row r="282" spans="1:10" ht="12.75">
      <c r="A282" s="29" t="s">
        <v>113</v>
      </c>
      <c r="B282" s="30">
        <v>37405</v>
      </c>
      <c r="C282" s="9">
        <v>0.3680555555555556</v>
      </c>
      <c r="D282" s="29">
        <v>1980</v>
      </c>
      <c r="E282" s="45">
        <v>56.067363</v>
      </c>
      <c r="F282" s="29">
        <v>3.9</v>
      </c>
      <c r="G282" s="29">
        <v>1.2</v>
      </c>
      <c r="H282" s="29" t="s">
        <v>168</v>
      </c>
      <c r="I282" s="57">
        <v>2.2</v>
      </c>
      <c r="J282" s="57">
        <v>37.97423697916667</v>
      </c>
    </row>
    <row r="283" spans="1:10" ht="12.75">
      <c r="A283" s="29" t="s">
        <v>114</v>
      </c>
      <c r="B283" s="30">
        <v>37412</v>
      </c>
      <c r="C283" s="9">
        <v>0.8611111111111112</v>
      </c>
      <c r="D283" s="29">
        <v>2640</v>
      </c>
      <c r="E283" s="45">
        <v>74.756484</v>
      </c>
      <c r="F283" s="29">
        <v>3.2</v>
      </c>
      <c r="G283" s="29">
        <v>0.98</v>
      </c>
      <c r="H283" s="29" t="s">
        <v>168</v>
      </c>
      <c r="I283" s="57">
        <v>1.8</v>
      </c>
      <c r="J283" s="57">
        <v>30.76072083333333</v>
      </c>
    </row>
    <row r="284" spans="1:10" ht="12.75">
      <c r="A284" s="29" t="s">
        <v>115</v>
      </c>
      <c r="B284" s="30">
        <v>37419</v>
      </c>
      <c r="C284" s="9">
        <v>0.3854166666666667</v>
      </c>
      <c r="D284" s="29">
        <v>1560</v>
      </c>
      <c r="E284" s="45">
        <v>44.174286</v>
      </c>
      <c r="F284" s="29">
        <v>5.3</v>
      </c>
      <c r="G284" s="29">
        <v>1.5</v>
      </c>
      <c r="H284" s="29" t="s">
        <v>168</v>
      </c>
      <c r="I284" s="57">
        <v>2.4</v>
      </c>
      <c r="J284" s="57">
        <v>43.53531770833333</v>
      </c>
    </row>
    <row r="285" spans="1:10" ht="12.75">
      <c r="A285" s="29" t="s">
        <v>116</v>
      </c>
      <c r="B285" s="30">
        <v>37433</v>
      </c>
      <c r="C285" s="9">
        <v>0.34027777777777773</v>
      </c>
      <c r="D285" s="29">
        <v>1570</v>
      </c>
      <c r="E285" s="45">
        <v>44.457454500000004</v>
      </c>
      <c r="F285" s="29">
        <v>4.2</v>
      </c>
      <c r="G285" s="29">
        <v>1.5</v>
      </c>
      <c r="H285" s="29" t="s">
        <v>168</v>
      </c>
      <c r="I285" s="57">
        <v>2</v>
      </c>
      <c r="J285" s="57">
        <v>37.81534895833334</v>
      </c>
    </row>
    <row r="286" spans="1:10" ht="12.75">
      <c r="A286" s="29" t="s">
        <v>117</v>
      </c>
      <c r="B286" s="30">
        <v>37440</v>
      </c>
      <c r="C286" s="9">
        <v>0.6597222222222222</v>
      </c>
      <c r="D286" s="29">
        <v>839</v>
      </c>
      <c r="E286" s="45">
        <v>23.75783715</v>
      </c>
      <c r="F286" s="39">
        <v>7</v>
      </c>
      <c r="G286" s="29">
        <v>2.2</v>
      </c>
      <c r="H286" s="58">
        <v>0.02</v>
      </c>
      <c r="I286" s="57">
        <v>3.2</v>
      </c>
      <c r="J286" s="57">
        <v>54.816367187500006</v>
      </c>
    </row>
    <row r="287" spans="1:10" ht="12.75">
      <c r="A287" s="29" t="s">
        <v>118</v>
      </c>
      <c r="B287" s="30">
        <v>37447</v>
      </c>
      <c r="C287" s="9">
        <v>0.2534722222222222</v>
      </c>
      <c r="D287" s="29">
        <v>693</v>
      </c>
      <c r="E287" s="45">
        <v>19.62357705</v>
      </c>
      <c r="F287" s="29">
        <v>8.3</v>
      </c>
      <c r="G287" s="29">
        <v>2.8</v>
      </c>
      <c r="H287" s="58">
        <v>0.02</v>
      </c>
      <c r="I287" s="57">
        <v>2.9</v>
      </c>
      <c r="J287" s="57">
        <v>62.919656249999996</v>
      </c>
    </row>
    <row r="288" spans="1:10" ht="12.75">
      <c r="A288" s="29" t="s">
        <v>119</v>
      </c>
      <c r="B288" s="30">
        <v>37454</v>
      </c>
      <c r="C288" s="9">
        <v>0.40277777777777773</v>
      </c>
      <c r="D288" s="29">
        <v>708</v>
      </c>
      <c r="E288" s="45">
        <v>20.0483298</v>
      </c>
      <c r="F288" s="39">
        <v>8</v>
      </c>
      <c r="G288" s="29">
        <v>2.7</v>
      </c>
      <c r="H288" s="29">
        <v>0.023</v>
      </c>
      <c r="I288" s="57">
        <v>2.8</v>
      </c>
      <c r="J288" s="57">
        <v>60.854111979166674</v>
      </c>
    </row>
    <row r="289" spans="1:10" ht="12.75">
      <c r="A289" s="29" t="s">
        <v>120</v>
      </c>
      <c r="B289" s="30">
        <v>37461</v>
      </c>
      <c r="C289" s="9">
        <v>0.8118055555555556</v>
      </c>
      <c r="D289" s="29">
        <v>670</v>
      </c>
      <c r="E289" s="45">
        <v>18.972289500000002</v>
      </c>
      <c r="F289" s="29">
        <v>8.1</v>
      </c>
      <c r="G289" s="29">
        <v>2.8</v>
      </c>
      <c r="H289" s="58">
        <v>0.03</v>
      </c>
      <c r="I289" s="57">
        <v>3</v>
      </c>
      <c r="J289" s="57">
        <v>63.872984375</v>
      </c>
    </row>
    <row r="290" spans="1:10" ht="12.75">
      <c r="A290" s="29" t="s">
        <v>121</v>
      </c>
      <c r="B290" s="30">
        <v>37496</v>
      </c>
      <c r="C290" s="9">
        <v>0.2951388888888889</v>
      </c>
      <c r="D290" s="29">
        <v>628</v>
      </c>
      <c r="E290" s="45">
        <v>17.7829818</v>
      </c>
      <c r="F290" s="29">
        <v>8.7</v>
      </c>
      <c r="G290" s="29">
        <v>2.8</v>
      </c>
      <c r="H290" s="29">
        <v>0.027</v>
      </c>
      <c r="I290" s="57">
        <v>4.3</v>
      </c>
      <c r="J290" s="57">
        <v>99.78167708333332</v>
      </c>
    </row>
    <row r="291" spans="1:10" ht="12.75">
      <c r="A291" s="29" t="s">
        <v>122</v>
      </c>
      <c r="B291" s="30">
        <v>37510</v>
      </c>
      <c r="C291" s="9">
        <v>0.34722222222222227</v>
      </c>
      <c r="D291" s="29">
        <v>532</v>
      </c>
      <c r="E291" s="45">
        <v>15.064564200000001</v>
      </c>
      <c r="F291" s="29">
        <v>10</v>
      </c>
      <c r="G291" s="29">
        <v>3.1</v>
      </c>
      <c r="H291" s="29">
        <v>0.028</v>
      </c>
      <c r="I291" s="57">
        <v>3.7</v>
      </c>
      <c r="J291" s="57">
        <v>78.33179427083334</v>
      </c>
    </row>
    <row r="292" spans="1:10" ht="12.75">
      <c r="A292" s="29" t="s">
        <v>123</v>
      </c>
      <c r="B292" s="30">
        <v>37529</v>
      </c>
      <c r="C292" s="9">
        <v>0.4201388888888889</v>
      </c>
      <c r="D292" s="29">
        <v>510</v>
      </c>
      <c r="E292" s="45">
        <v>14.4415935</v>
      </c>
      <c r="F292" s="29">
        <v>10</v>
      </c>
      <c r="G292" s="39">
        <v>3</v>
      </c>
      <c r="H292" s="29">
        <v>0.033</v>
      </c>
      <c r="I292" s="57">
        <v>4</v>
      </c>
      <c r="J292" s="57">
        <v>90.40728385416666</v>
      </c>
    </row>
    <row r="293" ht="12.75">
      <c r="A293" s="60" t="s">
        <v>667</v>
      </c>
    </row>
    <row r="294" spans="1:10" ht="15.75">
      <c r="A294" s="29" t="s">
        <v>337</v>
      </c>
      <c r="B294" s="149">
        <v>37537</v>
      </c>
      <c r="C294" s="9">
        <v>0.37152777777777773</v>
      </c>
      <c r="D294" s="29">
        <v>505</v>
      </c>
      <c r="E294" s="145"/>
      <c r="F294" s="29">
        <v>11</v>
      </c>
      <c r="G294" s="29">
        <v>3.3</v>
      </c>
      <c r="H294" s="29">
        <v>0.035</v>
      </c>
      <c r="I294" s="29">
        <v>3.7</v>
      </c>
      <c r="J294" s="57">
        <v>79.76178645833333</v>
      </c>
    </row>
    <row r="295" spans="1:10" ht="15.75">
      <c r="A295" s="29" t="s">
        <v>338</v>
      </c>
      <c r="B295" s="149">
        <v>37553</v>
      </c>
      <c r="C295" s="9">
        <v>0.7118055555555555</v>
      </c>
      <c r="D295" s="29">
        <v>541</v>
      </c>
      <c r="E295" s="145"/>
      <c r="F295" s="29">
        <v>11</v>
      </c>
      <c r="G295" s="39">
        <v>3</v>
      </c>
      <c r="H295" s="29">
        <v>0.032</v>
      </c>
      <c r="I295" s="29">
        <v>3.7</v>
      </c>
      <c r="J295" s="57">
        <v>85.00509114583332</v>
      </c>
    </row>
    <row r="296" spans="1:10" ht="15.75">
      <c r="A296" s="29" t="s">
        <v>339</v>
      </c>
      <c r="B296" s="149">
        <v>37608</v>
      </c>
      <c r="C296" s="9">
        <v>0.4618055555555556</v>
      </c>
      <c r="D296" s="29">
        <v>416</v>
      </c>
      <c r="E296" s="145"/>
      <c r="F296" s="29">
        <v>13</v>
      </c>
      <c r="G296" s="29">
        <v>3.4</v>
      </c>
      <c r="H296" s="29">
        <v>0.036</v>
      </c>
      <c r="I296" s="29">
        <v>3.5</v>
      </c>
      <c r="J296" s="57">
        <v>79.28512239583334</v>
      </c>
    </row>
    <row r="297" spans="1:10" ht="12.75">
      <c r="A297" s="1" t="s">
        <v>340</v>
      </c>
      <c r="B297" s="99">
        <v>37685</v>
      </c>
      <c r="C297" s="9">
        <v>0.5347222222222222</v>
      </c>
      <c r="D297" s="32">
        <v>429</v>
      </c>
      <c r="E297" s="29"/>
      <c r="F297" s="1">
        <v>15.3</v>
      </c>
      <c r="G297" s="1">
        <v>3.63</v>
      </c>
      <c r="H297" s="1">
        <v>0.03</v>
      </c>
      <c r="I297" s="1">
        <v>3.58</v>
      </c>
      <c r="J297" s="57">
        <v>86.11730729166666</v>
      </c>
    </row>
    <row r="298" spans="1:10" ht="12.75">
      <c r="A298" s="1" t="s">
        <v>341</v>
      </c>
      <c r="B298" s="99">
        <v>37699</v>
      </c>
      <c r="C298" s="10">
        <v>0.4444444444444444</v>
      </c>
      <c r="D298" s="34">
        <v>420</v>
      </c>
      <c r="E298" s="29"/>
      <c r="F298" s="1">
        <v>14.7</v>
      </c>
      <c r="G298" s="1">
        <v>3.29</v>
      </c>
      <c r="H298" s="1">
        <v>0.03</v>
      </c>
      <c r="I298" s="1">
        <v>3.54</v>
      </c>
      <c r="J298" s="57">
        <v>83.25732291666667</v>
      </c>
    </row>
    <row r="299" spans="1:10" ht="12.75">
      <c r="A299" s="1" t="s">
        <v>342</v>
      </c>
      <c r="B299" s="99">
        <v>37720</v>
      </c>
      <c r="C299" s="10">
        <v>0.7534722222222222</v>
      </c>
      <c r="D299" s="34">
        <v>461</v>
      </c>
      <c r="E299" s="29"/>
      <c r="F299" s="1">
        <v>14.1</v>
      </c>
      <c r="G299" s="1">
        <v>3.17</v>
      </c>
      <c r="H299" s="1">
        <v>0.03</v>
      </c>
      <c r="I299" s="1">
        <v>3.48</v>
      </c>
      <c r="J299" s="57">
        <v>89.29506770833333</v>
      </c>
    </row>
    <row r="300" spans="1:10" ht="12.75">
      <c r="A300" s="1" t="s">
        <v>343</v>
      </c>
      <c r="B300" s="99">
        <v>37727</v>
      </c>
      <c r="C300" s="10">
        <v>0.7048611111111112</v>
      </c>
      <c r="D300" s="34">
        <v>874</v>
      </c>
      <c r="E300" s="29"/>
      <c r="F300" s="1">
        <v>10</v>
      </c>
      <c r="G300" s="1">
        <v>2.07</v>
      </c>
      <c r="H300" s="1" t="s">
        <v>673</v>
      </c>
      <c r="I300" s="1">
        <v>2.89</v>
      </c>
      <c r="J300" s="57">
        <v>62.919656249999996</v>
      </c>
    </row>
    <row r="301" spans="1:10" ht="12.75">
      <c r="A301" s="1" t="s">
        <v>344</v>
      </c>
      <c r="B301" s="99">
        <v>37734</v>
      </c>
      <c r="C301" s="10">
        <v>0.6284722222222222</v>
      </c>
      <c r="D301" s="34">
        <v>1300</v>
      </c>
      <c r="E301" s="29"/>
      <c r="F301" s="1">
        <v>8.68</v>
      </c>
      <c r="G301" s="1">
        <v>1.62</v>
      </c>
      <c r="H301" s="1" t="s">
        <v>673</v>
      </c>
      <c r="I301" s="1">
        <v>2.44</v>
      </c>
      <c r="J301" s="57">
        <v>50.208614583333336</v>
      </c>
    </row>
    <row r="302" spans="1:10" ht="12.75">
      <c r="A302" s="1" t="s">
        <v>345</v>
      </c>
      <c r="B302" s="99">
        <v>37741</v>
      </c>
      <c r="C302" s="10">
        <v>0.8055555555555555</v>
      </c>
      <c r="D302" s="34">
        <v>1200</v>
      </c>
      <c r="E302" s="29"/>
      <c r="F302" s="1">
        <v>7.54</v>
      </c>
      <c r="G302" s="1">
        <v>1.46</v>
      </c>
      <c r="H302" s="1" t="s">
        <v>673</v>
      </c>
      <c r="I302" s="1">
        <v>3.35</v>
      </c>
      <c r="J302" s="57">
        <v>75.312921875</v>
      </c>
    </row>
    <row r="303" spans="1:10" ht="12.75">
      <c r="A303" s="1" t="s">
        <v>346</v>
      </c>
      <c r="B303" s="99">
        <v>37749</v>
      </c>
      <c r="C303" s="10">
        <v>0.3055555555555555</v>
      </c>
      <c r="D303" s="34">
        <v>1320</v>
      </c>
      <c r="E303" s="29"/>
      <c r="F303" s="1">
        <v>7</v>
      </c>
      <c r="G303" s="1">
        <v>1.4</v>
      </c>
      <c r="H303" s="1">
        <v>0.01</v>
      </c>
      <c r="I303" s="1">
        <v>2.95</v>
      </c>
      <c r="J303" s="57">
        <v>67.36852083333333</v>
      </c>
    </row>
    <row r="304" spans="1:10" ht="12.75">
      <c r="A304" s="1" t="s">
        <v>347</v>
      </c>
      <c r="B304" s="99">
        <v>37755</v>
      </c>
      <c r="C304" s="10">
        <v>0.6597222222222222</v>
      </c>
      <c r="D304" s="34">
        <v>1850</v>
      </c>
      <c r="E304" s="29"/>
      <c r="F304" s="1">
        <v>5.46</v>
      </c>
      <c r="G304" s="1">
        <v>1.18</v>
      </c>
      <c r="H304" s="1" t="s">
        <v>673</v>
      </c>
      <c r="I304" s="1">
        <v>1.75</v>
      </c>
      <c r="J304" s="57">
        <v>38.45090104166666</v>
      </c>
    </row>
    <row r="305" spans="1:10" ht="12.75">
      <c r="A305" s="1" t="s">
        <v>348</v>
      </c>
      <c r="B305" s="99">
        <v>37762</v>
      </c>
      <c r="C305" s="10">
        <v>0.611111111111111</v>
      </c>
      <c r="D305" s="34">
        <v>1770</v>
      </c>
      <c r="E305" s="29"/>
      <c r="F305" s="1">
        <v>4.67</v>
      </c>
      <c r="G305" s="1">
        <v>1.22</v>
      </c>
      <c r="H305" s="1" t="s">
        <v>673</v>
      </c>
      <c r="I305" s="1">
        <v>1.74</v>
      </c>
      <c r="J305" s="57">
        <v>34.637588541666666</v>
      </c>
    </row>
    <row r="306" spans="1:10" ht="12.75">
      <c r="A306" s="1" t="s">
        <v>349</v>
      </c>
      <c r="B306" s="99">
        <v>37769</v>
      </c>
      <c r="C306" s="10">
        <v>0.8819444444444445</v>
      </c>
      <c r="D306" s="34">
        <v>2940</v>
      </c>
      <c r="E306" s="29"/>
      <c r="F306" s="1">
        <v>3.01</v>
      </c>
      <c r="G306" s="1">
        <v>0.87</v>
      </c>
      <c r="H306" s="1" t="s">
        <v>673</v>
      </c>
      <c r="I306" s="1">
        <v>1.41</v>
      </c>
      <c r="J306" s="57">
        <v>26.057635416666663</v>
      </c>
    </row>
    <row r="307" spans="1:10" ht="12.75">
      <c r="A307" s="1" t="s">
        <v>350</v>
      </c>
      <c r="B307" s="99">
        <v>37776</v>
      </c>
      <c r="C307" s="10">
        <v>0.7118055555555555</v>
      </c>
      <c r="D307" s="34">
        <v>2480</v>
      </c>
      <c r="E307" s="29"/>
      <c r="F307" s="1">
        <v>3.25</v>
      </c>
      <c r="G307" s="1">
        <v>0.97</v>
      </c>
      <c r="H307" s="1" t="s">
        <v>673</v>
      </c>
      <c r="I307" s="1">
        <v>1.44</v>
      </c>
      <c r="J307" s="57">
        <v>26.375411458333335</v>
      </c>
    </row>
    <row r="308" spans="1:10" ht="12.75">
      <c r="A308" s="1" t="s">
        <v>351</v>
      </c>
      <c r="B308" s="99">
        <v>37783</v>
      </c>
      <c r="C308" s="10">
        <v>0.8090277777777778</v>
      </c>
      <c r="D308" s="34">
        <v>2160</v>
      </c>
      <c r="E308" s="29"/>
      <c r="F308" s="1">
        <v>3.4</v>
      </c>
      <c r="G308" s="1">
        <v>1.07</v>
      </c>
      <c r="H308" s="1" t="s">
        <v>673</v>
      </c>
      <c r="I308" s="1">
        <v>1.34</v>
      </c>
      <c r="J308" s="57">
        <v>27.964291666666664</v>
      </c>
    </row>
    <row r="309" spans="1:10" ht="12.75">
      <c r="A309" s="1" t="s">
        <v>352</v>
      </c>
      <c r="B309" s="99">
        <v>37790</v>
      </c>
      <c r="C309" s="10">
        <v>0.7673611111111112</v>
      </c>
      <c r="D309" s="34">
        <v>1930</v>
      </c>
      <c r="E309" s="29"/>
      <c r="F309" s="1">
        <v>3.7</v>
      </c>
      <c r="G309" s="1">
        <v>1.16</v>
      </c>
      <c r="H309" s="1" t="s">
        <v>673</v>
      </c>
      <c r="I309" s="1">
        <v>1.33</v>
      </c>
      <c r="J309" s="57">
        <v>27.964291666666664</v>
      </c>
    </row>
    <row r="310" spans="1:10" ht="12.75">
      <c r="A310" s="1" t="s">
        <v>353</v>
      </c>
      <c r="B310" s="99">
        <v>37796</v>
      </c>
      <c r="C310" s="10">
        <v>0.8368055555555555</v>
      </c>
      <c r="D310" s="34">
        <v>1110</v>
      </c>
      <c r="E310" s="29"/>
      <c r="F310" s="1">
        <v>6.43</v>
      </c>
      <c r="G310" s="1">
        <v>2</v>
      </c>
      <c r="H310" s="1">
        <v>0.01</v>
      </c>
      <c r="I310" s="1">
        <v>2.02</v>
      </c>
      <c r="J310" s="57">
        <v>47.98418229166666</v>
      </c>
    </row>
    <row r="311" spans="1:10" ht="12.75">
      <c r="A311" s="1" t="s">
        <v>354</v>
      </c>
      <c r="B311" s="99">
        <v>37811</v>
      </c>
      <c r="C311" s="10">
        <v>0.8020833333333334</v>
      </c>
      <c r="D311" s="34">
        <v>745</v>
      </c>
      <c r="E311" s="29"/>
      <c r="F311" s="1">
        <v>7.86</v>
      </c>
      <c r="G311" s="1">
        <v>2.55</v>
      </c>
      <c r="H311" s="1">
        <v>0.02</v>
      </c>
      <c r="I311" s="1">
        <v>2.62</v>
      </c>
      <c r="J311" s="57">
        <v>62.919656249999996</v>
      </c>
    </row>
    <row r="312" spans="1:10" ht="12.75">
      <c r="A312" s="1" t="s">
        <v>355</v>
      </c>
      <c r="B312" s="99">
        <v>37818</v>
      </c>
      <c r="C312" s="10">
        <v>0.37152777777777773</v>
      </c>
      <c r="D312" s="34">
        <v>759</v>
      </c>
      <c r="E312" s="29"/>
      <c r="F312" s="1">
        <v>7.75</v>
      </c>
      <c r="G312" s="1">
        <v>2.53</v>
      </c>
      <c r="H312" s="1">
        <v>0.01</v>
      </c>
      <c r="I312" s="1">
        <v>2.25</v>
      </c>
      <c r="J312" s="57">
        <v>55.61080729166667</v>
      </c>
    </row>
    <row r="313" spans="1:10" ht="12.75">
      <c r="A313" s="1" t="s">
        <v>356</v>
      </c>
      <c r="B313" s="99">
        <v>37825</v>
      </c>
      <c r="C313" s="10">
        <v>0.6944444444444445</v>
      </c>
      <c r="D313" s="34">
        <v>710</v>
      </c>
      <c r="E313" s="29"/>
      <c r="F313" s="1">
        <v>8.04</v>
      </c>
      <c r="G313" s="1">
        <v>2.71</v>
      </c>
      <c r="H313" s="1">
        <v>0.02</v>
      </c>
      <c r="I313" s="1">
        <v>2.31</v>
      </c>
      <c r="J313" s="57">
        <v>54.021927083333345</v>
      </c>
    </row>
    <row r="314" spans="1:10" ht="12.75">
      <c r="A314" s="1" t="s">
        <v>357</v>
      </c>
      <c r="B314" s="99">
        <v>37846</v>
      </c>
      <c r="C314" s="10">
        <v>0.3090277777777778</v>
      </c>
      <c r="D314" s="34">
        <v>648</v>
      </c>
      <c r="E314" s="29"/>
      <c r="F314" s="1">
        <v>7.84</v>
      </c>
      <c r="G314" s="1">
        <v>2.58</v>
      </c>
      <c r="H314" s="1">
        <v>0.02</v>
      </c>
      <c r="I314" s="1">
        <v>2.98</v>
      </c>
      <c r="J314" s="57">
        <v>78.17290625</v>
      </c>
    </row>
    <row r="315" spans="1:10" ht="12.75">
      <c r="A315" s="1" t="s">
        <v>358</v>
      </c>
      <c r="B315" s="99">
        <v>37860</v>
      </c>
      <c r="C315" s="10">
        <v>0.4270833333333333</v>
      </c>
      <c r="D315" s="34">
        <v>505</v>
      </c>
      <c r="E315" s="29"/>
      <c r="F315" s="1">
        <v>10.1</v>
      </c>
      <c r="G315" s="1">
        <v>3.2</v>
      </c>
      <c r="H315" s="1">
        <v>0.02</v>
      </c>
      <c r="I315" s="1">
        <v>2.61</v>
      </c>
      <c r="J315" s="57">
        <v>67.36852083333333</v>
      </c>
    </row>
    <row r="316" spans="1:10" ht="12.75">
      <c r="A316" s="1" t="s">
        <v>359</v>
      </c>
      <c r="B316" s="99">
        <v>37875</v>
      </c>
      <c r="C316" s="10">
        <v>0.6458333333333334</v>
      </c>
      <c r="D316" s="34">
        <v>562</v>
      </c>
      <c r="E316" s="29"/>
      <c r="F316" s="1">
        <v>10.5</v>
      </c>
      <c r="G316" s="1">
        <v>3.14</v>
      </c>
      <c r="H316" s="1">
        <v>0.02</v>
      </c>
      <c r="I316" s="1">
        <v>2.75</v>
      </c>
      <c r="J316" s="57">
        <v>67.686296875</v>
      </c>
    </row>
    <row r="317" spans="1:3" ht="12.75">
      <c r="A317" s="60" t="s">
        <v>672</v>
      </c>
      <c r="C317" s="150" t="s">
        <v>680</v>
      </c>
    </row>
    <row r="318" spans="1:10" ht="12.75">
      <c r="A318" s="100" t="s">
        <v>360</v>
      </c>
      <c r="B318" s="19">
        <v>38108</v>
      </c>
      <c r="C318" s="10">
        <v>0.5</v>
      </c>
      <c r="D318" s="1">
        <v>1400</v>
      </c>
      <c r="F318" s="7">
        <v>6.87</v>
      </c>
      <c r="G318" s="7">
        <v>1.4</v>
      </c>
      <c r="H318" s="7" t="s">
        <v>673</v>
      </c>
      <c r="I318" s="7">
        <v>2.04</v>
      </c>
      <c r="J318" s="25">
        <v>40.357557291666666</v>
      </c>
    </row>
    <row r="319" spans="1:10" ht="12.75">
      <c r="A319" s="100" t="s">
        <v>361</v>
      </c>
      <c r="B319" s="19">
        <v>38154</v>
      </c>
      <c r="C319" s="10">
        <v>0.6375</v>
      </c>
      <c r="D319" s="1">
        <v>1830</v>
      </c>
      <c r="F319" s="7">
        <v>2.58</v>
      </c>
      <c r="G319" s="7">
        <v>1.74</v>
      </c>
      <c r="H319" s="7" t="s">
        <v>673</v>
      </c>
      <c r="I319" s="7">
        <v>2.86</v>
      </c>
      <c r="J319" s="25">
        <v>61.01300000000001</v>
      </c>
    </row>
    <row r="320" spans="1:10" ht="12.75">
      <c r="A320" s="100" t="s">
        <v>362</v>
      </c>
      <c r="B320" s="19">
        <v>38159</v>
      </c>
      <c r="C320" s="10">
        <v>0.513888888888889</v>
      </c>
      <c r="D320" s="1">
        <v>1580</v>
      </c>
      <c r="F320" s="7">
        <v>3.94</v>
      </c>
      <c r="G320" s="7">
        <v>1.31</v>
      </c>
      <c r="H320" s="7" t="s">
        <v>673</v>
      </c>
      <c r="I320" s="7">
        <v>1.41</v>
      </c>
      <c r="J320" s="25">
        <v>27.964291666666664</v>
      </c>
    </row>
    <row r="321" spans="1:10" ht="12.75">
      <c r="A321" s="100" t="s">
        <v>363</v>
      </c>
      <c r="B321" s="19">
        <v>38165</v>
      </c>
      <c r="C321" s="10">
        <v>0.8152777777777778</v>
      </c>
      <c r="D321" s="1">
        <v>1260</v>
      </c>
      <c r="F321" s="7">
        <v>6.44</v>
      </c>
      <c r="G321" s="7">
        <v>1.96</v>
      </c>
      <c r="H321" s="7" t="s">
        <v>673</v>
      </c>
      <c r="I321" s="7">
        <v>1.8</v>
      </c>
      <c r="J321" s="25">
        <v>40.039781250000004</v>
      </c>
    </row>
    <row r="322" spans="1:10" ht="12.75">
      <c r="A322" s="100" t="s">
        <v>364</v>
      </c>
      <c r="B322" s="19">
        <v>38173</v>
      </c>
      <c r="C322" s="10">
        <v>0.5555555555555556</v>
      </c>
      <c r="D322" s="1">
        <v>1220</v>
      </c>
      <c r="F322" s="7">
        <v>8.62</v>
      </c>
      <c r="G322" s="7">
        <v>2.64</v>
      </c>
      <c r="H322" s="7">
        <v>0.01</v>
      </c>
      <c r="I322" s="7">
        <v>2.28</v>
      </c>
      <c r="J322" s="25">
        <v>51.479718749999996</v>
      </c>
    </row>
    <row r="323" spans="1:10" ht="12.75">
      <c r="A323" s="100" t="s">
        <v>365</v>
      </c>
      <c r="B323" s="19">
        <v>38180</v>
      </c>
      <c r="C323" s="10">
        <v>0.6458333333333334</v>
      </c>
      <c r="D323" s="1">
        <v>787</v>
      </c>
      <c r="F323" s="7">
        <v>8.71</v>
      </c>
      <c r="G323" s="7">
        <v>2.79</v>
      </c>
      <c r="H323" s="7">
        <v>0.02</v>
      </c>
      <c r="I323" s="7">
        <v>2.31</v>
      </c>
      <c r="J323" s="25">
        <v>51.479718749999996</v>
      </c>
    </row>
    <row r="324" spans="1:10" ht="12.75">
      <c r="A324" s="100" t="s">
        <v>366</v>
      </c>
      <c r="B324" s="19">
        <v>38187</v>
      </c>
      <c r="C324" s="10">
        <v>0.8486111111111111</v>
      </c>
      <c r="D324" s="1">
        <v>759</v>
      </c>
      <c r="F324" s="7">
        <v>8.76</v>
      </c>
      <c r="G324" s="7">
        <v>2.84</v>
      </c>
      <c r="H324" s="7">
        <v>0.02</v>
      </c>
      <c r="I324" s="7">
        <v>2.34</v>
      </c>
      <c r="J324" s="25">
        <v>52.433046875</v>
      </c>
    </row>
    <row r="325" spans="1:10" ht="12.75">
      <c r="A325" s="100" t="s">
        <v>367</v>
      </c>
      <c r="B325" s="19">
        <v>38193</v>
      </c>
      <c r="C325" s="10">
        <v>0.8506944444444445</v>
      </c>
      <c r="D325" s="1">
        <v>666</v>
      </c>
      <c r="F325" s="7">
        <v>9.23</v>
      </c>
      <c r="G325" s="7">
        <v>3.07</v>
      </c>
      <c r="H325" s="7">
        <v>0.02</v>
      </c>
      <c r="I325" s="7">
        <v>2.41</v>
      </c>
      <c r="J325" s="25">
        <v>54.97525520833333</v>
      </c>
    </row>
    <row r="326" spans="1:10" ht="12.75">
      <c r="A326" s="100" t="s">
        <v>368</v>
      </c>
      <c r="B326" s="19">
        <v>38213</v>
      </c>
      <c r="C326" s="10">
        <v>0.8125</v>
      </c>
      <c r="D326" s="1">
        <v>588</v>
      </c>
      <c r="F326" s="7">
        <v>9.67</v>
      </c>
      <c r="G326" s="7">
        <v>3.06</v>
      </c>
      <c r="H326" s="7">
        <v>0.01</v>
      </c>
      <c r="I326" s="7">
        <v>2.42</v>
      </c>
      <c r="J326" s="25">
        <v>55.92858333333333</v>
      </c>
    </row>
    <row r="327" spans="1:10" ht="12.75">
      <c r="A327" s="100" t="s">
        <v>369</v>
      </c>
      <c r="B327" s="19">
        <v>38230</v>
      </c>
      <c r="C327" s="10">
        <v>0.8055555555555555</v>
      </c>
      <c r="D327" s="1">
        <v>630</v>
      </c>
      <c r="F327" s="7">
        <v>10.3</v>
      </c>
      <c r="G327" s="7">
        <v>3.25</v>
      </c>
      <c r="H327" s="7">
        <v>0.02</v>
      </c>
      <c r="I327" s="7">
        <v>2.53</v>
      </c>
      <c r="J327" s="25">
        <v>59.74189583333334</v>
      </c>
    </row>
    <row r="328" spans="1:10" ht="12.75">
      <c r="A328" s="100" t="s">
        <v>370</v>
      </c>
      <c r="B328" s="19">
        <v>38243</v>
      </c>
      <c r="C328" s="10">
        <v>0.3506944444444444</v>
      </c>
      <c r="D328" s="1">
        <v>666</v>
      </c>
      <c r="F328" s="7">
        <v>10.6</v>
      </c>
      <c r="G328" s="7">
        <v>3.26</v>
      </c>
      <c r="H328" s="7">
        <v>0.02</v>
      </c>
      <c r="I328" s="7">
        <v>2.58</v>
      </c>
      <c r="J328" s="25">
        <v>61.01300000000001</v>
      </c>
    </row>
    <row r="329" spans="1:10" ht="12.75">
      <c r="A329" s="100"/>
      <c r="B329" s="19"/>
      <c r="C329" s="10"/>
      <c r="F329" s="7"/>
      <c r="G329" s="7"/>
      <c r="H329" s="7"/>
      <c r="I329" s="7"/>
      <c r="J329" s="25"/>
    </row>
    <row r="330" ht="15.75">
      <c r="A330" s="147" t="s">
        <v>169</v>
      </c>
    </row>
    <row r="331" ht="12.75">
      <c r="A331" s="60" t="s">
        <v>666</v>
      </c>
    </row>
    <row r="332" spans="1:10" ht="12.75">
      <c r="A332" s="1" t="s">
        <v>170</v>
      </c>
      <c r="B332" s="8">
        <v>37162</v>
      </c>
      <c r="C332" s="22">
        <v>0.5</v>
      </c>
      <c r="D332" s="1">
        <v>919</v>
      </c>
      <c r="E332" s="45">
        <v>26.02318515</v>
      </c>
      <c r="F332" s="1">
        <v>3.7</v>
      </c>
      <c r="G332" s="23">
        <v>2</v>
      </c>
      <c r="H332" s="1" t="s">
        <v>168</v>
      </c>
      <c r="I332" s="5">
        <v>3.2</v>
      </c>
      <c r="J332" s="5">
        <v>64.98520052083332</v>
      </c>
    </row>
    <row r="333" spans="1:10" ht="12.75">
      <c r="A333" s="1" t="s">
        <v>124</v>
      </c>
      <c r="B333" s="8">
        <v>37183</v>
      </c>
      <c r="C333" s="22">
        <v>0.541666666666667</v>
      </c>
      <c r="D333" s="1">
        <v>867</v>
      </c>
      <c r="E333" s="45">
        <v>24.55070895</v>
      </c>
      <c r="F333" s="1">
        <v>3.8</v>
      </c>
      <c r="G333" s="23">
        <v>2</v>
      </c>
      <c r="H333" s="1" t="s">
        <v>168</v>
      </c>
      <c r="I333" s="5">
        <v>3.1</v>
      </c>
      <c r="J333" s="5">
        <v>72.29404947916666</v>
      </c>
    </row>
    <row r="334" spans="1:10" ht="12.75">
      <c r="A334" s="1" t="s">
        <v>125</v>
      </c>
      <c r="B334" s="8">
        <v>37210</v>
      </c>
      <c r="C334" s="20">
        <v>0.5833333333333334</v>
      </c>
      <c r="D334" s="1">
        <v>804</v>
      </c>
      <c r="E334" s="45">
        <v>22.7667474</v>
      </c>
      <c r="F334" s="1">
        <v>3.9</v>
      </c>
      <c r="G334" s="23">
        <v>2</v>
      </c>
      <c r="H334" s="1" t="s">
        <v>168</v>
      </c>
      <c r="I334" s="5">
        <v>3.2</v>
      </c>
      <c r="J334" s="5">
        <v>68.48073697916668</v>
      </c>
    </row>
    <row r="335" spans="1:10" ht="12.75">
      <c r="A335" s="1" t="s">
        <v>126</v>
      </c>
      <c r="B335" s="8">
        <v>37237</v>
      </c>
      <c r="C335" s="20">
        <v>0.5833333333333334</v>
      </c>
      <c r="D335" s="1">
        <v>959</v>
      </c>
      <c r="E335" s="45">
        <v>27.15585915</v>
      </c>
      <c r="F335" s="1">
        <v>3.9</v>
      </c>
      <c r="G335" s="1">
        <v>2.1</v>
      </c>
      <c r="H335" s="1" t="s">
        <v>168</v>
      </c>
      <c r="I335" s="5">
        <v>3.2</v>
      </c>
      <c r="J335" s="5">
        <v>72.92960156250001</v>
      </c>
    </row>
    <row r="336" spans="1:10" ht="12.75">
      <c r="A336" s="1" t="s">
        <v>127</v>
      </c>
      <c r="B336" s="8">
        <v>37272</v>
      </c>
      <c r="C336" s="20">
        <v>0.6041666666666666</v>
      </c>
      <c r="D336" s="1">
        <v>812</v>
      </c>
      <c r="E336" s="45">
        <v>22.9932822</v>
      </c>
      <c r="F336" s="1">
        <v>3.9</v>
      </c>
      <c r="G336" s="23">
        <v>2</v>
      </c>
      <c r="H336" s="1" t="s">
        <v>168</v>
      </c>
      <c r="I336" s="5">
        <v>4</v>
      </c>
      <c r="J336" s="5">
        <v>76.58402604166666</v>
      </c>
    </row>
    <row r="337" spans="1:10" ht="12.75">
      <c r="A337" s="1" t="s">
        <v>128</v>
      </c>
      <c r="B337" s="8">
        <v>37301</v>
      </c>
      <c r="C337" s="20">
        <v>0.4479166666666667</v>
      </c>
      <c r="D337" s="1">
        <v>725</v>
      </c>
      <c r="E337" s="45">
        <v>20.52971625</v>
      </c>
      <c r="F337" s="1">
        <v>3.9</v>
      </c>
      <c r="G337" s="23">
        <v>2</v>
      </c>
      <c r="H337" s="1" t="s">
        <v>168</v>
      </c>
      <c r="I337" s="5">
        <v>3.7</v>
      </c>
      <c r="J337" s="5">
        <v>74.51848177083333</v>
      </c>
    </row>
    <row r="338" spans="1:10" ht="12.75">
      <c r="A338" s="1" t="s">
        <v>129</v>
      </c>
      <c r="B338" s="8">
        <v>37323</v>
      </c>
      <c r="C338" s="20">
        <v>0.6145833333333334</v>
      </c>
      <c r="D338" s="1">
        <v>795</v>
      </c>
      <c r="E338" s="45">
        <v>22.51189575</v>
      </c>
      <c r="F338" s="1">
        <v>3.7</v>
      </c>
      <c r="G338" s="23">
        <v>2</v>
      </c>
      <c r="H338" s="1" t="s">
        <v>168</v>
      </c>
      <c r="I338" s="5">
        <v>3.5</v>
      </c>
      <c r="J338" s="5">
        <v>73.406265625</v>
      </c>
    </row>
    <row r="339" spans="1:10" ht="12.75">
      <c r="A339" s="1" t="s">
        <v>130</v>
      </c>
      <c r="B339" s="8">
        <v>37363</v>
      </c>
      <c r="C339" s="20">
        <v>0.3541666666666667</v>
      </c>
      <c r="D339" s="1">
        <v>1380</v>
      </c>
      <c r="E339" s="45">
        <v>39.077253</v>
      </c>
      <c r="F339" s="1">
        <v>2.8</v>
      </c>
      <c r="G339" s="1">
        <v>1.3</v>
      </c>
      <c r="H339" s="1" t="s">
        <v>168</v>
      </c>
      <c r="I339" s="5">
        <v>3</v>
      </c>
      <c r="J339" s="5">
        <v>56.08747135416667</v>
      </c>
    </row>
    <row r="340" spans="1:10" ht="12.75">
      <c r="A340" s="1" t="s">
        <v>131</v>
      </c>
      <c r="B340" s="8">
        <v>37370</v>
      </c>
      <c r="C340" s="20">
        <v>0.4166666666666667</v>
      </c>
      <c r="D340" s="1">
        <v>1390</v>
      </c>
      <c r="E340" s="45">
        <v>39.3604215</v>
      </c>
      <c r="F340" s="1">
        <v>3.2</v>
      </c>
      <c r="G340" s="1">
        <v>1.6</v>
      </c>
      <c r="H340" s="1" t="s">
        <v>168</v>
      </c>
      <c r="I340" s="5">
        <v>3.2</v>
      </c>
      <c r="J340" s="5">
        <v>67.36852083333333</v>
      </c>
    </row>
    <row r="341" spans="1:10" ht="12.75">
      <c r="A341" s="1" t="s">
        <v>132</v>
      </c>
      <c r="B341" s="8">
        <v>37377</v>
      </c>
      <c r="C341" s="20">
        <v>0.6145833333333334</v>
      </c>
      <c r="D341" s="1">
        <v>2220</v>
      </c>
      <c r="E341" s="45">
        <v>62.863407</v>
      </c>
      <c r="F341" s="1">
        <v>2.2</v>
      </c>
      <c r="G341" s="1">
        <v>1.4</v>
      </c>
      <c r="H341" s="1" t="s">
        <v>168</v>
      </c>
      <c r="I341" s="5">
        <v>4.2</v>
      </c>
      <c r="J341" s="5">
        <v>62.76076822916666</v>
      </c>
    </row>
    <row r="342" spans="1:10" ht="12.75">
      <c r="A342" s="1" t="s">
        <v>133</v>
      </c>
      <c r="B342" s="8">
        <v>37381</v>
      </c>
      <c r="C342" s="20">
        <v>0.3541666666666667</v>
      </c>
      <c r="D342" s="1">
        <v>2290</v>
      </c>
      <c r="E342" s="45">
        <v>64.8455865</v>
      </c>
      <c r="F342" s="1">
        <v>2.5</v>
      </c>
      <c r="G342" s="1">
        <v>1.6</v>
      </c>
      <c r="H342" s="1" t="s">
        <v>168</v>
      </c>
      <c r="I342" s="5">
        <v>3.5</v>
      </c>
      <c r="J342" s="5">
        <v>63.61876354166667</v>
      </c>
    </row>
    <row r="343" spans="1:10" ht="12.75">
      <c r="A343" s="1" t="s">
        <v>134</v>
      </c>
      <c r="B343" s="8">
        <v>37385</v>
      </c>
      <c r="C343" s="20">
        <v>0.34375</v>
      </c>
      <c r="D343" s="1">
        <v>2120</v>
      </c>
      <c r="E343" s="45">
        <v>60.031722</v>
      </c>
      <c r="F343" s="1">
        <v>2.3</v>
      </c>
      <c r="G343" s="1">
        <v>1.6</v>
      </c>
      <c r="H343" s="1" t="s">
        <v>168</v>
      </c>
      <c r="I343" s="5">
        <v>3.2</v>
      </c>
      <c r="J343" s="5">
        <v>58.94745572916668</v>
      </c>
    </row>
    <row r="344" spans="1:10" ht="12.75">
      <c r="A344" s="1" t="s">
        <v>135</v>
      </c>
      <c r="B344" s="8">
        <v>37391</v>
      </c>
      <c r="C344" s="20">
        <v>0.3541666666666667</v>
      </c>
      <c r="D344" s="1">
        <v>2210</v>
      </c>
      <c r="E344" s="45">
        <v>62.5802385</v>
      </c>
      <c r="F344" s="1">
        <v>2.4</v>
      </c>
      <c r="G344" s="1">
        <v>1.5</v>
      </c>
      <c r="H344" s="1" t="s">
        <v>168</v>
      </c>
      <c r="I344" s="5">
        <v>3.2</v>
      </c>
      <c r="J344" s="5">
        <v>57.676351562499995</v>
      </c>
    </row>
    <row r="345" spans="1:10" ht="12.75">
      <c r="A345" s="1" t="s">
        <v>136</v>
      </c>
      <c r="B345" s="8">
        <v>37397</v>
      </c>
      <c r="C345" s="20">
        <v>0.4166666666666667</v>
      </c>
      <c r="D345" s="1">
        <v>1990</v>
      </c>
      <c r="E345" s="45">
        <v>56.3505315</v>
      </c>
      <c r="F345" s="1">
        <v>3.8</v>
      </c>
      <c r="G345" s="23">
        <v>2</v>
      </c>
      <c r="H345" s="1" t="s">
        <v>168</v>
      </c>
      <c r="I345" s="5">
        <v>3.6</v>
      </c>
      <c r="J345" s="5">
        <v>78.17290625</v>
      </c>
    </row>
    <row r="346" spans="1:10" ht="12.75">
      <c r="A346" s="1" t="s">
        <v>137</v>
      </c>
      <c r="B346" s="8">
        <v>37398</v>
      </c>
      <c r="C346" s="20">
        <v>0.5208333333333334</v>
      </c>
      <c r="D346" s="1">
        <v>2240</v>
      </c>
      <c r="E346" s="45">
        <v>63.429744</v>
      </c>
      <c r="F346" s="1">
        <v>2.4</v>
      </c>
      <c r="G346" s="1">
        <v>1.6</v>
      </c>
      <c r="H346" s="1" t="s">
        <v>168</v>
      </c>
      <c r="I346" s="5">
        <v>3.2</v>
      </c>
      <c r="J346" s="5">
        <v>60.854111979166674</v>
      </c>
    </row>
    <row r="347" spans="1:10" ht="12.75">
      <c r="A347" s="1" t="s">
        <v>138</v>
      </c>
      <c r="B347" s="8">
        <v>37405</v>
      </c>
      <c r="C347" s="20">
        <v>0.6</v>
      </c>
      <c r="D347" s="1">
        <v>1860</v>
      </c>
      <c r="E347" s="45">
        <v>52.669341</v>
      </c>
      <c r="F347" s="1">
        <v>2.3</v>
      </c>
      <c r="G347" s="1">
        <v>1.6</v>
      </c>
      <c r="H347" s="1" t="s">
        <v>168</v>
      </c>
      <c r="I347" s="5">
        <v>3.6</v>
      </c>
      <c r="J347" s="5">
        <v>62.76076822916666</v>
      </c>
    </row>
    <row r="348" spans="1:10" ht="12.75">
      <c r="A348" s="1" t="s">
        <v>139</v>
      </c>
      <c r="B348" s="8">
        <v>37419</v>
      </c>
      <c r="C348" s="20">
        <v>0.3333333333333333</v>
      </c>
      <c r="D348" s="1">
        <v>1600</v>
      </c>
      <c r="E348" s="45">
        <v>45.306960000000004</v>
      </c>
      <c r="F348" s="1">
        <v>2.5</v>
      </c>
      <c r="G348" s="1">
        <v>1.7</v>
      </c>
      <c r="H348" s="1" t="s">
        <v>168</v>
      </c>
      <c r="I348" s="5">
        <v>3.6</v>
      </c>
      <c r="J348" s="5">
        <v>65.62075260416667</v>
      </c>
    </row>
    <row r="349" spans="1:10" ht="12.75">
      <c r="A349" s="1" t="s">
        <v>140</v>
      </c>
      <c r="B349" s="8">
        <v>37426</v>
      </c>
      <c r="C349" s="20">
        <v>0.5902777777777778</v>
      </c>
      <c r="D349" s="1">
        <v>1570</v>
      </c>
      <c r="E349" s="45">
        <v>44.457454500000004</v>
      </c>
      <c r="F349" s="1">
        <v>2.6</v>
      </c>
      <c r="G349" s="1">
        <v>1.7</v>
      </c>
      <c r="H349" s="1" t="s">
        <v>168</v>
      </c>
      <c r="I349" s="5">
        <v>3.3</v>
      </c>
      <c r="J349" s="5">
        <v>67.36852083333333</v>
      </c>
    </row>
    <row r="350" spans="1:10" ht="12.75">
      <c r="A350" s="1" t="s">
        <v>141</v>
      </c>
      <c r="B350" s="8">
        <v>37433</v>
      </c>
      <c r="C350" s="20">
        <v>0.34375</v>
      </c>
      <c r="D350" s="1">
        <v>1480</v>
      </c>
      <c r="E350" s="45">
        <v>41.908938</v>
      </c>
      <c r="F350" s="1">
        <v>2.6</v>
      </c>
      <c r="G350" s="1">
        <v>1.8</v>
      </c>
      <c r="H350" s="1" t="s">
        <v>168</v>
      </c>
      <c r="I350" s="5">
        <v>3.9</v>
      </c>
      <c r="J350" s="5">
        <v>69.11628906250002</v>
      </c>
    </row>
    <row r="351" spans="1:10" ht="12.75">
      <c r="A351" s="1" t="s">
        <v>142</v>
      </c>
      <c r="B351" s="8">
        <v>37440</v>
      </c>
      <c r="C351" s="20">
        <v>0.5833333333333334</v>
      </c>
      <c r="D351" s="1">
        <v>1740</v>
      </c>
      <c r="E351" s="45">
        <v>49.271319</v>
      </c>
      <c r="F351" s="1">
        <v>2.5</v>
      </c>
      <c r="G351" s="1">
        <v>1.8</v>
      </c>
      <c r="H351" s="1" t="s">
        <v>168</v>
      </c>
      <c r="I351" s="5">
        <v>4</v>
      </c>
      <c r="J351" s="5">
        <v>73.56515364583333</v>
      </c>
    </row>
    <row r="352" spans="1:10" ht="12.75">
      <c r="A352" s="1" t="s">
        <v>143</v>
      </c>
      <c r="B352" s="8">
        <v>37447</v>
      </c>
      <c r="C352" s="22">
        <v>0.4583333333333333</v>
      </c>
      <c r="D352" s="1">
        <v>1890</v>
      </c>
      <c r="E352" s="45">
        <v>53.5188465</v>
      </c>
      <c r="F352" s="1">
        <v>2.5</v>
      </c>
      <c r="G352" s="1">
        <v>1.8</v>
      </c>
      <c r="H352" s="1" t="s">
        <v>168</v>
      </c>
      <c r="I352" s="5">
        <v>3.6</v>
      </c>
      <c r="J352" s="5">
        <v>72.13516145833333</v>
      </c>
    </row>
    <row r="353" spans="1:10" ht="12.75">
      <c r="A353" s="1" t="s">
        <v>144</v>
      </c>
      <c r="B353" s="8">
        <v>37454</v>
      </c>
      <c r="C353" s="20">
        <v>0.576388888888889</v>
      </c>
      <c r="D353" s="1">
        <v>1960</v>
      </c>
      <c r="E353" s="45">
        <v>55.501026</v>
      </c>
      <c r="F353" s="1">
        <v>2.4</v>
      </c>
      <c r="G353" s="1">
        <v>1.8</v>
      </c>
      <c r="H353" s="1" t="s">
        <v>168</v>
      </c>
      <c r="I353" s="5">
        <v>3.7</v>
      </c>
      <c r="J353" s="5">
        <v>74.20070572916666</v>
      </c>
    </row>
    <row r="354" spans="1:10" ht="12.75">
      <c r="A354" s="1" t="s">
        <v>145</v>
      </c>
      <c r="B354" s="8">
        <v>37462</v>
      </c>
      <c r="C354" s="20">
        <v>0.5520833333333334</v>
      </c>
      <c r="D354" s="1">
        <v>1700</v>
      </c>
      <c r="E354" s="45">
        <v>48.138645000000004</v>
      </c>
      <c r="F354" s="1">
        <v>2.5</v>
      </c>
      <c r="G354" s="23">
        <v>2</v>
      </c>
      <c r="H354" s="1" t="s">
        <v>168</v>
      </c>
      <c r="I354" s="5">
        <v>4.1</v>
      </c>
      <c r="J354" s="5">
        <v>78.33179427083334</v>
      </c>
    </row>
    <row r="355" spans="1:10" ht="12.75">
      <c r="A355" s="1" t="s">
        <v>146</v>
      </c>
      <c r="B355" s="8">
        <v>37482</v>
      </c>
      <c r="C355" s="20">
        <v>0.5416666666666666</v>
      </c>
      <c r="D355" s="1">
        <v>1700</v>
      </c>
      <c r="E355" s="45">
        <v>48.138645000000004</v>
      </c>
      <c r="F355" s="1">
        <v>2.6</v>
      </c>
      <c r="G355" s="1">
        <v>1.9</v>
      </c>
      <c r="H355" s="1" t="s">
        <v>168</v>
      </c>
      <c r="I355" s="5">
        <v>4.1</v>
      </c>
      <c r="J355" s="5">
        <v>72.29404947916666</v>
      </c>
    </row>
    <row r="356" spans="1:10" ht="12.75">
      <c r="A356" s="1" t="s">
        <v>147</v>
      </c>
      <c r="B356" s="8">
        <v>37496</v>
      </c>
      <c r="C356" s="20">
        <v>0.4583333333333333</v>
      </c>
      <c r="D356" s="1">
        <v>2010</v>
      </c>
      <c r="E356" s="45">
        <v>56.9168685</v>
      </c>
      <c r="F356" s="1">
        <v>2.6</v>
      </c>
      <c r="G356" s="1">
        <v>1.8</v>
      </c>
      <c r="H356" s="1" t="s">
        <v>168</v>
      </c>
      <c r="I356" s="5">
        <v>3.4</v>
      </c>
      <c r="J356" s="5">
        <v>74.51848177083333</v>
      </c>
    </row>
    <row r="357" spans="1:10" ht="12.75">
      <c r="A357" s="1" t="s">
        <v>148</v>
      </c>
      <c r="B357" s="8">
        <v>37510</v>
      </c>
      <c r="C357" s="20">
        <v>0.5833333333333334</v>
      </c>
      <c r="D357" s="1">
        <v>1770</v>
      </c>
      <c r="E357" s="45">
        <v>50.120824500000005</v>
      </c>
      <c r="F357" s="1">
        <v>2.7</v>
      </c>
      <c r="G357" s="1">
        <v>1.8</v>
      </c>
      <c r="H357" s="1" t="s">
        <v>168</v>
      </c>
      <c r="I357" s="5">
        <v>3.8</v>
      </c>
      <c r="J357" s="5">
        <v>77.06069010416667</v>
      </c>
    </row>
    <row r="358" spans="1:10" ht="12.75">
      <c r="A358" s="1" t="s">
        <v>149</v>
      </c>
      <c r="B358" s="8">
        <v>37529</v>
      </c>
      <c r="C358" s="20">
        <v>0.40972222222222227</v>
      </c>
      <c r="D358" s="1">
        <v>1140</v>
      </c>
      <c r="E358" s="45">
        <v>32.281209000000004</v>
      </c>
      <c r="F358" s="1">
        <v>3.2</v>
      </c>
      <c r="G358" s="1">
        <v>1.9</v>
      </c>
      <c r="H358" s="1" t="s">
        <v>168</v>
      </c>
      <c r="I358" s="5">
        <v>3.5</v>
      </c>
      <c r="J358" s="5">
        <v>74.8362578125</v>
      </c>
    </row>
    <row r="360" ht="15.75">
      <c r="A360" s="145" t="s">
        <v>681</v>
      </c>
    </row>
    <row r="361" ht="12.75">
      <c r="A361" s="1" t="s">
        <v>666</v>
      </c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">
      <pane xSplit="2" ySplit="2" topLeftCell="D3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64" sqref="P64:S64"/>
    </sheetView>
  </sheetViews>
  <sheetFormatPr defaultColWidth="9.140625" defaultRowHeight="12.75"/>
  <cols>
    <col min="8" max="10" width="9.140625" style="5" customWidth="1"/>
    <col min="11" max="11" width="9.140625" style="38" customWidth="1"/>
  </cols>
  <sheetData>
    <row r="1" spans="2:19" ht="13.5" thickBot="1">
      <c r="B1" s="67" t="s">
        <v>516</v>
      </c>
      <c r="C1" s="68"/>
      <c r="D1" s="69"/>
      <c r="E1" s="69"/>
      <c r="F1" s="69"/>
      <c r="G1" s="70"/>
      <c r="H1" s="109"/>
      <c r="I1" s="110"/>
      <c r="J1" s="110"/>
      <c r="K1" s="70"/>
      <c r="L1" s="74"/>
      <c r="M1" s="74"/>
      <c r="N1" s="74"/>
      <c r="O1" s="74"/>
      <c r="P1" s="75"/>
      <c r="Q1" s="75"/>
      <c r="R1" s="75"/>
      <c r="S1" s="75"/>
    </row>
    <row r="2" spans="2:19" ht="52.5" thickBot="1" thickTop="1">
      <c r="B2" s="78" t="s">
        <v>0</v>
      </c>
      <c r="C2" s="79" t="s">
        <v>1</v>
      </c>
      <c r="D2" s="79" t="s">
        <v>163</v>
      </c>
      <c r="E2" s="79" t="s">
        <v>29</v>
      </c>
      <c r="F2" s="79" t="s">
        <v>162</v>
      </c>
      <c r="G2" s="80" t="s">
        <v>161</v>
      </c>
      <c r="H2" s="111" t="s">
        <v>2</v>
      </c>
      <c r="I2" s="111" t="s">
        <v>158</v>
      </c>
      <c r="J2" s="111" t="s">
        <v>159</v>
      </c>
      <c r="K2" s="80" t="s">
        <v>160</v>
      </c>
      <c r="L2" s="80" t="s">
        <v>176</v>
      </c>
      <c r="M2" s="80" t="s">
        <v>177</v>
      </c>
      <c r="N2" s="80" t="s">
        <v>178</v>
      </c>
      <c r="O2" s="80" t="s">
        <v>179</v>
      </c>
      <c r="P2" s="81" t="s">
        <v>180</v>
      </c>
      <c r="Q2" s="81" t="s">
        <v>181</v>
      </c>
      <c r="R2" s="81" t="s">
        <v>182</v>
      </c>
      <c r="S2" s="81" t="s">
        <v>183</v>
      </c>
    </row>
    <row r="3" spans="1:19" ht="12.75">
      <c r="A3">
        <v>1</v>
      </c>
      <c r="C3" s="98">
        <v>37530</v>
      </c>
      <c r="E3" s="5">
        <f>C3-28489</f>
        <v>9041</v>
      </c>
      <c r="F3" s="1">
        <v>30</v>
      </c>
      <c r="G3" s="7">
        <f>F3*0.028317</f>
        <v>0.84951</v>
      </c>
      <c r="H3" s="5">
        <f>100.72*G3^-0.6789</f>
        <v>112.51313492334306</v>
      </c>
      <c r="I3" s="5">
        <f>364.65*G3^-0.6673</f>
        <v>406.5763201567665</v>
      </c>
      <c r="J3" s="5">
        <f>116.81*G3^-0.9167</f>
        <v>135.64733446274798</v>
      </c>
      <c r="K3" s="38">
        <f>1.8744*G3^-0.4207</f>
        <v>2.00752558799675</v>
      </c>
      <c r="L3" s="7">
        <f>(H3*$G3)</f>
        <v>95.58103324872916</v>
      </c>
      <c r="M3" s="7">
        <f>(I3*$G3)</f>
        <v>345.3906497363747</v>
      </c>
      <c r="N3" s="7">
        <f>(J3*$G3)</f>
        <v>115.23376709944904</v>
      </c>
      <c r="O3" s="7">
        <f>(K3*$G3)</f>
        <v>1.7054130622591193</v>
      </c>
      <c r="P3" s="7">
        <f>(((L3+L4)/2)*(($E4-$E3)*24*60*60))/1000000</f>
        <v>257.499882141902</v>
      </c>
      <c r="Q3" s="7">
        <f>(((M3+M4)/2)*(($E4-$E3)*24*60*60))/1000000</f>
        <v>914.5979689902005</v>
      </c>
      <c r="R3" s="7">
        <f>(((N3+N4)/2)*(($E4-$E3)*24*60*60))/1000000</f>
        <v>307.7577659516866</v>
      </c>
      <c r="S3" s="7">
        <f>(((O3+O4)/2)*(($E4-$E3)*24*60*60))/1000000</f>
        <v>4.478296933065483</v>
      </c>
    </row>
    <row r="4" spans="1:19" ht="12.75">
      <c r="A4">
        <v>2</v>
      </c>
      <c r="B4" s="1"/>
      <c r="C4" s="99">
        <v>37561</v>
      </c>
      <c r="D4" s="10"/>
      <c r="E4" s="5">
        <f aca="true" t="shared" si="0" ref="E4:E31">C4-28489</f>
        <v>9072</v>
      </c>
      <c r="F4" s="34">
        <v>28</v>
      </c>
      <c r="G4" s="7">
        <f aca="true" t="shared" si="1" ref="G4:G30">F4*0.028317</f>
        <v>0.7928759999999999</v>
      </c>
      <c r="H4" s="5">
        <f>1707.5*(F4)^-0.792</f>
        <v>121.95835321769518</v>
      </c>
      <c r="I4" s="5">
        <f>364.65*G4^-0.6673</f>
        <v>425.7322399659676</v>
      </c>
      <c r="J4" s="5">
        <f>116.81*G4^-0.9167</f>
        <v>144.50356146931267</v>
      </c>
      <c r="K4" s="38">
        <f>1.8744*G4^-0.4207</f>
        <v>2.066648502005708</v>
      </c>
      <c r="L4" s="7">
        <f aca="true" t="shared" si="2" ref="L4:O31">(H4*$G4)</f>
        <v>96.69785126583326</v>
      </c>
      <c r="M4" s="7">
        <f t="shared" si="2"/>
        <v>337.5528754952565</v>
      </c>
      <c r="N4" s="7">
        <f t="shared" si="2"/>
        <v>114.57340580354274</v>
      </c>
      <c r="O4" s="7">
        <f t="shared" si="2"/>
        <v>1.6385959976762776</v>
      </c>
      <c r="P4" s="7">
        <f aca="true" t="shared" si="3" ref="P4:S30">(((L4+L5)/2)*(($E5-$E4)*24*60*60))/1000000</f>
        <v>250.6408304810398</v>
      </c>
      <c r="Q4" s="7">
        <f t="shared" si="3"/>
        <v>874.9370532837049</v>
      </c>
      <c r="R4" s="7">
        <f t="shared" si="3"/>
        <v>296.9742678427828</v>
      </c>
      <c r="S4" s="7">
        <f t="shared" si="3"/>
        <v>4.247240825976912</v>
      </c>
    </row>
    <row r="5" spans="1:19" ht="12.75">
      <c r="A5">
        <v>3</v>
      </c>
      <c r="B5" s="1"/>
      <c r="C5" s="99">
        <v>37591</v>
      </c>
      <c r="D5" s="10"/>
      <c r="E5" s="5">
        <f t="shared" si="0"/>
        <v>9102</v>
      </c>
      <c r="F5" s="34">
        <v>28</v>
      </c>
      <c r="G5" s="7">
        <f t="shared" si="1"/>
        <v>0.7928759999999999</v>
      </c>
      <c r="H5" s="5">
        <f>1707.5*(F5)^-0.792</f>
        <v>121.95835321769518</v>
      </c>
      <c r="I5" s="5">
        <f>364.65*G5^-0.6673</f>
        <v>425.7322399659676</v>
      </c>
      <c r="J5" s="5">
        <f>116.81*G5^-0.9167</f>
        <v>144.50356146931267</v>
      </c>
      <c r="K5" s="38">
        <f>1.8744*G5^-0.4207</f>
        <v>2.066648502005708</v>
      </c>
      <c r="L5" s="7">
        <f t="shared" si="2"/>
        <v>96.69785126583326</v>
      </c>
      <c r="M5" s="7">
        <f t="shared" si="2"/>
        <v>337.5528754952565</v>
      </c>
      <c r="N5" s="7">
        <f t="shared" si="2"/>
        <v>114.57340580354274</v>
      </c>
      <c r="O5" s="7">
        <f t="shared" si="2"/>
        <v>1.6385959976762776</v>
      </c>
      <c r="P5" s="7">
        <f t="shared" si="3"/>
        <v>258.9955248304078</v>
      </c>
      <c r="Q5" s="7">
        <f t="shared" si="3"/>
        <v>904.1016217264951</v>
      </c>
      <c r="R5" s="7">
        <f t="shared" si="3"/>
        <v>306.87341010420886</v>
      </c>
      <c r="S5" s="7">
        <f t="shared" si="3"/>
        <v>4.388815520176141</v>
      </c>
    </row>
    <row r="6" spans="1:19" ht="12.75">
      <c r="A6">
        <v>4</v>
      </c>
      <c r="C6" s="98">
        <v>37622</v>
      </c>
      <c r="E6" s="5">
        <f t="shared" si="0"/>
        <v>9133</v>
      </c>
      <c r="F6" s="34">
        <v>28</v>
      </c>
      <c r="G6" s="7">
        <f t="shared" si="1"/>
        <v>0.7928759999999999</v>
      </c>
      <c r="H6" s="5">
        <f>1707.5*(F6)^-0.792</f>
        <v>121.95835321769518</v>
      </c>
      <c r="I6" s="5">
        <f>364.65*G6^-0.6673</f>
        <v>425.7322399659676</v>
      </c>
      <c r="J6" s="5">
        <f>116.81*G6^-0.9167</f>
        <v>144.50356146931267</v>
      </c>
      <c r="K6" s="38">
        <f>1.8744*G6^-0.4207</f>
        <v>2.066648502005708</v>
      </c>
      <c r="L6" s="7">
        <f t="shared" si="2"/>
        <v>96.69785126583326</v>
      </c>
      <c r="M6" s="7">
        <f t="shared" si="2"/>
        <v>337.5528754952565</v>
      </c>
      <c r="N6" s="7">
        <f t="shared" si="2"/>
        <v>114.57340580354274</v>
      </c>
      <c r="O6" s="7">
        <f t="shared" si="2"/>
        <v>1.6385959976762776</v>
      </c>
      <c r="P6" s="7">
        <f t="shared" si="3"/>
        <v>403.0902170248318</v>
      </c>
      <c r="Q6" s="7">
        <f t="shared" si="3"/>
        <v>1425.705744258964</v>
      </c>
      <c r="R6" s="7">
        <f t="shared" si="3"/>
        <v>446.9358100165223</v>
      </c>
      <c r="S6" s="7">
        <f t="shared" si="3"/>
        <v>7.27318931998153</v>
      </c>
    </row>
    <row r="7" spans="1:19" ht="12.75">
      <c r="A7">
        <v>5</v>
      </c>
      <c r="B7" s="1" t="s">
        <v>517</v>
      </c>
      <c r="C7" s="99">
        <v>37670</v>
      </c>
      <c r="D7" s="10">
        <v>0.4756944444444444</v>
      </c>
      <c r="E7" s="5">
        <f t="shared" si="0"/>
        <v>9181</v>
      </c>
      <c r="F7" s="34">
        <v>30</v>
      </c>
      <c r="G7" s="7">
        <f t="shared" si="1"/>
        <v>0.84951</v>
      </c>
      <c r="H7" s="5">
        <v>115</v>
      </c>
      <c r="I7" s="5">
        <v>412</v>
      </c>
      <c r="J7" s="5">
        <v>118.84823958333335</v>
      </c>
      <c r="K7" s="38">
        <v>2.2</v>
      </c>
      <c r="L7" s="7">
        <f t="shared" si="2"/>
        <v>97.69365</v>
      </c>
      <c r="M7" s="7">
        <f t="shared" si="2"/>
        <v>349.99812</v>
      </c>
      <c r="N7" s="7">
        <f t="shared" si="2"/>
        <v>100.96276800843752</v>
      </c>
      <c r="O7" s="7">
        <f t="shared" si="2"/>
        <v>1.8689220000000002</v>
      </c>
      <c r="P7" s="7">
        <f t="shared" si="3"/>
        <v>128.72115324</v>
      </c>
      <c r="Q7" s="7">
        <f t="shared" si="3"/>
        <v>460.0198591199999</v>
      </c>
      <c r="R7" s="7">
        <f t="shared" si="3"/>
        <v>122.544396527409</v>
      </c>
      <c r="S7" s="7">
        <f t="shared" si="3"/>
        <v>2.4624916272</v>
      </c>
    </row>
    <row r="8" spans="1:19" ht="12.75">
      <c r="A8">
        <v>6</v>
      </c>
      <c r="B8" s="1" t="s">
        <v>518</v>
      </c>
      <c r="C8" s="99">
        <v>37685</v>
      </c>
      <c r="D8" s="10">
        <v>0.6868055555555556</v>
      </c>
      <c r="E8" s="5">
        <f t="shared" si="0"/>
        <v>9196</v>
      </c>
      <c r="F8" s="34">
        <v>31</v>
      </c>
      <c r="G8" s="7">
        <f t="shared" si="1"/>
        <v>0.8778269999999999</v>
      </c>
      <c r="H8" s="5">
        <v>115</v>
      </c>
      <c r="I8" s="5">
        <v>410</v>
      </c>
      <c r="J8" s="5">
        <v>100.41722916666667</v>
      </c>
      <c r="K8" s="38">
        <v>2.2</v>
      </c>
      <c r="L8" s="7">
        <f t="shared" si="2"/>
        <v>100.950105</v>
      </c>
      <c r="M8" s="7">
        <f t="shared" si="2"/>
        <v>359.90907</v>
      </c>
      <c r="N8" s="7">
        <f t="shared" si="2"/>
        <v>88.14895502768749</v>
      </c>
      <c r="O8" s="7">
        <f t="shared" si="2"/>
        <v>1.9312194</v>
      </c>
      <c r="P8" s="7">
        <f t="shared" si="3"/>
        <v>311.26481349119996</v>
      </c>
      <c r="Q8" s="7">
        <f t="shared" si="3"/>
        <v>1111.2699920256</v>
      </c>
      <c r="R8" s="7">
        <f t="shared" si="3"/>
        <v>310.6199572122996</v>
      </c>
      <c r="S8" s="7">
        <f t="shared" si="3"/>
        <v>5.870345166719999</v>
      </c>
    </row>
    <row r="9" spans="1:19" ht="12.75">
      <c r="A9">
        <v>7</v>
      </c>
      <c r="B9" s="1" t="s">
        <v>519</v>
      </c>
      <c r="C9" s="99">
        <v>37721</v>
      </c>
      <c r="D9" s="10">
        <v>0.5416666666666666</v>
      </c>
      <c r="E9" s="5">
        <f t="shared" si="0"/>
        <v>9232</v>
      </c>
      <c r="F9" s="34">
        <v>31</v>
      </c>
      <c r="G9" s="7">
        <f t="shared" si="1"/>
        <v>0.8778269999999999</v>
      </c>
      <c r="H9" s="5">
        <v>113</v>
      </c>
      <c r="I9" s="5">
        <v>404</v>
      </c>
      <c r="J9" s="5">
        <v>127.11041666666667</v>
      </c>
      <c r="K9" s="38">
        <v>2.1</v>
      </c>
      <c r="L9" s="7">
        <f t="shared" si="2"/>
        <v>99.19445099999999</v>
      </c>
      <c r="M9" s="7">
        <f t="shared" si="2"/>
        <v>354.64210799999995</v>
      </c>
      <c r="N9" s="7">
        <f t="shared" si="2"/>
        <v>111.58095573124999</v>
      </c>
      <c r="O9" s="7">
        <f t="shared" si="2"/>
        <v>1.8434366999999998</v>
      </c>
      <c r="P9" s="7">
        <f t="shared" si="3"/>
        <v>113.2122268368</v>
      </c>
      <c r="Q9" s="7">
        <f t="shared" si="3"/>
        <v>396.616510368</v>
      </c>
      <c r="R9" s="7">
        <f t="shared" si="3"/>
        <v>122.17432209049079</v>
      </c>
      <c r="S9" s="7">
        <f t="shared" si="3"/>
        <v>2.0021659444799997</v>
      </c>
    </row>
    <row r="10" spans="1:19" ht="12.75">
      <c r="A10">
        <v>8</v>
      </c>
      <c r="B10" s="1" t="s">
        <v>520</v>
      </c>
      <c r="C10" s="99">
        <v>37734</v>
      </c>
      <c r="D10" s="10">
        <v>0.36875</v>
      </c>
      <c r="E10" s="5">
        <f t="shared" si="0"/>
        <v>9245</v>
      </c>
      <c r="F10" s="34">
        <v>32</v>
      </c>
      <c r="G10" s="7">
        <f t="shared" si="1"/>
        <v>0.906144</v>
      </c>
      <c r="H10" s="5">
        <v>113</v>
      </c>
      <c r="I10" s="5">
        <v>388</v>
      </c>
      <c r="J10" s="5">
        <v>116.94158333333334</v>
      </c>
      <c r="K10" s="38">
        <v>1.9</v>
      </c>
      <c r="L10" s="7">
        <f t="shared" si="2"/>
        <v>102.394272</v>
      </c>
      <c r="M10" s="7">
        <f t="shared" si="2"/>
        <v>351.583872</v>
      </c>
      <c r="N10" s="7">
        <f t="shared" si="2"/>
        <v>105.965914088</v>
      </c>
      <c r="O10" s="7">
        <f t="shared" si="2"/>
        <v>1.7216736</v>
      </c>
      <c r="P10" s="7">
        <f t="shared" si="3"/>
        <v>120.567896064</v>
      </c>
      <c r="Q10" s="7">
        <f t="shared" si="3"/>
        <v>428.0160310272</v>
      </c>
      <c r="R10" s="7">
        <f t="shared" si="3"/>
        <v>131.1369651761904</v>
      </c>
      <c r="S10" s="7">
        <f t="shared" si="3"/>
        <v>2.13733997568</v>
      </c>
    </row>
    <row r="11" spans="1:19" ht="12.75">
      <c r="A11">
        <v>9</v>
      </c>
      <c r="B11" s="1" t="s">
        <v>521</v>
      </c>
      <c r="C11" s="99">
        <v>37748</v>
      </c>
      <c r="D11" s="10">
        <v>0.40208333333333335</v>
      </c>
      <c r="E11" s="5">
        <f t="shared" si="0"/>
        <v>9259</v>
      </c>
      <c r="F11" s="34">
        <v>32</v>
      </c>
      <c r="G11" s="7">
        <f t="shared" si="1"/>
        <v>0.906144</v>
      </c>
      <c r="H11" s="5">
        <v>107</v>
      </c>
      <c r="I11" s="5">
        <v>393</v>
      </c>
      <c r="J11" s="5">
        <v>122.34377604166667</v>
      </c>
      <c r="K11" s="38">
        <v>2</v>
      </c>
      <c r="L11" s="7">
        <f t="shared" si="2"/>
        <v>96.957408</v>
      </c>
      <c r="M11" s="7">
        <f t="shared" si="2"/>
        <v>356.11459199999996</v>
      </c>
      <c r="N11" s="7">
        <f t="shared" si="2"/>
        <v>110.8610785975</v>
      </c>
      <c r="O11" s="7">
        <f t="shared" si="2"/>
        <v>1.812288</v>
      </c>
      <c r="P11" s="7">
        <f t="shared" si="3"/>
        <v>57.269750630400004</v>
      </c>
      <c r="Q11" s="7">
        <f t="shared" si="3"/>
        <v>210.44578222079997</v>
      </c>
      <c r="R11" s="7">
        <f t="shared" si="3"/>
        <v>66.2650932928824</v>
      </c>
      <c r="S11" s="7">
        <f t="shared" si="3"/>
        <v>1.06866998784</v>
      </c>
    </row>
    <row r="12" spans="1:19" ht="12.75">
      <c r="A12">
        <v>10</v>
      </c>
      <c r="B12" s="1" t="s">
        <v>522</v>
      </c>
      <c r="C12" s="99">
        <v>37755</v>
      </c>
      <c r="D12" s="10">
        <v>0.32222222222222224</v>
      </c>
      <c r="E12" s="5">
        <f t="shared" si="0"/>
        <v>9266</v>
      </c>
      <c r="F12" s="34">
        <v>32</v>
      </c>
      <c r="G12" s="7">
        <f t="shared" si="1"/>
        <v>0.906144</v>
      </c>
      <c r="H12" s="5">
        <v>102</v>
      </c>
      <c r="I12" s="5">
        <v>375</v>
      </c>
      <c r="J12" s="5">
        <v>119.48379166666668</v>
      </c>
      <c r="K12" s="38">
        <v>1.9</v>
      </c>
      <c r="L12" s="7">
        <f t="shared" si="2"/>
        <v>92.426688</v>
      </c>
      <c r="M12" s="7">
        <f t="shared" si="2"/>
        <v>339.804</v>
      </c>
      <c r="N12" s="7">
        <f t="shared" si="2"/>
        <v>108.269520916</v>
      </c>
      <c r="O12" s="7">
        <f t="shared" si="2"/>
        <v>1.7216736</v>
      </c>
      <c r="P12" s="7">
        <f t="shared" si="3"/>
        <v>57.6208361232</v>
      </c>
      <c r="Q12" s="7">
        <f t="shared" si="3"/>
        <v>210.7026740448</v>
      </c>
      <c r="R12" s="7">
        <f t="shared" si="3"/>
        <v>78.35781974629771</v>
      </c>
      <c r="S12" s="7">
        <f t="shared" si="3"/>
        <v>1.08579610944</v>
      </c>
    </row>
    <row r="13" spans="1:19" ht="12.75">
      <c r="A13">
        <v>11</v>
      </c>
      <c r="B13" s="1" t="s">
        <v>523</v>
      </c>
      <c r="C13" s="99">
        <v>37762</v>
      </c>
      <c r="D13" s="10">
        <v>0.579861111111111</v>
      </c>
      <c r="E13" s="5">
        <f t="shared" si="0"/>
        <v>9273</v>
      </c>
      <c r="F13" s="34">
        <v>33</v>
      </c>
      <c r="G13" s="7">
        <f t="shared" si="1"/>
        <v>0.934461</v>
      </c>
      <c r="H13" s="5">
        <v>105</v>
      </c>
      <c r="I13" s="5">
        <v>382</v>
      </c>
      <c r="J13" s="5">
        <v>161.43022916666666</v>
      </c>
      <c r="K13" s="38">
        <v>2</v>
      </c>
      <c r="L13" s="7">
        <f t="shared" si="2"/>
        <v>98.118405</v>
      </c>
      <c r="M13" s="7">
        <f t="shared" si="2"/>
        <v>356.96410199999997</v>
      </c>
      <c r="N13" s="7">
        <f t="shared" si="2"/>
        <v>150.8502533773125</v>
      </c>
      <c r="O13" s="7">
        <f t="shared" si="2"/>
        <v>1.868922</v>
      </c>
      <c r="P13" s="7">
        <f t="shared" si="3"/>
        <v>58.607300727360006</v>
      </c>
      <c r="Q13" s="7">
        <f t="shared" si="3"/>
        <v>213.97033804608</v>
      </c>
      <c r="R13" s="7">
        <f t="shared" si="3"/>
        <v>88.00152419069549</v>
      </c>
      <c r="S13" s="7">
        <f t="shared" si="3"/>
        <v>1.1303240256</v>
      </c>
    </row>
    <row r="14" spans="1:19" ht="12.75">
      <c r="A14">
        <v>12</v>
      </c>
      <c r="B14" s="1" t="s">
        <v>524</v>
      </c>
      <c r="C14" s="99">
        <v>37769</v>
      </c>
      <c r="D14" s="10">
        <v>0.4513888888888889</v>
      </c>
      <c r="E14" s="5">
        <f t="shared" si="0"/>
        <v>9280</v>
      </c>
      <c r="F14" s="34">
        <v>33</v>
      </c>
      <c r="G14" s="7">
        <f t="shared" si="1"/>
        <v>0.934461</v>
      </c>
      <c r="H14" s="5">
        <v>102.4</v>
      </c>
      <c r="I14" s="5">
        <v>375.2</v>
      </c>
      <c r="J14" s="5">
        <v>149.99029166666665</v>
      </c>
      <c r="K14" s="38">
        <v>2</v>
      </c>
      <c r="L14" s="7">
        <f t="shared" si="2"/>
        <v>95.6888064</v>
      </c>
      <c r="M14" s="7">
        <f t="shared" si="2"/>
        <v>350.60976719999996</v>
      </c>
      <c r="N14" s="7">
        <f t="shared" si="2"/>
        <v>140.160077941125</v>
      </c>
      <c r="O14" s="7">
        <f t="shared" si="2"/>
        <v>1.868922</v>
      </c>
      <c r="P14" s="7">
        <f t="shared" si="3"/>
        <v>58.550784526079994</v>
      </c>
      <c r="Q14" s="7">
        <f t="shared" si="3"/>
        <v>217.47434252543997</v>
      </c>
      <c r="R14" s="7">
        <f t="shared" si="3"/>
        <v>77.40542229834645</v>
      </c>
      <c r="S14" s="7">
        <f t="shared" si="3"/>
        <v>1.1077175450880001</v>
      </c>
    </row>
    <row r="15" spans="1:19" ht="12.75">
      <c r="A15">
        <v>13</v>
      </c>
      <c r="B15" s="1" t="s">
        <v>525</v>
      </c>
      <c r="C15" s="99">
        <v>37776</v>
      </c>
      <c r="D15" s="10">
        <v>0.49513888888888885</v>
      </c>
      <c r="E15" s="5">
        <f t="shared" si="0"/>
        <v>9287</v>
      </c>
      <c r="F15" s="34">
        <v>33</v>
      </c>
      <c r="G15" s="7">
        <f t="shared" si="1"/>
        <v>0.934461</v>
      </c>
      <c r="H15" s="5">
        <v>104.8</v>
      </c>
      <c r="I15" s="5">
        <v>394.4</v>
      </c>
      <c r="J15" s="5">
        <v>123.93265625</v>
      </c>
      <c r="K15" s="38">
        <v>1.92</v>
      </c>
      <c r="L15" s="7">
        <f t="shared" si="2"/>
        <v>97.9315128</v>
      </c>
      <c r="M15" s="7">
        <f t="shared" si="2"/>
        <v>368.5514184</v>
      </c>
      <c r="N15" s="7">
        <f t="shared" si="2"/>
        <v>115.81023389203125</v>
      </c>
      <c r="O15" s="7">
        <f t="shared" si="2"/>
        <v>1.79416512</v>
      </c>
      <c r="P15" s="7">
        <f t="shared" si="3"/>
        <v>58.071253121279995</v>
      </c>
      <c r="Q15" s="7">
        <f t="shared" si="3"/>
        <v>217.41953893631998</v>
      </c>
      <c r="R15" s="7">
        <f t="shared" si="3"/>
        <v>67.41341250155506</v>
      </c>
      <c r="S15" s="7">
        <f t="shared" si="3"/>
        <v>1.052228911104</v>
      </c>
    </row>
    <row r="16" spans="1:19" ht="12.75">
      <c r="A16">
        <v>14</v>
      </c>
      <c r="B16" s="1" t="s">
        <v>526</v>
      </c>
      <c r="C16" s="99">
        <v>37783</v>
      </c>
      <c r="D16" s="10">
        <v>0.5833333333333334</v>
      </c>
      <c r="E16" s="5">
        <f t="shared" si="0"/>
        <v>9294</v>
      </c>
      <c r="F16" s="34">
        <v>31</v>
      </c>
      <c r="G16" s="7">
        <f t="shared" si="1"/>
        <v>0.8778269999999999</v>
      </c>
      <c r="H16" s="5">
        <v>107.2</v>
      </c>
      <c r="I16" s="5">
        <v>399.2</v>
      </c>
      <c r="J16" s="5">
        <v>122.02600000000002</v>
      </c>
      <c r="K16" s="38">
        <v>1.92</v>
      </c>
      <c r="L16" s="7">
        <f t="shared" si="2"/>
        <v>94.10305439999999</v>
      </c>
      <c r="M16" s="7">
        <f t="shared" si="2"/>
        <v>350.4285384</v>
      </c>
      <c r="N16" s="7">
        <f t="shared" si="2"/>
        <v>107.117717502</v>
      </c>
      <c r="O16" s="7">
        <f t="shared" si="2"/>
        <v>1.6854278399999998</v>
      </c>
      <c r="P16" s="7">
        <f t="shared" si="3"/>
        <v>56.91352730111999</v>
      </c>
      <c r="Q16" s="7">
        <f t="shared" si="3"/>
        <v>210.45263266944</v>
      </c>
      <c r="R16" s="7">
        <f t="shared" si="3"/>
        <v>64.7847955452096</v>
      </c>
      <c r="S16" s="7">
        <f t="shared" si="3"/>
        <v>0.998110366848</v>
      </c>
    </row>
    <row r="17" spans="1:19" ht="12.75">
      <c r="A17">
        <v>15</v>
      </c>
      <c r="B17" s="1" t="s">
        <v>527</v>
      </c>
      <c r="C17" s="99">
        <v>37790</v>
      </c>
      <c r="D17" s="10">
        <v>0.3611111111111111</v>
      </c>
      <c r="E17" s="5">
        <f t="shared" si="0"/>
        <v>9301</v>
      </c>
      <c r="F17" s="34">
        <v>31</v>
      </c>
      <c r="G17" s="7">
        <f t="shared" si="1"/>
        <v>0.8778269999999999</v>
      </c>
      <c r="H17" s="5">
        <v>107.2</v>
      </c>
      <c r="I17" s="5">
        <v>393.6</v>
      </c>
      <c r="J17" s="5">
        <v>122.02600000000002</v>
      </c>
      <c r="K17" s="38">
        <v>1.84</v>
      </c>
      <c r="L17" s="7">
        <f t="shared" si="2"/>
        <v>94.10305439999999</v>
      </c>
      <c r="M17" s="7">
        <f t="shared" si="2"/>
        <v>345.51270719999997</v>
      </c>
      <c r="N17" s="7">
        <f t="shared" si="2"/>
        <v>107.117717502</v>
      </c>
      <c r="O17" s="7">
        <f t="shared" si="2"/>
        <v>1.61520168</v>
      </c>
      <c r="P17" s="7">
        <f t="shared" si="3"/>
        <v>48.70081801728</v>
      </c>
      <c r="Q17" s="7">
        <f t="shared" si="3"/>
        <v>179.57178883583998</v>
      </c>
      <c r="R17" s="7">
        <f t="shared" si="3"/>
        <v>54.0044339017059</v>
      </c>
      <c r="S17" s="7">
        <f t="shared" si="3"/>
        <v>0.841430820096</v>
      </c>
    </row>
    <row r="18" spans="1:19" ht="12.75">
      <c r="A18">
        <v>16</v>
      </c>
      <c r="B18" s="1" t="s">
        <v>528</v>
      </c>
      <c r="C18" s="99">
        <v>37796</v>
      </c>
      <c r="D18" s="10">
        <v>0.3520833333333333</v>
      </c>
      <c r="E18" s="5">
        <f t="shared" si="0"/>
        <v>9307</v>
      </c>
      <c r="F18" s="34">
        <v>30</v>
      </c>
      <c r="G18" s="7">
        <f t="shared" si="1"/>
        <v>0.84951</v>
      </c>
      <c r="H18" s="5">
        <v>110.4</v>
      </c>
      <c r="I18" s="5">
        <v>408.8</v>
      </c>
      <c r="J18" s="5">
        <v>119.166015625</v>
      </c>
      <c r="K18" s="38">
        <v>1.92</v>
      </c>
      <c r="L18" s="7">
        <f t="shared" si="2"/>
        <v>93.785904</v>
      </c>
      <c r="M18" s="7">
        <f t="shared" si="2"/>
        <v>347.279688</v>
      </c>
      <c r="N18" s="7">
        <f t="shared" si="2"/>
        <v>101.23272193359375</v>
      </c>
      <c r="O18" s="7">
        <f t="shared" si="2"/>
        <v>1.6310592</v>
      </c>
      <c r="P18" s="7">
        <f t="shared" si="3"/>
        <v>65.95220496384</v>
      </c>
      <c r="Q18" s="7">
        <f t="shared" si="3"/>
        <v>241.6838280192</v>
      </c>
      <c r="R18" s="7">
        <f t="shared" si="3"/>
        <v>66.333510415674</v>
      </c>
      <c r="S18" s="7">
        <f t="shared" si="3"/>
        <v>1.133651386368</v>
      </c>
    </row>
    <row r="19" spans="1:19" ht="12.75">
      <c r="A19">
        <v>17</v>
      </c>
      <c r="B19" s="1" t="s">
        <v>529</v>
      </c>
      <c r="C19" s="99">
        <v>37804</v>
      </c>
      <c r="D19" s="10">
        <v>0.7263888888888889</v>
      </c>
      <c r="E19" s="5">
        <f t="shared" si="0"/>
        <v>9315</v>
      </c>
      <c r="F19" s="34">
        <v>28</v>
      </c>
      <c r="G19" s="7">
        <f t="shared" si="1"/>
        <v>0.7928759999999999</v>
      </c>
      <c r="H19" s="5">
        <v>122.4</v>
      </c>
      <c r="I19" s="5">
        <v>444</v>
      </c>
      <c r="J19" s="5">
        <v>114.399375</v>
      </c>
      <c r="K19" s="38">
        <v>2.08</v>
      </c>
      <c r="L19" s="7">
        <f t="shared" si="2"/>
        <v>97.0480224</v>
      </c>
      <c r="M19" s="7">
        <f t="shared" si="2"/>
        <v>352.03694399999995</v>
      </c>
      <c r="N19" s="7">
        <f t="shared" si="2"/>
        <v>90.7045188525</v>
      </c>
      <c r="O19" s="7">
        <f t="shared" si="2"/>
        <v>1.6491820799999999</v>
      </c>
      <c r="P19" s="7">
        <f t="shared" si="3"/>
        <v>58.379523310079996</v>
      </c>
      <c r="Q19" s="7">
        <f t="shared" si="3"/>
        <v>211.36374233855997</v>
      </c>
      <c r="R19" s="7">
        <f t="shared" si="3"/>
        <v>54.1723668394671</v>
      </c>
      <c r="S19" s="7">
        <f t="shared" si="3"/>
        <v>0.9618029890559999</v>
      </c>
    </row>
    <row r="20" spans="1:19" ht="12.75">
      <c r="A20">
        <v>18</v>
      </c>
      <c r="B20" s="1" t="s">
        <v>530</v>
      </c>
      <c r="C20" s="99">
        <v>37811</v>
      </c>
      <c r="D20" s="10">
        <v>0.3680555555555556</v>
      </c>
      <c r="E20" s="5">
        <f t="shared" si="0"/>
        <v>9322</v>
      </c>
      <c r="F20" s="34">
        <v>26</v>
      </c>
      <c r="G20" s="7">
        <f t="shared" si="1"/>
        <v>0.736242</v>
      </c>
      <c r="H20" s="5">
        <v>130.4</v>
      </c>
      <c r="I20" s="5">
        <v>471.2</v>
      </c>
      <c r="J20" s="5">
        <v>120.11934375</v>
      </c>
      <c r="K20" s="38">
        <v>2.08</v>
      </c>
      <c r="L20" s="7">
        <f t="shared" si="2"/>
        <v>96.00595679999999</v>
      </c>
      <c r="M20" s="7">
        <f t="shared" si="2"/>
        <v>346.9172304</v>
      </c>
      <c r="N20" s="7">
        <f t="shared" si="2"/>
        <v>88.4369058811875</v>
      </c>
      <c r="O20" s="7">
        <f t="shared" si="2"/>
        <v>1.53138336</v>
      </c>
      <c r="P20" s="7">
        <f t="shared" si="3"/>
        <v>57.63967485696</v>
      </c>
      <c r="Q20" s="7">
        <f t="shared" si="3"/>
        <v>208.48655390976</v>
      </c>
      <c r="R20" s="7">
        <f t="shared" si="3"/>
        <v>50.7763896536295</v>
      </c>
      <c r="S20" s="7">
        <f t="shared" si="3"/>
        <v>0.906999399936</v>
      </c>
    </row>
    <row r="21" spans="1:19" ht="12.75">
      <c r="A21">
        <v>19</v>
      </c>
      <c r="B21" s="1" t="s">
        <v>531</v>
      </c>
      <c r="C21" s="99">
        <v>37818</v>
      </c>
      <c r="D21" s="10">
        <v>0.3458333333333334</v>
      </c>
      <c r="E21" s="5">
        <f t="shared" si="0"/>
        <v>9329</v>
      </c>
      <c r="F21" s="34">
        <v>24</v>
      </c>
      <c r="G21" s="7">
        <f t="shared" si="1"/>
        <v>0.679608</v>
      </c>
      <c r="H21" s="5">
        <v>139.2</v>
      </c>
      <c r="I21" s="5">
        <v>504</v>
      </c>
      <c r="J21" s="5">
        <v>116.94158333333334</v>
      </c>
      <c r="K21" s="38">
        <v>2.16</v>
      </c>
      <c r="L21" s="7">
        <f t="shared" si="2"/>
        <v>94.6014336</v>
      </c>
      <c r="M21" s="7">
        <f t="shared" si="2"/>
        <v>342.522432</v>
      </c>
      <c r="N21" s="7">
        <f t="shared" si="2"/>
        <v>79.47443556600001</v>
      </c>
      <c r="O21" s="7">
        <f t="shared" si="2"/>
        <v>1.4679532800000001</v>
      </c>
      <c r="P21" s="7">
        <f t="shared" si="3"/>
        <v>58.037000878079986</v>
      </c>
      <c r="Q21" s="7">
        <f t="shared" si="3"/>
        <v>209.95254991872</v>
      </c>
      <c r="R21" s="7">
        <f t="shared" si="3"/>
        <v>58.5152992021248</v>
      </c>
      <c r="S21" s="7">
        <f t="shared" si="3"/>
        <v>0.9042592204800001</v>
      </c>
    </row>
    <row r="22" spans="1:19" ht="12.75">
      <c r="A22">
        <v>20</v>
      </c>
      <c r="B22" s="1" t="s">
        <v>532</v>
      </c>
      <c r="C22" s="99">
        <v>37825</v>
      </c>
      <c r="D22" s="10">
        <v>0.5868055555555556</v>
      </c>
      <c r="E22" s="5">
        <f t="shared" si="0"/>
        <v>9336</v>
      </c>
      <c r="F22" s="34">
        <v>24</v>
      </c>
      <c r="G22" s="7">
        <f t="shared" si="1"/>
        <v>0.679608</v>
      </c>
      <c r="H22" s="5">
        <v>143.2</v>
      </c>
      <c r="I22" s="5">
        <v>517.6</v>
      </c>
      <c r="J22" s="5">
        <v>167.78575000000004</v>
      </c>
      <c r="K22" s="38">
        <v>2.24</v>
      </c>
      <c r="L22" s="7">
        <f t="shared" si="2"/>
        <v>97.31986559999999</v>
      </c>
      <c r="M22" s="7">
        <f t="shared" si="2"/>
        <v>351.7651008</v>
      </c>
      <c r="N22" s="7">
        <f t="shared" si="2"/>
        <v>114.02853798600002</v>
      </c>
      <c r="O22" s="7">
        <f t="shared" si="2"/>
        <v>1.5223219200000002</v>
      </c>
      <c r="P22" s="7">
        <f t="shared" si="3"/>
        <v>118.45795788287997</v>
      </c>
      <c r="Q22" s="7">
        <f t="shared" si="3"/>
        <v>427.85162025983993</v>
      </c>
      <c r="R22" s="7">
        <f t="shared" si="3"/>
        <v>141.48272259650653</v>
      </c>
      <c r="S22" s="7">
        <f t="shared" si="3"/>
        <v>1.8797631068160001</v>
      </c>
    </row>
    <row r="23" spans="1:19" ht="12.75">
      <c r="A23">
        <v>21</v>
      </c>
      <c r="B23" s="1" t="s">
        <v>533</v>
      </c>
      <c r="C23" s="99">
        <v>37839</v>
      </c>
      <c r="D23" s="10">
        <v>0.4895833333333333</v>
      </c>
      <c r="E23" s="5">
        <f t="shared" si="0"/>
        <v>9350</v>
      </c>
      <c r="F23" s="34">
        <v>25</v>
      </c>
      <c r="G23" s="7">
        <f t="shared" si="1"/>
        <v>0.7079249999999999</v>
      </c>
      <c r="H23" s="5">
        <v>139.2</v>
      </c>
      <c r="I23" s="5">
        <v>502.4</v>
      </c>
      <c r="J23" s="5">
        <v>169.37463020833331</v>
      </c>
      <c r="K23" s="38">
        <v>2.24</v>
      </c>
      <c r="L23" s="7">
        <f t="shared" si="2"/>
        <v>98.54315999999999</v>
      </c>
      <c r="M23" s="7">
        <f t="shared" si="2"/>
        <v>355.66151999999994</v>
      </c>
      <c r="N23" s="7">
        <f t="shared" si="2"/>
        <v>119.90453509023435</v>
      </c>
      <c r="O23" s="7">
        <f t="shared" si="2"/>
        <v>1.585752</v>
      </c>
      <c r="P23" s="7">
        <f t="shared" si="3"/>
        <v>63.606415622399986</v>
      </c>
      <c r="Q23" s="7">
        <f t="shared" si="3"/>
        <v>228.87348906239995</v>
      </c>
      <c r="R23" s="7">
        <f t="shared" si="3"/>
        <v>65.05963023733267</v>
      </c>
      <c r="S23" s="7">
        <f t="shared" si="3"/>
        <v>0.98303937984</v>
      </c>
    </row>
    <row r="24" spans="1:19" ht="12.75">
      <c r="A24">
        <v>22</v>
      </c>
      <c r="B24" s="1" t="s">
        <v>534</v>
      </c>
      <c r="C24" s="99">
        <v>37846</v>
      </c>
      <c r="D24" s="10">
        <v>0.6263888888888889</v>
      </c>
      <c r="E24" s="5">
        <f t="shared" si="0"/>
        <v>9357</v>
      </c>
      <c r="F24" s="34">
        <v>28</v>
      </c>
      <c r="G24" s="7">
        <f t="shared" si="1"/>
        <v>0.7928759999999999</v>
      </c>
      <c r="H24" s="5">
        <v>141</v>
      </c>
      <c r="I24" s="5">
        <v>506</v>
      </c>
      <c r="J24" s="5">
        <v>120.11934375</v>
      </c>
      <c r="K24" s="38">
        <v>2.1</v>
      </c>
      <c r="L24" s="7">
        <f t="shared" si="2"/>
        <v>111.79551599999999</v>
      </c>
      <c r="M24" s="7">
        <f t="shared" si="2"/>
        <v>401.195256</v>
      </c>
      <c r="N24" s="7">
        <f t="shared" si="2"/>
        <v>95.23974479512499</v>
      </c>
      <c r="O24" s="7">
        <f t="shared" si="2"/>
        <v>1.6650395999999998</v>
      </c>
      <c r="P24" s="7">
        <f t="shared" si="3"/>
        <v>0</v>
      </c>
      <c r="Q24" s="7">
        <f t="shared" si="3"/>
        <v>0</v>
      </c>
      <c r="R24" s="7">
        <f t="shared" si="3"/>
        <v>0</v>
      </c>
      <c r="S24" s="7">
        <f t="shared" si="3"/>
        <v>0</v>
      </c>
    </row>
    <row r="25" spans="1:19" ht="12.75">
      <c r="A25">
        <v>23</v>
      </c>
      <c r="B25" s="1" t="s">
        <v>534</v>
      </c>
      <c r="C25" s="99">
        <v>37846</v>
      </c>
      <c r="D25" s="10">
        <v>0.6263888888888889</v>
      </c>
      <c r="E25" s="5">
        <f t="shared" si="0"/>
        <v>9357</v>
      </c>
      <c r="F25" s="34">
        <v>28</v>
      </c>
      <c r="G25" s="7">
        <f t="shared" si="1"/>
        <v>0.7928759999999999</v>
      </c>
      <c r="H25" s="5">
        <v>142</v>
      </c>
      <c r="I25" s="5">
        <v>491</v>
      </c>
      <c r="J25" s="5">
        <v>120.11934375</v>
      </c>
      <c r="K25" s="38">
        <v>2.07</v>
      </c>
      <c r="L25" s="7">
        <f t="shared" si="2"/>
        <v>112.58839199999998</v>
      </c>
      <c r="M25" s="7">
        <f t="shared" si="2"/>
        <v>389.30211599999996</v>
      </c>
      <c r="N25" s="7">
        <f t="shared" si="2"/>
        <v>95.23974479512499</v>
      </c>
      <c r="O25" s="7">
        <f t="shared" si="2"/>
        <v>1.6412533199999997</v>
      </c>
      <c r="P25" s="7">
        <f t="shared" si="3"/>
        <v>73.9456998912</v>
      </c>
      <c r="Q25" s="7">
        <f t="shared" si="3"/>
        <v>260.98252047359995</v>
      </c>
      <c r="R25" s="7">
        <f t="shared" si="3"/>
        <v>62.7696002920752</v>
      </c>
      <c r="S25" s="7">
        <f t="shared" si="3"/>
        <v>1.115253038592</v>
      </c>
    </row>
    <row r="26" spans="1:19" ht="12.75">
      <c r="A26">
        <v>24</v>
      </c>
      <c r="B26" s="1" t="s">
        <v>535</v>
      </c>
      <c r="C26" s="99">
        <v>37854</v>
      </c>
      <c r="D26" s="10">
        <v>0.4548611111111111</v>
      </c>
      <c r="E26" s="5">
        <f t="shared" si="0"/>
        <v>9365</v>
      </c>
      <c r="F26" s="34">
        <v>25</v>
      </c>
      <c r="G26" s="7">
        <f t="shared" si="1"/>
        <v>0.7079249999999999</v>
      </c>
      <c r="H26" s="5">
        <v>143.2</v>
      </c>
      <c r="I26" s="5">
        <v>516.8</v>
      </c>
      <c r="J26" s="5">
        <v>122.02600000000002</v>
      </c>
      <c r="K26" s="38">
        <v>2.24</v>
      </c>
      <c r="L26" s="7">
        <f t="shared" si="2"/>
        <v>101.37485999999998</v>
      </c>
      <c r="M26" s="7">
        <f t="shared" si="2"/>
        <v>365.85563999999994</v>
      </c>
      <c r="N26" s="7">
        <f t="shared" si="2"/>
        <v>86.38525605000001</v>
      </c>
      <c r="O26" s="7">
        <f t="shared" si="2"/>
        <v>1.585752</v>
      </c>
      <c r="P26" s="7">
        <f t="shared" si="3"/>
        <v>49.65792355583999</v>
      </c>
      <c r="Q26" s="7">
        <f t="shared" si="3"/>
        <v>178.92588939263996</v>
      </c>
      <c r="R26" s="7">
        <f t="shared" si="3"/>
        <v>51.5367526773816</v>
      </c>
      <c r="S26" s="7">
        <f t="shared" si="3"/>
        <v>0.785648595456</v>
      </c>
    </row>
    <row r="27" spans="1:19" ht="12.75">
      <c r="A27">
        <v>25</v>
      </c>
      <c r="B27" s="1" t="s">
        <v>536</v>
      </c>
      <c r="C27" s="99">
        <v>37860</v>
      </c>
      <c r="D27" s="10">
        <v>0.37916666666666665</v>
      </c>
      <c r="E27" s="5">
        <f t="shared" si="0"/>
        <v>9371</v>
      </c>
      <c r="F27" s="34">
        <v>22</v>
      </c>
      <c r="G27" s="7">
        <f t="shared" si="1"/>
        <v>0.6229739999999999</v>
      </c>
      <c r="H27" s="5">
        <v>144.8</v>
      </c>
      <c r="I27" s="5">
        <v>520.8</v>
      </c>
      <c r="J27" s="5">
        <v>180.49679166666667</v>
      </c>
      <c r="K27" s="38">
        <v>2.32</v>
      </c>
      <c r="L27" s="7">
        <f t="shared" si="2"/>
        <v>90.2066352</v>
      </c>
      <c r="M27" s="7">
        <f t="shared" si="2"/>
        <v>324.44485919999994</v>
      </c>
      <c r="N27" s="7">
        <f t="shared" si="2"/>
        <v>112.44480829174998</v>
      </c>
      <c r="O27" s="7">
        <f t="shared" si="2"/>
        <v>1.4452996799999998</v>
      </c>
      <c r="P27" s="7">
        <f t="shared" si="3"/>
        <v>53.17318234368</v>
      </c>
      <c r="Q27" s="7">
        <f t="shared" si="3"/>
        <v>191.18917109376</v>
      </c>
      <c r="R27" s="7">
        <f t="shared" si="3"/>
        <v>71.946824353803</v>
      </c>
      <c r="S27" s="7">
        <f t="shared" si="3"/>
        <v>0.8686368875519999</v>
      </c>
    </row>
    <row r="28" spans="1:19" ht="12.75">
      <c r="A28">
        <v>26</v>
      </c>
      <c r="B28" s="1" t="s">
        <v>537</v>
      </c>
      <c r="C28" s="99">
        <v>37867</v>
      </c>
      <c r="D28" s="10">
        <v>0.513888888888889</v>
      </c>
      <c r="E28" s="5">
        <f t="shared" si="0"/>
        <v>9378</v>
      </c>
      <c r="F28" s="34">
        <v>21</v>
      </c>
      <c r="G28" s="7">
        <f t="shared" si="1"/>
        <v>0.594657</v>
      </c>
      <c r="H28" s="5">
        <v>144</v>
      </c>
      <c r="I28" s="5">
        <v>517.6</v>
      </c>
      <c r="J28" s="5">
        <v>211.00329166666668</v>
      </c>
      <c r="K28" s="38">
        <v>2.4</v>
      </c>
      <c r="L28" s="7">
        <f t="shared" si="2"/>
        <v>85.630608</v>
      </c>
      <c r="M28" s="7">
        <f t="shared" si="2"/>
        <v>307.7944632</v>
      </c>
      <c r="N28" s="7">
        <f t="shared" si="2"/>
        <v>125.474584412625</v>
      </c>
      <c r="O28" s="7">
        <f t="shared" si="2"/>
        <v>1.4271768</v>
      </c>
      <c r="P28" s="7">
        <f t="shared" si="3"/>
        <v>103.5787834368</v>
      </c>
      <c r="Q28" s="7">
        <f t="shared" si="3"/>
        <v>372.02046384384</v>
      </c>
      <c r="R28" s="7">
        <f t="shared" si="3"/>
        <v>144.2310695177373</v>
      </c>
      <c r="S28" s="7">
        <f t="shared" si="3"/>
        <v>1.6975411729919998</v>
      </c>
    </row>
    <row r="29" spans="1:19" ht="12.75">
      <c r="A29">
        <v>27</v>
      </c>
      <c r="B29" s="1" t="s">
        <v>538</v>
      </c>
      <c r="C29" s="99">
        <v>37881</v>
      </c>
      <c r="D29" s="10">
        <v>0.3958333333333333</v>
      </c>
      <c r="E29" s="5">
        <f t="shared" si="0"/>
        <v>9392</v>
      </c>
      <c r="F29" s="34">
        <v>21</v>
      </c>
      <c r="G29" s="7">
        <f t="shared" si="1"/>
        <v>0.594657</v>
      </c>
      <c r="H29" s="5">
        <v>144</v>
      </c>
      <c r="I29" s="5">
        <v>516.8</v>
      </c>
      <c r="J29" s="5">
        <v>190.03007291666668</v>
      </c>
      <c r="K29" s="38">
        <v>2.32</v>
      </c>
      <c r="L29" s="7">
        <f t="shared" si="2"/>
        <v>85.630608</v>
      </c>
      <c r="M29" s="7">
        <f t="shared" si="2"/>
        <v>307.31873759999996</v>
      </c>
      <c r="N29" s="7">
        <f t="shared" si="2"/>
        <v>113.00271307040626</v>
      </c>
      <c r="O29" s="7">
        <f t="shared" si="2"/>
        <v>1.37960424</v>
      </c>
      <c r="P29" s="7">
        <f t="shared" si="3"/>
        <v>52.077110561279994</v>
      </c>
      <c r="Q29" s="7">
        <f t="shared" si="3"/>
        <v>187.30496671487995</v>
      </c>
      <c r="R29" s="7">
        <f t="shared" si="3"/>
        <v>69.60120549627734</v>
      </c>
      <c r="S29" s="7">
        <f t="shared" si="3"/>
        <v>0.834384644352</v>
      </c>
    </row>
    <row r="30" spans="1:19" ht="12.75">
      <c r="A30">
        <v>28</v>
      </c>
      <c r="B30" s="1" t="s">
        <v>539</v>
      </c>
      <c r="C30" s="99">
        <v>37888</v>
      </c>
      <c r="D30" s="10">
        <v>0.4166666666666667</v>
      </c>
      <c r="E30" s="5">
        <f t="shared" si="0"/>
        <v>9399</v>
      </c>
      <c r="F30" s="34">
        <v>21</v>
      </c>
      <c r="G30" s="7">
        <f t="shared" si="1"/>
        <v>0.594657</v>
      </c>
      <c r="H30" s="5">
        <v>145.6</v>
      </c>
      <c r="I30" s="5">
        <v>524.8</v>
      </c>
      <c r="J30" s="5">
        <v>197.02114583333335</v>
      </c>
      <c r="K30" s="38">
        <v>2.32</v>
      </c>
      <c r="L30" s="7">
        <f t="shared" si="2"/>
        <v>86.58205919999999</v>
      </c>
      <c r="M30" s="7">
        <f t="shared" si="2"/>
        <v>312.07599359999995</v>
      </c>
      <c r="N30" s="7">
        <f t="shared" si="2"/>
        <v>117.16000351781251</v>
      </c>
      <c r="O30" s="7">
        <f t="shared" si="2"/>
        <v>1.37960424</v>
      </c>
      <c r="P30" s="7">
        <f t="shared" si="3"/>
        <v>44.884139489279995</v>
      </c>
      <c r="Q30" s="7">
        <f t="shared" si="3"/>
        <v>80.89009754112</v>
      </c>
      <c r="R30" s="7">
        <f t="shared" si="3"/>
        <v>30.367872911817003</v>
      </c>
      <c r="S30" s="7">
        <f t="shared" si="3"/>
        <v>0.357593419008</v>
      </c>
    </row>
    <row r="31" spans="1:16" ht="12.75">
      <c r="A31">
        <v>29</v>
      </c>
      <c r="B31" s="1"/>
      <c r="C31" s="99">
        <v>37894</v>
      </c>
      <c r="D31" s="10"/>
      <c r="E31" s="5">
        <f t="shared" si="0"/>
        <v>9405</v>
      </c>
      <c r="F31" s="34">
        <v>21</v>
      </c>
      <c r="G31" s="7">
        <f>F31*0.028317</f>
        <v>0.594657</v>
      </c>
      <c r="H31" s="5">
        <v>145.6</v>
      </c>
      <c r="L31" s="7">
        <f t="shared" si="2"/>
        <v>86.58205919999999</v>
      </c>
      <c r="M31" s="7">
        <f t="shared" si="2"/>
        <v>0</v>
      </c>
      <c r="N31" s="7">
        <f t="shared" si="2"/>
        <v>0</v>
      </c>
      <c r="O31" s="7">
        <f t="shared" si="2"/>
        <v>0</v>
      </c>
      <c r="P31" s="7"/>
    </row>
    <row r="32" ht="12.75">
      <c r="F32" s="1"/>
    </row>
    <row r="33" spans="2:19" ht="12.75">
      <c r="B33" s="35" t="s">
        <v>223</v>
      </c>
      <c r="F33" s="38"/>
      <c r="G33" s="11"/>
      <c r="P33" s="52">
        <f>SUM(P3:P30)</f>
        <v>3039.116431349222</v>
      </c>
      <c r="Q33" s="52">
        <f>SUM(Q3:Q30)</f>
        <v>10774.826770647207</v>
      </c>
      <c r="R33" s="52">
        <f>SUM(R3:R30)</f>
        <v>3408.0426405921085</v>
      </c>
      <c r="S33" s="52">
        <f>SUM(S3:S30)</f>
        <v>52.57273631974407</v>
      </c>
    </row>
    <row r="35" spans="1:19" ht="12.75">
      <c r="A35">
        <v>1</v>
      </c>
      <c r="B35" s="6" t="s">
        <v>540</v>
      </c>
      <c r="C35" s="21">
        <v>37895</v>
      </c>
      <c r="D35" s="10">
        <v>0.3875</v>
      </c>
      <c r="E35" s="4">
        <f aca="true" t="shared" si="4" ref="E35:E62">C35-28489</f>
        <v>9406</v>
      </c>
      <c r="F35" s="82">
        <v>21</v>
      </c>
      <c r="G35" s="38">
        <f aca="true" t="shared" si="5" ref="G35:G62">F35*0.028317</f>
        <v>0.594657</v>
      </c>
      <c r="H35" s="5">
        <v>144.8</v>
      </c>
      <c r="I35" s="5">
        <v>520.8</v>
      </c>
      <c r="J35" s="5">
        <v>213.54549999999998</v>
      </c>
      <c r="K35" s="45">
        <v>2.4</v>
      </c>
      <c r="L35" s="38">
        <f>(H35*$G35)</f>
        <v>86.1063336</v>
      </c>
      <c r="M35" s="38">
        <f>(I35*$G35)</f>
        <v>309.69736559999996</v>
      </c>
      <c r="N35" s="38">
        <f>(J35*$G35)</f>
        <v>126.98632639349998</v>
      </c>
      <c r="O35" s="38">
        <f>(K35*$G35)</f>
        <v>1.4271768</v>
      </c>
      <c r="P35" s="7">
        <f>(((L35+L36)/2)*(($E36-$E35)*24*60*60))/1000000</f>
        <v>236.05817854356494</v>
      </c>
      <c r="Q35" s="7">
        <f>(((M35+M36)/2)*(($E36-$E35)*24*60*60))/1000000</f>
        <v>818.9226502309209</v>
      </c>
      <c r="R35" s="7">
        <f>(((N35+N36)/2)*(($E36-$E35)*24*60*60))/1000000</f>
        <v>319.25595730959685</v>
      </c>
      <c r="S35" s="7">
        <f>(((O35+O36)/2)*(($E36-$E35)*24*60*60))/1000000</f>
        <v>3.717057335453783</v>
      </c>
    </row>
    <row r="36" spans="1:19" ht="12.75">
      <c r="A36">
        <v>2</v>
      </c>
      <c r="B36" s="6"/>
      <c r="C36" s="21">
        <v>37926</v>
      </c>
      <c r="D36" s="10"/>
      <c r="E36" s="4">
        <f t="shared" si="4"/>
        <v>9437</v>
      </c>
      <c r="F36" s="82">
        <v>20</v>
      </c>
      <c r="G36" s="38">
        <f t="shared" si="5"/>
        <v>0.56634</v>
      </c>
      <c r="H36" s="5">
        <f>1707.5*(F36)^-0.792</f>
        <v>159.20069369639168</v>
      </c>
      <c r="I36" s="5">
        <f>364.65*G36^-0.6673</f>
        <v>532.9025249747085</v>
      </c>
      <c r="J36" s="5">
        <f>116.81*G36^-0.9167</f>
        <v>196.71347992160804</v>
      </c>
      <c r="K36" s="38">
        <f>1.8744*G36^-0.4207</f>
        <v>2.3809083723925664</v>
      </c>
      <c r="L36" s="38">
        <f aca="true" t="shared" si="6" ref="L36:L62">(H36*$G36)</f>
        <v>90.16172086801446</v>
      </c>
      <c r="M36" s="38">
        <f aca="true" t="shared" si="7" ref="M36:M62">(I36*$G36)</f>
        <v>301.8040159941764</v>
      </c>
      <c r="N36" s="38">
        <f aca="true" t="shared" si="8" ref="N36:N62">(J36*$G36)</f>
        <v>111.40671221880349</v>
      </c>
      <c r="O36" s="38">
        <f aca="true" t="shared" si="9" ref="O36:O62">(K36*$G36)</f>
        <v>1.348403647620806</v>
      </c>
      <c r="P36" s="7">
        <f aca="true" t="shared" si="10" ref="P36:P61">(((L36+L37)/2)*(($E37-$E36)*24*60*60))/1000000</f>
        <v>236.03878132991986</v>
      </c>
      <c r="Q36" s="7">
        <f aca="true" t="shared" si="11" ref="Q36:Q61">(((M36+M37)/2)*(($E37-$E36)*24*60*60))/1000000</f>
        <v>794.8776176931101</v>
      </c>
      <c r="R36" s="7">
        <f aca="true" t="shared" si="12" ref="R36:R61">(((N36+N37)/2)*(($E37-$E36)*24*60*60))/1000000</f>
        <v>289.91706681538625</v>
      </c>
      <c r="S36" s="7">
        <f aca="true" t="shared" si="13" ref="S36:S61">(((O36+O37)/2)*(($E37-$E36)*24*60*60))/1000000</f>
        <v>3.5942623961690026</v>
      </c>
    </row>
    <row r="37" spans="1:19" ht="12.75">
      <c r="A37">
        <v>3</v>
      </c>
      <c r="B37" s="6"/>
      <c r="C37" s="21">
        <v>37956</v>
      </c>
      <c r="D37" s="10"/>
      <c r="E37" s="4">
        <f t="shared" si="4"/>
        <v>9467</v>
      </c>
      <c r="F37" s="82">
        <v>22</v>
      </c>
      <c r="G37" s="38">
        <f t="shared" si="5"/>
        <v>0.6229739999999999</v>
      </c>
      <c r="H37" s="5">
        <f>1707.5*(F37)^-0.792</f>
        <v>147.6256929338355</v>
      </c>
      <c r="I37" s="5">
        <f>364.65*G37^-0.6673</f>
        <v>500.06497725329837</v>
      </c>
      <c r="J37" s="5">
        <f>116.81*G37^-0.9167</f>
        <v>180.25588262939928</v>
      </c>
      <c r="K37" s="38">
        <f>1.8744*G37^-0.4207</f>
        <v>2.287329754864775</v>
      </c>
      <c r="L37" s="38">
        <f t="shared" si="6"/>
        <v>91.96696842976323</v>
      </c>
      <c r="M37" s="38">
        <f t="shared" si="7"/>
        <v>311.52747913939623</v>
      </c>
      <c r="N37" s="38">
        <f t="shared" si="8"/>
        <v>112.29472822516738</v>
      </c>
      <c r="O37" s="38">
        <f t="shared" si="9"/>
        <v>1.4249469667071282</v>
      </c>
      <c r="P37" s="7">
        <f t="shared" si="10"/>
        <v>246.32432824227783</v>
      </c>
      <c r="Q37" s="7">
        <f t="shared" si="11"/>
        <v>834.3952001269588</v>
      </c>
      <c r="R37" s="7">
        <f t="shared" si="12"/>
        <v>300.7702000782883</v>
      </c>
      <c r="S37" s="7">
        <f t="shared" si="13"/>
        <v>3.816577955628372</v>
      </c>
    </row>
    <row r="38" spans="1:19" ht="12.75">
      <c r="A38">
        <v>4</v>
      </c>
      <c r="B38" s="6"/>
      <c r="C38" s="21">
        <v>37987</v>
      </c>
      <c r="D38" s="10"/>
      <c r="E38" s="4">
        <f t="shared" si="4"/>
        <v>9498</v>
      </c>
      <c r="F38" s="82">
        <v>22</v>
      </c>
      <c r="G38" s="38">
        <f t="shared" si="5"/>
        <v>0.6229739999999999</v>
      </c>
      <c r="H38" s="5">
        <f>1707.5*(F38)^-0.792</f>
        <v>147.6256929338355</v>
      </c>
      <c r="I38" s="5">
        <f>364.65*G38^-0.6673</f>
        <v>500.06497725329837</v>
      </c>
      <c r="J38" s="5">
        <f>116.81*G38^-0.9167</f>
        <v>180.25588262939928</v>
      </c>
      <c r="K38" s="38">
        <f>1.8744*G38^-0.4207</f>
        <v>2.287329754864775</v>
      </c>
      <c r="L38" s="38">
        <f t="shared" si="6"/>
        <v>91.96696842976323</v>
      </c>
      <c r="M38" s="38">
        <f t="shared" si="7"/>
        <v>311.52747913939623</v>
      </c>
      <c r="N38" s="38">
        <f t="shared" si="8"/>
        <v>112.29472822516738</v>
      </c>
      <c r="O38" s="38">
        <f t="shared" si="9"/>
        <v>1.4249469667071282</v>
      </c>
      <c r="P38" s="7">
        <f t="shared" si="10"/>
        <v>325.6856687887224</v>
      </c>
      <c r="Q38" s="7">
        <f t="shared" si="11"/>
        <v>1140.0977062247605</v>
      </c>
      <c r="R38" s="7">
        <f t="shared" si="12"/>
        <v>382.72208331074256</v>
      </c>
      <c r="S38" s="7">
        <f t="shared" si="13"/>
        <v>5.174893362313413</v>
      </c>
    </row>
    <row r="39" spans="1:19" ht="12.75">
      <c r="A39">
        <v>5</v>
      </c>
      <c r="B39" s="6" t="s">
        <v>541</v>
      </c>
      <c r="C39" s="21">
        <v>38029</v>
      </c>
      <c r="D39" s="10">
        <v>0.6208333333333333</v>
      </c>
      <c r="E39" s="4">
        <f t="shared" si="4"/>
        <v>9540</v>
      </c>
      <c r="F39" s="34">
        <v>21</v>
      </c>
      <c r="G39" s="38">
        <f t="shared" si="5"/>
        <v>0.594657</v>
      </c>
      <c r="H39" s="5">
        <v>147.2</v>
      </c>
      <c r="I39" s="5">
        <v>532.8</v>
      </c>
      <c r="J39" s="5">
        <v>165.87909374999998</v>
      </c>
      <c r="K39" s="45">
        <v>2.4</v>
      </c>
      <c r="L39" s="38">
        <f t="shared" si="6"/>
        <v>87.5335104</v>
      </c>
      <c r="M39" s="38">
        <f t="shared" si="7"/>
        <v>316.8332496</v>
      </c>
      <c r="N39" s="38">
        <f t="shared" si="8"/>
        <v>98.64116425209373</v>
      </c>
      <c r="O39" s="38">
        <f t="shared" si="9"/>
        <v>1.4271768</v>
      </c>
      <c r="P39" s="7">
        <f t="shared" si="10"/>
        <v>295.25825092608</v>
      </c>
      <c r="Q39" s="7">
        <f t="shared" si="11"/>
        <v>1066.9906492876798</v>
      </c>
      <c r="R39" s="7">
        <f t="shared" si="12"/>
        <v>358.3059143307403</v>
      </c>
      <c r="S39" s="7">
        <f t="shared" si="13"/>
        <v>5.091449156352001</v>
      </c>
    </row>
    <row r="40" spans="1:19" ht="12.75">
      <c r="A40">
        <v>6</v>
      </c>
      <c r="B40" s="6" t="s">
        <v>542</v>
      </c>
      <c r="C40" s="21">
        <v>38068</v>
      </c>
      <c r="D40" s="10">
        <v>0.4263888888888889</v>
      </c>
      <c r="E40" s="4">
        <f t="shared" si="4"/>
        <v>9579</v>
      </c>
      <c r="F40" s="34">
        <v>22</v>
      </c>
      <c r="G40" s="38">
        <f t="shared" si="5"/>
        <v>0.6229739999999999</v>
      </c>
      <c r="H40" s="5">
        <v>140.8</v>
      </c>
      <c r="I40" s="5">
        <v>508</v>
      </c>
      <c r="J40" s="5">
        <v>183.039</v>
      </c>
      <c r="K40" s="45">
        <v>2.56</v>
      </c>
      <c r="L40" s="38">
        <f t="shared" si="6"/>
        <v>87.7147392</v>
      </c>
      <c r="M40" s="38">
        <f t="shared" si="7"/>
        <v>316.47079199999996</v>
      </c>
      <c r="N40" s="38">
        <f t="shared" si="8"/>
        <v>114.02853798599998</v>
      </c>
      <c r="O40" s="38">
        <f t="shared" si="9"/>
        <v>1.5948134399999998</v>
      </c>
      <c r="P40" s="7">
        <f t="shared" si="10"/>
        <v>77.99154090814618</v>
      </c>
      <c r="Q40" s="7">
        <f t="shared" si="11"/>
        <v>273.3003588013389</v>
      </c>
      <c r="R40" s="7">
        <f t="shared" si="12"/>
        <v>97.95161325160603</v>
      </c>
      <c r="S40" s="7">
        <f t="shared" si="13"/>
        <v>1.320594024141762</v>
      </c>
    </row>
    <row r="41" spans="1:19" ht="12.75">
      <c r="A41">
        <v>7</v>
      </c>
      <c r="B41" s="6"/>
      <c r="C41" s="21">
        <v>38078</v>
      </c>
      <c r="D41" s="10"/>
      <c r="E41" s="4">
        <f t="shared" si="4"/>
        <v>9589</v>
      </c>
      <c r="F41" s="34">
        <v>23</v>
      </c>
      <c r="G41" s="38">
        <f t="shared" si="5"/>
        <v>0.651291</v>
      </c>
      <c r="H41" s="5">
        <f>1707.5*(F41)^-0.792</f>
        <v>142.5188358574162</v>
      </c>
      <c r="I41" s="5">
        <f>364.65*G41^-0.6673</f>
        <v>485.4495570298741</v>
      </c>
      <c r="J41" s="5">
        <f>116.81*G41^-0.9167</f>
        <v>173.05829115376815</v>
      </c>
      <c r="K41" s="38">
        <f>1.8744*G41^-0.4207</f>
        <v>2.24495221251217</v>
      </c>
      <c r="L41" s="38">
        <f t="shared" si="6"/>
        <v>92.82123512441245</v>
      </c>
      <c r="M41" s="38">
        <f t="shared" si="7"/>
        <v>316.1689274475437</v>
      </c>
      <c r="N41" s="38">
        <f t="shared" si="8"/>
        <v>112.7113075038288</v>
      </c>
      <c r="O41" s="38">
        <f t="shared" si="9"/>
        <v>1.4621171714392638</v>
      </c>
      <c r="P41" s="7">
        <f t="shared" si="10"/>
        <v>112.77573067452481</v>
      </c>
      <c r="Q41" s="7">
        <f t="shared" si="11"/>
        <v>385.1647755230962</v>
      </c>
      <c r="R41" s="7">
        <f t="shared" si="12"/>
        <v>136.57769601151347</v>
      </c>
      <c r="S41" s="7">
        <f t="shared" si="13"/>
        <v>1.7906498557563904</v>
      </c>
    </row>
    <row r="42" spans="1:19" ht="12.75">
      <c r="A42">
        <v>8</v>
      </c>
      <c r="B42" s="6"/>
      <c r="C42" s="21">
        <v>38092</v>
      </c>
      <c r="D42" s="10"/>
      <c r="E42" s="4">
        <f t="shared" si="4"/>
        <v>9603</v>
      </c>
      <c r="F42" s="34">
        <v>24</v>
      </c>
      <c r="G42" s="38">
        <f t="shared" si="5"/>
        <v>0.679608</v>
      </c>
      <c r="H42" s="5">
        <f>1707.5*(F42)^-0.792</f>
        <v>137.79498406516083</v>
      </c>
      <c r="I42" s="5">
        <f>364.65*G42^-0.6673</f>
        <v>471.85670699571807</v>
      </c>
      <c r="J42" s="5">
        <f>116.81*G42^-0.9167</f>
        <v>166.43653778077663</v>
      </c>
      <c r="K42" s="38">
        <f>1.8744*G42^-0.4207</f>
        <v>2.205114433862646</v>
      </c>
      <c r="L42" s="38">
        <f t="shared" si="6"/>
        <v>93.64657353055583</v>
      </c>
      <c r="M42" s="38">
        <f t="shared" si="7"/>
        <v>320.67759292794597</v>
      </c>
      <c r="N42" s="38">
        <f t="shared" si="8"/>
        <v>113.11160256811804</v>
      </c>
      <c r="O42" s="38">
        <f t="shared" si="9"/>
        <v>1.498613410168525</v>
      </c>
      <c r="P42" s="7">
        <f t="shared" si="10"/>
        <v>165.10642059492025</v>
      </c>
      <c r="Q42" s="7">
        <f t="shared" si="11"/>
        <v>582.7478243682325</v>
      </c>
      <c r="R42" s="7">
        <f t="shared" si="12"/>
        <v>222.4128391242361</v>
      </c>
      <c r="S42" s="7">
        <f t="shared" si="13"/>
        <v>2.9522713945048857</v>
      </c>
    </row>
    <row r="43" spans="1:19" ht="12.75">
      <c r="A43">
        <v>9</v>
      </c>
      <c r="B43" s="102" t="s">
        <v>543</v>
      </c>
      <c r="C43" s="19">
        <v>38113</v>
      </c>
      <c r="D43" s="10">
        <v>0.6395833333333333</v>
      </c>
      <c r="E43" s="4">
        <f t="shared" si="4"/>
        <v>9624</v>
      </c>
      <c r="F43" s="1">
        <v>25</v>
      </c>
      <c r="G43" s="38">
        <f t="shared" si="5"/>
        <v>0.7079249999999999</v>
      </c>
      <c r="H43" s="5">
        <v>124.8</v>
      </c>
      <c r="I43" s="5">
        <v>454.4</v>
      </c>
      <c r="J43" s="5">
        <v>186.53453645833335</v>
      </c>
      <c r="K43" s="45">
        <v>2.48</v>
      </c>
      <c r="L43" s="38">
        <f t="shared" si="6"/>
        <v>88.34903999999999</v>
      </c>
      <c r="M43" s="38">
        <f t="shared" si="7"/>
        <v>321.68111999999996</v>
      </c>
      <c r="N43" s="38">
        <f t="shared" si="8"/>
        <v>132.05246172226563</v>
      </c>
      <c r="O43" s="38">
        <f t="shared" si="9"/>
        <v>1.7556539999999998</v>
      </c>
      <c r="P43" s="7">
        <f t="shared" si="10"/>
        <v>37.7851174272</v>
      </c>
      <c r="Q43" s="7">
        <f t="shared" si="11"/>
        <v>137.80166757119997</v>
      </c>
      <c r="R43" s="7">
        <f t="shared" si="12"/>
        <v>58.73870341200937</v>
      </c>
      <c r="S43" s="7">
        <f t="shared" si="13"/>
        <v>0.7608891167999999</v>
      </c>
    </row>
    <row r="44" spans="1:19" ht="12.75">
      <c r="A44">
        <v>10</v>
      </c>
      <c r="B44" s="6" t="s">
        <v>544</v>
      </c>
      <c r="C44" s="21">
        <v>38118</v>
      </c>
      <c r="D44" s="10">
        <v>0.3361111111111111</v>
      </c>
      <c r="E44" s="4">
        <f t="shared" si="4"/>
        <v>9629</v>
      </c>
      <c r="F44" s="1">
        <v>26</v>
      </c>
      <c r="G44" s="38">
        <f t="shared" si="5"/>
        <v>0.736242</v>
      </c>
      <c r="H44" s="5">
        <v>117.6</v>
      </c>
      <c r="I44" s="57">
        <v>429.6</v>
      </c>
      <c r="J44" s="5">
        <v>190</v>
      </c>
      <c r="K44" s="45">
        <v>2.4</v>
      </c>
      <c r="L44" s="38">
        <f t="shared" si="6"/>
        <v>86.58205919999999</v>
      </c>
      <c r="M44" s="38">
        <f t="shared" si="7"/>
        <v>316.2895632</v>
      </c>
      <c r="N44" s="38">
        <f t="shared" si="8"/>
        <v>139.88598</v>
      </c>
      <c r="O44" s="38">
        <f t="shared" si="9"/>
        <v>1.7669807999999998</v>
      </c>
      <c r="P44" s="7">
        <f t="shared" si="10"/>
        <v>53.077276062719996</v>
      </c>
      <c r="Q44" s="7">
        <f t="shared" si="11"/>
        <v>193.42926779904</v>
      </c>
      <c r="R44" s="7">
        <f t="shared" si="12"/>
        <v>85.4587304220195</v>
      </c>
      <c r="S44" s="7">
        <f t="shared" si="13"/>
        <v>0.9974253219839999</v>
      </c>
    </row>
    <row r="45" spans="1:19" ht="12.75">
      <c r="A45">
        <v>11</v>
      </c>
      <c r="B45" s="103" t="s">
        <v>545</v>
      </c>
      <c r="C45" s="104">
        <v>38125</v>
      </c>
      <c r="D45" s="105">
        <v>0.3888888888888889</v>
      </c>
      <c r="E45" s="4">
        <f t="shared" si="4"/>
        <v>9636</v>
      </c>
      <c r="F45" s="106">
        <v>26</v>
      </c>
      <c r="G45" s="38">
        <f t="shared" si="5"/>
        <v>0.736242</v>
      </c>
      <c r="H45" s="117">
        <v>120.8</v>
      </c>
      <c r="I45" s="117">
        <v>439.2</v>
      </c>
      <c r="J45" s="5">
        <v>193.84338541666665</v>
      </c>
      <c r="K45" s="140">
        <v>2.08</v>
      </c>
      <c r="L45" s="38">
        <f t="shared" si="6"/>
        <v>88.9380336</v>
      </c>
      <c r="M45" s="38">
        <f t="shared" si="7"/>
        <v>323.35748639999997</v>
      </c>
      <c r="N45" s="38">
        <f t="shared" si="8"/>
        <v>142.71564176593748</v>
      </c>
      <c r="O45" s="38">
        <f t="shared" si="9"/>
        <v>1.53138336</v>
      </c>
      <c r="P45" s="7">
        <f t="shared" si="10"/>
        <v>45.800142336</v>
      </c>
      <c r="Q45" s="7">
        <f t="shared" si="11"/>
        <v>166.25451667968</v>
      </c>
      <c r="R45" s="7">
        <f t="shared" si="12"/>
        <v>72.64965479702579</v>
      </c>
      <c r="S45" s="7">
        <f t="shared" si="13"/>
        <v>0.793869133824</v>
      </c>
    </row>
    <row r="46" spans="1:19" ht="12.75">
      <c r="A46">
        <v>12</v>
      </c>
      <c r="B46" s="102" t="s">
        <v>546</v>
      </c>
      <c r="C46" s="19">
        <v>38131</v>
      </c>
      <c r="D46" s="10">
        <v>0.53125</v>
      </c>
      <c r="E46" s="4">
        <f t="shared" si="4"/>
        <v>9642</v>
      </c>
      <c r="F46" s="1">
        <v>26</v>
      </c>
      <c r="G46" s="38">
        <f t="shared" si="5"/>
        <v>0.736242</v>
      </c>
      <c r="H46" s="5">
        <v>119.2</v>
      </c>
      <c r="I46" s="5">
        <v>432</v>
      </c>
      <c r="J46" s="5">
        <v>186.8523125</v>
      </c>
      <c r="K46" s="45">
        <v>2.08</v>
      </c>
      <c r="L46" s="38">
        <f t="shared" si="6"/>
        <v>87.7600464</v>
      </c>
      <c r="M46" s="38">
        <f t="shared" si="7"/>
        <v>318.056544</v>
      </c>
      <c r="N46" s="38">
        <f t="shared" si="8"/>
        <v>137.568520259625</v>
      </c>
      <c r="O46" s="38">
        <f t="shared" si="9"/>
        <v>1.53138336</v>
      </c>
      <c r="P46" s="7">
        <f t="shared" si="10"/>
        <v>157.30000167168</v>
      </c>
      <c r="Q46" s="7">
        <f t="shared" si="11"/>
        <v>571.5329300351999</v>
      </c>
      <c r="R46" s="7">
        <f t="shared" si="12"/>
        <v>224.4283769063637</v>
      </c>
      <c r="S46" s="7">
        <f t="shared" si="13"/>
        <v>2.776486833792</v>
      </c>
    </row>
    <row r="47" spans="1:19" ht="12.75">
      <c r="A47">
        <v>13</v>
      </c>
      <c r="B47" s="102" t="s">
        <v>547</v>
      </c>
      <c r="C47" s="19">
        <v>38152</v>
      </c>
      <c r="D47" s="10">
        <v>0.53125</v>
      </c>
      <c r="E47" s="4">
        <f t="shared" si="4"/>
        <v>9663</v>
      </c>
      <c r="F47" s="1">
        <v>27</v>
      </c>
      <c r="G47" s="38">
        <f t="shared" si="5"/>
        <v>0.764559</v>
      </c>
      <c r="H47" s="5">
        <v>112</v>
      </c>
      <c r="I47" s="5">
        <v>408</v>
      </c>
      <c r="J47" s="5">
        <v>143.63477083333333</v>
      </c>
      <c r="K47" s="45">
        <v>2</v>
      </c>
      <c r="L47" s="38">
        <f t="shared" si="6"/>
        <v>85.630608</v>
      </c>
      <c r="M47" s="38">
        <f t="shared" si="7"/>
        <v>311.940072</v>
      </c>
      <c r="N47" s="38">
        <f t="shared" si="8"/>
        <v>109.8172567535625</v>
      </c>
      <c r="O47" s="38">
        <f t="shared" si="9"/>
        <v>1.529118</v>
      </c>
      <c r="P47" s="7">
        <f t="shared" si="10"/>
        <v>52.15931594495999</v>
      </c>
      <c r="Q47" s="7">
        <f t="shared" si="11"/>
        <v>189.58616611200003</v>
      </c>
      <c r="R47" s="7">
        <f t="shared" si="12"/>
        <v>77.07072262378072</v>
      </c>
      <c r="S47" s="7">
        <f t="shared" si="13"/>
        <v>0.9248105664</v>
      </c>
    </row>
    <row r="48" spans="1:19" ht="12.75">
      <c r="A48">
        <v>14</v>
      </c>
      <c r="B48" s="102" t="s">
        <v>548</v>
      </c>
      <c r="C48" s="19">
        <v>38159</v>
      </c>
      <c r="D48" s="10">
        <v>0.4756944444444444</v>
      </c>
      <c r="E48" s="4">
        <f t="shared" si="4"/>
        <v>9670</v>
      </c>
      <c r="F48" s="1">
        <v>27</v>
      </c>
      <c r="G48" s="38">
        <f t="shared" si="5"/>
        <v>0.764559</v>
      </c>
      <c r="H48" s="5">
        <v>113.6</v>
      </c>
      <c r="I48" s="5">
        <v>412</v>
      </c>
      <c r="J48" s="5">
        <v>189.712296875</v>
      </c>
      <c r="K48" s="45">
        <v>2</v>
      </c>
      <c r="L48" s="38">
        <f t="shared" si="6"/>
        <v>86.8539024</v>
      </c>
      <c r="M48" s="38">
        <f t="shared" si="7"/>
        <v>314.998308</v>
      </c>
      <c r="N48" s="38">
        <f t="shared" si="8"/>
        <v>145.0462439864531</v>
      </c>
      <c r="O48" s="38">
        <f t="shared" si="9"/>
        <v>1.529118</v>
      </c>
      <c r="P48" s="7">
        <f t="shared" si="10"/>
        <v>52.15931594495999</v>
      </c>
      <c r="Q48" s="7">
        <f t="shared" si="11"/>
        <v>189.40120399871998</v>
      </c>
      <c r="R48" s="7">
        <f t="shared" si="12"/>
        <v>86.10761383705531</v>
      </c>
      <c r="S48" s="7">
        <f t="shared" si="13"/>
        <v>0.9248105664</v>
      </c>
    </row>
    <row r="49" spans="1:19" ht="12.75">
      <c r="A49">
        <v>15</v>
      </c>
      <c r="B49" s="102" t="s">
        <v>549</v>
      </c>
      <c r="C49" s="19">
        <v>38166</v>
      </c>
      <c r="D49" s="10">
        <v>0.5</v>
      </c>
      <c r="E49" s="4">
        <f t="shared" si="4"/>
        <v>9677</v>
      </c>
      <c r="F49" s="1">
        <v>27</v>
      </c>
      <c r="G49" s="38">
        <f t="shared" si="5"/>
        <v>0.764559</v>
      </c>
      <c r="H49" s="5">
        <v>112</v>
      </c>
      <c r="I49" s="5">
        <v>407.2</v>
      </c>
      <c r="J49" s="5">
        <v>182.72122395833335</v>
      </c>
      <c r="K49" s="45">
        <v>2</v>
      </c>
      <c r="L49" s="38">
        <f t="shared" si="6"/>
        <v>85.630608</v>
      </c>
      <c r="M49" s="38">
        <f t="shared" si="7"/>
        <v>311.3284248</v>
      </c>
      <c r="N49" s="38">
        <f t="shared" si="8"/>
        <v>139.7011562683594</v>
      </c>
      <c r="O49" s="38">
        <f t="shared" si="9"/>
        <v>1.529118</v>
      </c>
      <c r="P49" s="7">
        <f t="shared" si="10"/>
        <v>59.187876249599995</v>
      </c>
      <c r="Q49" s="7">
        <f t="shared" si="11"/>
        <v>214.76743667712</v>
      </c>
      <c r="R49" s="7">
        <f t="shared" si="12"/>
        <v>102.52305850321258</v>
      </c>
      <c r="S49" s="7">
        <f t="shared" si="13"/>
        <v>1.0569263616</v>
      </c>
    </row>
    <row r="50" spans="1:19" ht="12.75">
      <c r="A50">
        <v>16</v>
      </c>
      <c r="B50" s="102" t="s">
        <v>550</v>
      </c>
      <c r="C50" s="19">
        <v>38174</v>
      </c>
      <c r="D50" s="10">
        <v>0.4131944444444444</v>
      </c>
      <c r="E50" s="4">
        <f t="shared" si="4"/>
        <v>9685</v>
      </c>
      <c r="F50" s="1">
        <v>27</v>
      </c>
      <c r="G50" s="38">
        <f t="shared" si="5"/>
        <v>0.764559</v>
      </c>
      <c r="H50" s="5">
        <v>112</v>
      </c>
      <c r="I50" s="5">
        <v>405.6</v>
      </c>
      <c r="J50" s="5">
        <v>205.2833229166666</v>
      </c>
      <c r="K50" s="45">
        <v>2</v>
      </c>
      <c r="L50" s="38">
        <f t="shared" si="6"/>
        <v>85.630608</v>
      </c>
      <c r="M50" s="38">
        <f t="shared" si="7"/>
        <v>310.1051304</v>
      </c>
      <c r="N50" s="38">
        <f t="shared" si="8"/>
        <v>156.9512120858437</v>
      </c>
      <c r="O50" s="38">
        <f t="shared" si="9"/>
        <v>1.529118</v>
      </c>
      <c r="P50" s="7">
        <f t="shared" si="10"/>
        <v>43.874187632639995</v>
      </c>
      <c r="Q50" s="7">
        <f t="shared" si="11"/>
        <v>158.69749319424</v>
      </c>
      <c r="R50" s="7">
        <f t="shared" si="12"/>
        <v>81.0089832544722</v>
      </c>
      <c r="S50" s="7">
        <f t="shared" si="13"/>
        <v>0.7780152384000001</v>
      </c>
    </row>
    <row r="51" spans="1:19" ht="12.75">
      <c r="A51">
        <v>17</v>
      </c>
      <c r="B51" s="102" t="s">
        <v>551</v>
      </c>
      <c r="C51" s="19">
        <v>38180</v>
      </c>
      <c r="D51" s="10">
        <v>0.3854166666666667</v>
      </c>
      <c r="E51" s="4">
        <f t="shared" si="4"/>
        <v>9691</v>
      </c>
      <c r="F51" s="1">
        <v>26</v>
      </c>
      <c r="G51" s="38">
        <f t="shared" si="5"/>
        <v>0.736242</v>
      </c>
      <c r="H51" s="5">
        <v>113.6</v>
      </c>
      <c r="I51" s="5">
        <v>410.4</v>
      </c>
      <c r="J51" s="5">
        <v>211.32106770833335</v>
      </c>
      <c r="K51" s="45">
        <v>2</v>
      </c>
      <c r="L51" s="38">
        <f t="shared" si="6"/>
        <v>83.63709119999999</v>
      </c>
      <c r="M51" s="38">
        <f t="shared" si="7"/>
        <v>302.1537168</v>
      </c>
      <c r="N51" s="38">
        <f t="shared" si="8"/>
        <v>155.58344553171875</v>
      </c>
      <c r="O51" s="38">
        <f t="shared" si="9"/>
        <v>1.472484</v>
      </c>
      <c r="P51" s="7">
        <f t="shared" si="10"/>
        <v>51.118047751679995</v>
      </c>
      <c r="Q51" s="7">
        <f t="shared" si="11"/>
        <v>184.70179623168</v>
      </c>
      <c r="R51" s="7">
        <f t="shared" si="12"/>
        <v>97.84659266694584</v>
      </c>
      <c r="S51" s="7">
        <f t="shared" si="13"/>
        <v>0.908369489664</v>
      </c>
    </row>
    <row r="52" spans="1:19" ht="12.75">
      <c r="A52">
        <v>18</v>
      </c>
      <c r="B52" s="102" t="s">
        <v>552</v>
      </c>
      <c r="C52" s="19">
        <v>38187</v>
      </c>
      <c r="D52" s="10">
        <v>0.47222222222222227</v>
      </c>
      <c r="E52" s="4">
        <f t="shared" si="4"/>
        <v>9698</v>
      </c>
      <c r="F52" s="1">
        <v>26</v>
      </c>
      <c r="G52" s="38">
        <f t="shared" si="5"/>
        <v>0.736242</v>
      </c>
      <c r="H52" s="5">
        <v>116</v>
      </c>
      <c r="I52" s="5">
        <v>419.2</v>
      </c>
      <c r="J52" s="5">
        <v>228.16319791666666</v>
      </c>
      <c r="K52" s="45">
        <v>2.08</v>
      </c>
      <c r="L52" s="38">
        <f t="shared" si="6"/>
        <v>85.404072</v>
      </c>
      <c r="M52" s="38">
        <f t="shared" si="7"/>
        <v>308.6326464</v>
      </c>
      <c r="N52" s="38">
        <f t="shared" si="8"/>
        <v>167.98332916056248</v>
      </c>
      <c r="O52" s="38">
        <f t="shared" si="9"/>
        <v>1.53138336</v>
      </c>
      <c r="P52" s="7">
        <f t="shared" si="10"/>
        <v>51.47427108096</v>
      </c>
      <c r="Q52" s="7">
        <f t="shared" si="11"/>
        <v>185.94857788416</v>
      </c>
      <c r="R52" s="7">
        <f t="shared" si="12"/>
        <v>95.37035930227259</v>
      </c>
      <c r="S52" s="7">
        <f t="shared" si="13"/>
        <v>0.908369489664</v>
      </c>
    </row>
    <row r="53" spans="1:19" ht="12.75">
      <c r="A53">
        <v>19</v>
      </c>
      <c r="B53" s="102" t="s">
        <v>553</v>
      </c>
      <c r="C53" s="19">
        <v>38194</v>
      </c>
      <c r="D53" s="10">
        <v>0.4444444444444444</v>
      </c>
      <c r="E53" s="4">
        <f t="shared" si="4"/>
        <v>9705</v>
      </c>
      <c r="F53" s="1">
        <v>26</v>
      </c>
      <c r="G53" s="38">
        <f t="shared" si="5"/>
        <v>0.736242</v>
      </c>
      <c r="H53" s="5">
        <v>115.2</v>
      </c>
      <c r="I53" s="5">
        <v>416</v>
      </c>
      <c r="J53" s="5">
        <v>200.19890625</v>
      </c>
      <c r="K53" s="45">
        <v>2</v>
      </c>
      <c r="L53" s="38">
        <f t="shared" si="6"/>
        <v>84.81507839999999</v>
      </c>
      <c r="M53" s="38">
        <f t="shared" si="7"/>
        <v>306.27667199999996</v>
      </c>
      <c r="N53" s="38">
        <f t="shared" si="8"/>
        <v>147.3948431353125</v>
      </c>
      <c r="O53" s="38">
        <f t="shared" si="9"/>
        <v>1.472484</v>
      </c>
      <c r="P53" s="7">
        <f t="shared" si="10"/>
        <v>51.83049441023999</v>
      </c>
      <c r="Q53" s="7">
        <f t="shared" si="11"/>
        <v>187.19535953663998</v>
      </c>
      <c r="R53" s="7">
        <f t="shared" si="12"/>
        <v>73.01350949550839</v>
      </c>
      <c r="S53" s="7">
        <f t="shared" si="13"/>
        <v>0.8905583232</v>
      </c>
    </row>
    <row r="54" spans="1:19" ht="12.75">
      <c r="A54">
        <v>20</v>
      </c>
      <c r="B54" s="102" t="s">
        <v>554</v>
      </c>
      <c r="C54" s="19">
        <v>38201</v>
      </c>
      <c r="D54" s="10">
        <v>0.40625</v>
      </c>
      <c r="E54" s="4">
        <f t="shared" si="4"/>
        <v>9712</v>
      </c>
      <c r="F54" s="1">
        <v>26</v>
      </c>
      <c r="G54" s="38">
        <f t="shared" si="5"/>
        <v>0.736242</v>
      </c>
      <c r="H54" s="5">
        <v>117.6</v>
      </c>
      <c r="I54" s="5">
        <v>424.8</v>
      </c>
      <c r="J54" s="5">
        <v>127.74596875</v>
      </c>
      <c r="K54" s="45">
        <v>2</v>
      </c>
      <c r="L54" s="38">
        <f t="shared" si="6"/>
        <v>86.58205919999999</v>
      </c>
      <c r="M54" s="38">
        <f t="shared" si="7"/>
        <v>312.7556016</v>
      </c>
      <c r="N54" s="38">
        <f t="shared" si="8"/>
        <v>94.0519475244375</v>
      </c>
      <c r="O54" s="38">
        <f t="shared" si="9"/>
        <v>1.472484</v>
      </c>
      <c r="P54" s="7">
        <f t="shared" si="10"/>
        <v>52.652548247039995</v>
      </c>
      <c r="Q54" s="7">
        <f t="shared" si="11"/>
        <v>190.09994976000002</v>
      </c>
      <c r="R54" s="7">
        <f t="shared" si="12"/>
        <v>69.8134540703922</v>
      </c>
      <c r="S54" s="7">
        <f t="shared" si="13"/>
        <v>0.8768574259199999</v>
      </c>
    </row>
    <row r="55" spans="1:19" ht="12.75">
      <c r="A55">
        <v>21</v>
      </c>
      <c r="B55" s="102" t="s">
        <v>555</v>
      </c>
      <c r="C55" s="19">
        <v>38208</v>
      </c>
      <c r="D55" s="10">
        <v>0.4930555555555556</v>
      </c>
      <c r="E55" s="4">
        <f t="shared" si="4"/>
        <v>9719</v>
      </c>
      <c r="F55" s="1">
        <v>21</v>
      </c>
      <c r="G55" s="38">
        <f t="shared" si="5"/>
        <v>0.594657</v>
      </c>
      <c r="H55" s="5">
        <v>147.2</v>
      </c>
      <c r="I55" s="5">
        <v>531.2</v>
      </c>
      <c r="J55" s="5">
        <v>230.06985416666666</v>
      </c>
      <c r="K55" s="45">
        <v>2.4</v>
      </c>
      <c r="L55" s="38">
        <f t="shared" si="6"/>
        <v>87.5335104</v>
      </c>
      <c r="M55" s="38">
        <f t="shared" si="7"/>
        <v>315.88179840000004</v>
      </c>
      <c r="N55" s="38">
        <f t="shared" si="8"/>
        <v>136.8126492691875</v>
      </c>
      <c r="O55" s="38">
        <f t="shared" si="9"/>
        <v>1.4271768</v>
      </c>
      <c r="P55" s="7">
        <f t="shared" si="10"/>
        <v>51.330411659519996</v>
      </c>
      <c r="Q55" s="7">
        <f t="shared" si="11"/>
        <v>185.07172045824</v>
      </c>
      <c r="R55" s="7">
        <f t="shared" si="12"/>
        <v>67.01612670898109</v>
      </c>
      <c r="S55" s="7">
        <f t="shared" si="13"/>
        <v>0.8090379843840001</v>
      </c>
    </row>
    <row r="56" spans="1:19" ht="12.75">
      <c r="A56">
        <v>22</v>
      </c>
      <c r="B56" s="102" t="s">
        <v>556</v>
      </c>
      <c r="C56" s="19">
        <v>38215</v>
      </c>
      <c r="D56" s="10">
        <v>0.3854166666666667</v>
      </c>
      <c r="E56" s="4">
        <f t="shared" si="4"/>
        <v>9726</v>
      </c>
      <c r="F56" s="1">
        <v>19</v>
      </c>
      <c r="G56" s="38">
        <f t="shared" si="5"/>
        <v>0.5380229999999999</v>
      </c>
      <c r="H56" s="5">
        <v>152.8</v>
      </c>
      <c r="I56" s="5">
        <v>550.4</v>
      </c>
      <c r="J56" s="5">
        <v>157.61691666666667</v>
      </c>
      <c r="K56" s="45">
        <v>2.32</v>
      </c>
      <c r="L56" s="38">
        <f t="shared" si="6"/>
        <v>82.20991439999999</v>
      </c>
      <c r="M56" s="38">
        <f t="shared" si="7"/>
        <v>296.12785919999993</v>
      </c>
      <c r="N56" s="38">
        <f t="shared" si="8"/>
        <v>84.80152635574998</v>
      </c>
      <c r="O56" s="38">
        <f t="shared" si="9"/>
        <v>1.2482133599999998</v>
      </c>
      <c r="P56" s="7">
        <f t="shared" si="10"/>
        <v>49.35748245119999</v>
      </c>
      <c r="Q56" s="7">
        <f t="shared" si="11"/>
        <v>178.49528976383996</v>
      </c>
      <c r="R56" s="7">
        <f t="shared" si="12"/>
        <v>56.469005256812395</v>
      </c>
      <c r="S56" s="7">
        <f t="shared" si="13"/>
        <v>0.8049277152</v>
      </c>
    </row>
    <row r="57" spans="1:19" ht="12.75">
      <c r="A57">
        <v>23</v>
      </c>
      <c r="B57" s="102" t="s">
        <v>557</v>
      </c>
      <c r="C57" s="19">
        <v>38222</v>
      </c>
      <c r="D57" s="10">
        <v>0.40625</v>
      </c>
      <c r="E57" s="4">
        <f t="shared" si="4"/>
        <v>9733</v>
      </c>
      <c r="F57" s="1">
        <v>24</v>
      </c>
      <c r="G57" s="38">
        <f t="shared" si="5"/>
        <v>0.679608</v>
      </c>
      <c r="H57" s="5">
        <v>119.2</v>
      </c>
      <c r="I57" s="5">
        <v>432.8</v>
      </c>
      <c r="J57" s="5">
        <v>149.99029166666665</v>
      </c>
      <c r="K57" s="45">
        <v>2.08</v>
      </c>
      <c r="L57" s="38">
        <f t="shared" si="6"/>
        <v>81.0092736</v>
      </c>
      <c r="M57" s="38">
        <f t="shared" si="7"/>
        <v>294.1343424</v>
      </c>
      <c r="N57" s="38">
        <f t="shared" si="8"/>
        <v>101.93460213899999</v>
      </c>
      <c r="O57" s="38">
        <f t="shared" si="9"/>
        <v>1.41358464</v>
      </c>
      <c r="P57" s="7">
        <f t="shared" si="10"/>
        <v>49.65205174272</v>
      </c>
      <c r="Q57" s="7">
        <f t="shared" si="11"/>
        <v>179.86537949184</v>
      </c>
      <c r="R57" s="7">
        <f t="shared" si="12"/>
        <v>61.2582038522244</v>
      </c>
      <c r="S57" s="7">
        <f t="shared" si="13"/>
        <v>0.8549359902720001</v>
      </c>
    </row>
    <row r="58" spans="1:19" ht="12.75">
      <c r="A58">
        <v>24</v>
      </c>
      <c r="B58" s="102" t="s">
        <v>558</v>
      </c>
      <c r="C58" s="19">
        <v>38229</v>
      </c>
      <c r="D58" s="10">
        <v>0.40277777777777773</v>
      </c>
      <c r="E58" s="4">
        <f t="shared" si="4"/>
        <v>9740</v>
      </c>
      <c r="F58" s="1">
        <v>24</v>
      </c>
      <c r="G58" s="38">
        <f t="shared" si="5"/>
        <v>0.679608</v>
      </c>
      <c r="H58" s="5">
        <v>122.4</v>
      </c>
      <c r="I58" s="5">
        <v>442.4</v>
      </c>
      <c r="J58" s="5">
        <v>148.08363541666668</v>
      </c>
      <c r="K58" s="45">
        <v>2.08</v>
      </c>
      <c r="L58" s="38">
        <f t="shared" si="6"/>
        <v>83.18401920000001</v>
      </c>
      <c r="M58" s="38">
        <f t="shared" si="7"/>
        <v>300.65857919999996</v>
      </c>
      <c r="N58" s="38">
        <f t="shared" si="8"/>
        <v>100.63882329825</v>
      </c>
      <c r="O58" s="38">
        <f t="shared" si="9"/>
        <v>1.41358464</v>
      </c>
      <c r="P58" s="7">
        <f t="shared" si="10"/>
        <v>57.87259011072001</v>
      </c>
      <c r="Q58" s="7">
        <f t="shared" si="11"/>
        <v>209.31839410176</v>
      </c>
      <c r="R58" s="7">
        <f t="shared" si="12"/>
        <v>70.6064707209312</v>
      </c>
      <c r="S58" s="7">
        <f t="shared" si="13"/>
        <v>0.9958595051520002</v>
      </c>
    </row>
    <row r="59" spans="1:19" ht="12.75">
      <c r="A59">
        <v>25</v>
      </c>
      <c r="B59" s="102" t="s">
        <v>559</v>
      </c>
      <c r="C59" s="19">
        <v>38237</v>
      </c>
      <c r="D59" s="10">
        <v>0.3958333333333333</v>
      </c>
      <c r="E59" s="4">
        <f t="shared" si="4"/>
        <v>9748</v>
      </c>
      <c r="F59" s="1">
        <v>24</v>
      </c>
      <c r="G59" s="38">
        <f t="shared" si="5"/>
        <v>0.679608</v>
      </c>
      <c r="H59" s="5">
        <v>124</v>
      </c>
      <c r="I59" s="5">
        <v>448.8</v>
      </c>
      <c r="J59" s="5">
        <v>152.5325</v>
      </c>
      <c r="K59" s="45">
        <v>2.16</v>
      </c>
      <c r="L59" s="38">
        <f t="shared" si="6"/>
        <v>84.27139199999999</v>
      </c>
      <c r="M59" s="38">
        <f t="shared" si="7"/>
        <v>305.0080704</v>
      </c>
      <c r="N59" s="38">
        <f t="shared" si="8"/>
        <v>103.66230725999999</v>
      </c>
      <c r="O59" s="38">
        <f t="shared" si="9"/>
        <v>1.4679532800000001</v>
      </c>
      <c r="P59" s="7">
        <f t="shared" si="10"/>
        <v>43.82721312768</v>
      </c>
      <c r="Q59" s="7">
        <f t="shared" si="11"/>
        <v>158.67987775487998</v>
      </c>
      <c r="R59" s="7">
        <f t="shared" si="12"/>
        <v>48.420663721146</v>
      </c>
      <c r="S59" s="7">
        <f t="shared" si="13"/>
        <v>0.746894628864</v>
      </c>
    </row>
    <row r="60" spans="1:19" ht="12.75">
      <c r="A60">
        <v>26</v>
      </c>
      <c r="B60" s="102" t="s">
        <v>560</v>
      </c>
      <c r="C60" s="19">
        <v>38243</v>
      </c>
      <c r="D60" s="10">
        <v>0.4375</v>
      </c>
      <c r="E60" s="4">
        <f t="shared" si="4"/>
        <v>9754</v>
      </c>
      <c r="F60" s="1">
        <v>24</v>
      </c>
      <c r="G60" s="38">
        <f t="shared" si="5"/>
        <v>0.679608</v>
      </c>
      <c r="H60" s="5">
        <v>124.8</v>
      </c>
      <c r="I60" s="5">
        <v>452</v>
      </c>
      <c r="J60" s="5">
        <v>122.34377604166667</v>
      </c>
      <c r="K60" s="45">
        <v>2.08</v>
      </c>
      <c r="L60" s="38">
        <f t="shared" si="6"/>
        <v>84.81507839999999</v>
      </c>
      <c r="M60" s="38">
        <f t="shared" si="7"/>
        <v>307.182816</v>
      </c>
      <c r="N60" s="38">
        <f t="shared" si="8"/>
        <v>83.14580894812501</v>
      </c>
      <c r="O60" s="38">
        <f t="shared" si="9"/>
        <v>1.41358464</v>
      </c>
      <c r="P60" s="7">
        <f t="shared" si="10"/>
        <v>50.309694812160004</v>
      </c>
      <c r="Q60" s="7">
        <f t="shared" si="11"/>
        <v>182.4959517696</v>
      </c>
      <c r="R60" s="7">
        <f t="shared" si="12"/>
        <v>64.06641575589781</v>
      </c>
      <c r="S60" s="7">
        <f t="shared" si="13"/>
        <v>0.8878181437440001</v>
      </c>
    </row>
    <row r="61" spans="1:19" ht="12.75">
      <c r="A61">
        <v>27</v>
      </c>
      <c r="B61" s="103" t="s">
        <v>561</v>
      </c>
      <c r="C61" s="104">
        <v>38250</v>
      </c>
      <c r="D61" s="105">
        <v>0.4618055555555556</v>
      </c>
      <c r="E61" s="4">
        <f t="shared" si="4"/>
        <v>9761</v>
      </c>
      <c r="F61" s="106">
        <v>24</v>
      </c>
      <c r="G61" s="38">
        <f t="shared" si="5"/>
        <v>0.679608</v>
      </c>
      <c r="H61" s="117">
        <v>120</v>
      </c>
      <c r="I61" s="117">
        <v>436</v>
      </c>
      <c r="J61" s="5">
        <v>189.39452083333336</v>
      </c>
      <c r="K61" s="140">
        <v>2.24</v>
      </c>
      <c r="L61" s="38">
        <f t="shared" si="6"/>
        <v>81.55296</v>
      </c>
      <c r="M61" s="38">
        <f t="shared" si="7"/>
        <v>296.309088</v>
      </c>
      <c r="N61" s="38">
        <f t="shared" si="8"/>
        <v>128.71403151450002</v>
      </c>
      <c r="O61" s="38">
        <f t="shared" si="9"/>
        <v>1.5223219200000002</v>
      </c>
      <c r="P61" s="7">
        <f t="shared" si="10"/>
        <v>75.68619848520011</v>
      </c>
      <c r="Q61" s="7">
        <f t="shared" si="11"/>
        <v>266.53824616087263</v>
      </c>
      <c r="R61" s="7">
        <f t="shared" si="12"/>
        <v>104.468673923691</v>
      </c>
      <c r="S61" s="7">
        <f t="shared" si="13"/>
        <v>1.3050440626328028</v>
      </c>
    </row>
    <row r="62" spans="1:19" ht="12.75">
      <c r="A62">
        <v>28</v>
      </c>
      <c r="C62" s="21">
        <v>38260</v>
      </c>
      <c r="E62" s="15">
        <f t="shared" si="4"/>
        <v>9771</v>
      </c>
      <c r="F62" s="82">
        <v>24</v>
      </c>
      <c r="G62" s="38">
        <f t="shared" si="5"/>
        <v>0.679608</v>
      </c>
      <c r="H62" s="5">
        <f>1707.5*(F62)^-0.792</f>
        <v>137.79498406516083</v>
      </c>
      <c r="I62" s="5">
        <f>364.65*G62^-0.6673</f>
        <v>471.85670699571807</v>
      </c>
      <c r="J62" s="5">
        <f>116.81*G62^-0.9167</f>
        <v>166.43653778077663</v>
      </c>
      <c r="K62" s="38">
        <f>1.8744*G62^-0.4207</f>
        <v>2.205114433862646</v>
      </c>
      <c r="L62" s="38">
        <f t="shared" si="6"/>
        <v>93.64657353055583</v>
      </c>
      <c r="M62" s="38">
        <f t="shared" si="7"/>
        <v>320.67759292794597</v>
      </c>
      <c r="N62" s="38">
        <f t="shared" si="8"/>
        <v>113.11160256811804</v>
      </c>
      <c r="O62" s="38">
        <f t="shared" si="9"/>
        <v>1.498613410168525</v>
      </c>
      <c r="P62" s="38"/>
      <c r="Q62" s="38"/>
      <c r="R62" s="38"/>
      <c r="S62" s="38"/>
    </row>
    <row r="63" spans="2:16" ht="12.75">
      <c r="B63" s="17"/>
      <c r="C63" s="96"/>
      <c r="D63" s="17"/>
      <c r="E63" s="17"/>
      <c r="F63" s="17"/>
      <c r="G63" s="17"/>
      <c r="H63" s="91"/>
      <c r="I63" s="91"/>
      <c r="J63" s="91"/>
      <c r="K63" s="141"/>
      <c r="L63" s="17"/>
      <c r="M63" s="17"/>
      <c r="N63" s="17"/>
      <c r="O63" s="17"/>
      <c r="P63" s="17"/>
    </row>
    <row r="64" spans="2:19" ht="12.75">
      <c r="B64" s="35" t="s">
        <v>224</v>
      </c>
      <c r="C64" s="86"/>
      <c r="F64" s="11"/>
      <c r="G64" s="11"/>
      <c r="L64" s="11"/>
      <c r="M64" s="11"/>
      <c r="N64" s="11"/>
      <c r="O64" s="11"/>
      <c r="P64" s="11">
        <f>SUM(P35:P61)</f>
        <v>2781.6931371570367</v>
      </c>
      <c r="Q64" s="11">
        <f>SUM(Q35:Q61)</f>
        <v>9826.378007236808</v>
      </c>
      <c r="R64" s="11">
        <f>SUM(R35:R61)</f>
        <v>3704.2486894628523</v>
      </c>
      <c r="S64" s="11">
        <f>SUM(S35:S61)</f>
        <v>46.4596613782164</v>
      </c>
    </row>
    <row r="67" spans="2:4" ht="12.75">
      <c r="B67" t="s">
        <v>646</v>
      </c>
      <c r="D67" t="s">
        <v>645</v>
      </c>
    </row>
    <row r="68" spans="2:4" ht="12.75">
      <c r="B68" t="s">
        <v>648</v>
      </c>
      <c r="D68" t="s">
        <v>647</v>
      </c>
    </row>
    <row r="69" spans="2:4" ht="12.75">
      <c r="B69" t="s">
        <v>650</v>
      </c>
      <c r="D69" t="s">
        <v>649</v>
      </c>
    </row>
    <row r="70" spans="2:4" ht="12.75">
      <c r="B70" t="s">
        <v>652</v>
      </c>
      <c r="D70" t="s">
        <v>651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selection activeCell="G39" sqref="G39"/>
    </sheetView>
  </sheetViews>
  <sheetFormatPr defaultColWidth="9.140625" defaultRowHeight="12.75"/>
  <cols>
    <col min="2" max="2" width="10.28125" style="0" customWidth="1"/>
    <col min="9" max="9" width="11.8515625" style="0" customWidth="1"/>
  </cols>
  <sheetData>
    <row r="1" spans="1:19" s="77" customFormat="1" ht="13.5" thickBot="1">
      <c r="A1" s="67" t="s">
        <v>189</v>
      </c>
      <c r="B1" s="68"/>
      <c r="C1" s="69"/>
      <c r="D1" s="69"/>
      <c r="E1" s="69"/>
      <c r="F1" s="70"/>
      <c r="G1" s="71"/>
      <c r="H1" s="72"/>
      <c r="I1" s="73"/>
      <c r="J1" s="71"/>
      <c r="K1" s="74"/>
      <c r="L1" s="74"/>
      <c r="M1" s="74"/>
      <c r="N1" s="74"/>
      <c r="O1" s="75"/>
      <c r="P1" s="75"/>
      <c r="Q1" s="75"/>
      <c r="R1" s="75"/>
      <c r="S1" s="76"/>
    </row>
    <row r="2" spans="1:18" s="77" customFormat="1" ht="52.5" thickBot="1" thickTop="1">
      <c r="A2" s="78" t="s">
        <v>0</v>
      </c>
      <c r="B2" s="79" t="s">
        <v>1</v>
      </c>
      <c r="C2" s="79" t="s">
        <v>163</v>
      </c>
      <c r="D2" s="79" t="s">
        <v>29</v>
      </c>
      <c r="E2" s="79" t="s">
        <v>162</v>
      </c>
      <c r="F2" s="80" t="s">
        <v>161</v>
      </c>
      <c r="G2" s="79" t="s">
        <v>2</v>
      </c>
      <c r="H2" s="79" t="s">
        <v>158</v>
      </c>
      <c r="I2" s="79" t="s">
        <v>159</v>
      </c>
      <c r="J2" s="79" t="s">
        <v>160</v>
      </c>
      <c r="K2" s="80" t="s">
        <v>176</v>
      </c>
      <c r="L2" s="80" t="s">
        <v>177</v>
      </c>
      <c r="M2" s="80" t="s">
        <v>178</v>
      </c>
      <c r="N2" s="80" t="s">
        <v>179</v>
      </c>
      <c r="O2" s="81" t="s">
        <v>180</v>
      </c>
      <c r="P2" s="81" t="s">
        <v>181</v>
      </c>
      <c r="Q2" s="81" t="s">
        <v>182</v>
      </c>
      <c r="R2" s="81" t="s">
        <v>183</v>
      </c>
    </row>
    <row r="3" spans="1:18" ht="12.75">
      <c r="A3" s="1"/>
      <c r="B3" s="8">
        <v>37165</v>
      </c>
      <c r="C3" s="22"/>
      <c r="D3" s="4">
        <f>B3-28489</f>
        <v>8676</v>
      </c>
      <c r="E3">
        <v>948</v>
      </c>
      <c r="F3" s="11">
        <f aca="true" t="shared" si="0" ref="F3:F30">E3*0.028317</f>
        <v>26.844516</v>
      </c>
      <c r="G3" s="1">
        <v>3.7</v>
      </c>
      <c r="H3" s="1">
        <v>3.2</v>
      </c>
      <c r="I3" s="23">
        <v>71.55114409318767</v>
      </c>
      <c r="J3" s="23">
        <v>2</v>
      </c>
      <c r="K3" s="11">
        <f>(G3*$F3)</f>
        <v>99.3247092</v>
      </c>
      <c r="L3" s="11">
        <f>(H3*$F3)</f>
        <v>85.9024512</v>
      </c>
      <c r="M3" s="11">
        <f>(I3*$F3)</f>
        <v>1920.7558324278818</v>
      </c>
      <c r="N3" s="11">
        <f>(J3*$F3)</f>
        <v>53.689032</v>
      </c>
      <c r="O3" s="11">
        <f>(((K3+K4)/2)*(($D4-$D3)*24*60*60))/1000000</f>
        <v>149.77967701824</v>
      </c>
      <c r="P3" s="11">
        <f>(((L3+L4)/2)*(($D4-$D3)*24*60*60))/1000000</f>
        <v>125.97901651296</v>
      </c>
      <c r="Q3" s="11">
        <f>(((M3+M4)/2)*(($D4-$D3)*24*60*60))/1000000</f>
        <v>2873.7260884777334</v>
      </c>
      <c r="R3" s="11">
        <f>(((N3+N4)/2)*(($D4-$D3)*24*60*60))/1000000</f>
        <v>79.93005609599999</v>
      </c>
    </row>
    <row r="4" spans="1:18" ht="12.75">
      <c r="A4" s="1" t="s">
        <v>124</v>
      </c>
      <c r="B4" s="8">
        <v>37183</v>
      </c>
      <c r="C4" s="22">
        <v>0.541666666666667</v>
      </c>
      <c r="D4" s="4">
        <f aca="true" t="shared" si="1" ref="D4:D30">B4-28489</f>
        <v>8694</v>
      </c>
      <c r="E4">
        <v>867</v>
      </c>
      <c r="F4" s="11">
        <f t="shared" si="0"/>
        <v>24.550839</v>
      </c>
      <c r="G4" s="1">
        <v>3.8</v>
      </c>
      <c r="H4" s="1">
        <v>3.1</v>
      </c>
      <c r="I4" s="23">
        <v>72.29404947916666</v>
      </c>
      <c r="J4" s="23">
        <v>2</v>
      </c>
      <c r="K4" s="11">
        <f aca="true" t="shared" si="2" ref="K4:K30">(G4*$F4)</f>
        <v>93.29318819999999</v>
      </c>
      <c r="L4" s="11">
        <f aca="true" t="shared" si="3" ref="L4:L30">(H4*$F4)</f>
        <v>76.10760090000001</v>
      </c>
      <c r="M4" s="11">
        <f aca="true" t="shared" si="4" ref="M4:M30">(I4*$F4)</f>
        <v>1774.8795694210546</v>
      </c>
      <c r="N4" s="11">
        <f aca="true" t="shared" si="5" ref="N4:N30">(J4*$F4)</f>
        <v>49.101678</v>
      </c>
      <c r="O4" s="11">
        <f aca="true" t="shared" si="6" ref="O4:O29">(((K4+K5)/2)*(($D5-$D4)*24*60*60))/1000000</f>
        <v>212.38274657376002</v>
      </c>
      <c r="P4" s="11">
        <f aca="true" t="shared" si="7" ref="P4:P29">(((L4+L5)/2)*(($D5-$D4)*24*60*60))/1000000</f>
        <v>173.7487851624</v>
      </c>
      <c r="Q4" s="11">
        <f aca="true" t="shared" si="8" ref="Q4:Q29">(((M4+M5)/2)*(($D5-$D4)*24*60*60))/1000000</f>
        <v>3888.7443211715326</v>
      </c>
      <c r="R4" s="11">
        <f aca="true" t="shared" si="9" ref="R4:R29">(((N4+N5)/2)*(($D5-$D4)*24*60*60))/1000000</f>
        <v>110.3827468896</v>
      </c>
    </row>
    <row r="5" spans="1:18" ht="12.75">
      <c r="A5" s="1" t="s">
        <v>125</v>
      </c>
      <c r="B5" s="8">
        <v>37210</v>
      </c>
      <c r="C5" s="20">
        <v>0.5833333333333334</v>
      </c>
      <c r="D5" s="4">
        <f t="shared" si="1"/>
        <v>8721</v>
      </c>
      <c r="E5">
        <v>804</v>
      </c>
      <c r="F5" s="11">
        <f t="shared" si="0"/>
        <v>22.766868</v>
      </c>
      <c r="G5" s="1">
        <v>3.9</v>
      </c>
      <c r="H5" s="1">
        <v>3.2</v>
      </c>
      <c r="I5" s="23">
        <v>68.48073697916668</v>
      </c>
      <c r="J5" s="23">
        <v>2</v>
      </c>
      <c r="K5" s="11">
        <f t="shared" si="2"/>
        <v>88.79078519999999</v>
      </c>
      <c r="L5" s="11">
        <f t="shared" si="3"/>
        <v>72.8539776</v>
      </c>
      <c r="M5" s="11">
        <f t="shared" si="4"/>
        <v>1559.0918993474065</v>
      </c>
      <c r="N5" s="11">
        <f t="shared" si="5"/>
        <v>45.533736</v>
      </c>
      <c r="O5" s="11">
        <f t="shared" si="6"/>
        <v>213.44297583024</v>
      </c>
      <c r="P5" s="11">
        <f t="shared" si="7"/>
        <v>175.13269811712</v>
      </c>
      <c r="Q5" s="11">
        <f t="shared" si="8"/>
        <v>3873.221020237232</v>
      </c>
      <c r="R5" s="11">
        <f t="shared" si="9"/>
        <v>112.27530565584001</v>
      </c>
    </row>
    <row r="6" spans="1:18" ht="12.75">
      <c r="A6" s="1" t="s">
        <v>126</v>
      </c>
      <c r="B6" s="8">
        <v>37237</v>
      </c>
      <c r="C6" s="20">
        <v>0.5833333333333334</v>
      </c>
      <c r="D6" s="4">
        <f t="shared" si="1"/>
        <v>8748</v>
      </c>
      <c r="E6">
        <v>853</v>
      </c>
      <c r="F6" s="11">
        <f t="shared" si="0"/>
        <v>24.154401</v>
      </c>
      <c r="G6" s="1">
        <v>3.9</v>
      </c>
      <c r="H6" s="1">
        <v>3.2</v>
      </c>
      <c r="I6" s="23">
        <v>72.92960156250001</v>
      </c>
      <c r="J6" s="1">
        <v>2.1</v>
      </c>
      <c r="K6" s="11">
        <f t="shared" si="2"/>
        <v>94.2021639</v>
      </c>
      <c r="L6" s="11">
        <f t="shared" si="3"/>
        <v>77.2940832</v>
      </c>
      <c r="M6" s="11">
        <f t="shared" si="4"/>
        <v>1761.5708409108518</v>
      </c>
      <c r="N6" s="11">
        <f t="shared" si="5"/>
        <v>50.724242100000005</v>
      </c>
      <c r="O6" s="11">
        <f t="shared" si="6"/>
        <v>278.021176524</v>
      </c>
      <c r="P6" s="11">
        <f t="shared" si="7"/>
        <v>255.9327611904</v>
      </c>
      <c r="Q6" s="11">
        <f t="shared" si="8"/>
        <v>5326.017416949721</v>
      </c>
      <c r="R6" s="11">
        <f t="shared" si="9"/>
        <v>146.22710775119998</v>
      </c>
    </row>
    <row r="7" spans="1:18" ht="12.75">
      <c r="A7" s="1" t="s">
        <v>127</v>
      </c>
      <c r="B7" s="8">
        <v>37272</v>
      </c>
      <c r="C7" s="20">
        <v>0.6041666666666666</v>
      </c>
      <c r="D7" s="4">
        <f t="shared" si="1"/>
        <v>8783</v>
      </c>
      <c r="E7">
        <v>812</v>
      </c>
      <c r="F7" s="11">
        <f t="shared" si="0"/>
        <v>22.993403999999998</v>
      </c>
      <c r="G7" s="1">
        <v>3.9</v>
      </c>
      <c r="H7" s="23">
        <v>4</v>
      </c>
      <c r="I7" s="23">
        <v>76.58402604166666</v>
      </c>
      <c r="J7" s="23">
        <v>2</v>
      </c>
      <c r="K7" s="11">
        <f t="shared" si="2"/>
        <v>89.67427559999999</v>
      </c>
      <c r="L7" s="11">
        <f t="shared" si="3"/>
        <v>91.97361599999999</v>
      </c>
      <c r="M7" s="11">
        <f t="shared" si="4"/>
        <v>1760.9274507225623</v>
      </c>
      <c r="N7" s="11">
        <f t="shared" si="5"/>
        <v>45.986807999999996</v>
      </c>
      <c r="O7" s="11">
        <f t="shared" si="6"/>
        <v>212.65101503567996</v>
      </c>
      <c r="P7" s="11">
        <f t="shared" si="7"/>
        <v>210.3876757368</v>
      </c>
      <c r="Q7" s="11">
        <f t="shared" si="8"/>
        <v>4122.687731683408</v>
      </c>
      <c r="R7" s="11">
        <f t="shared" si="9"/>
        <v>109.0518025824</v>
      </c>
    </row>
    <row r="8" spans="1:18" ht="12.75">
      <c r="A8" s="1" t="s">
        <v>128</v>
      </c>
      <c r="B8" s="8">
        <v>37301</v>
      </c>
      <c r="C8" s="20">
        <v>0.4479166666666667</v>
      </c>
      <c r="D8" s="4">
        <f t="shared" si="1"/>
        <v>8812</v>
      </c>
      <c r="E8">
        <v>725</v>
      </c>
      <c r="F8" s="11">
        <f t="shared" si="0"/>
        <v>20.529825</v>
      </c>
      <c r="G8" s="1">
        <v>3.9</v>
      </c>
      <c r="H8" s="1">
        <v>3.7</v>
      </c>
      <c r="I8" s="23">
        <v>74.51848177083333</v>
      </c>
      <c r="J8" s="23">
        <v>2</v>
      </c>
      <c r="K8" s="11">
        <f t="shared" si="2"/>
        <v>80.0663175</v>
      </c>
      <c r="L8" s="11">
        <f t="shared" si="3"/>
        <v>75.9603525</v>
      </c>
      <c r="M8" s="11">
        <f t="shared" si="4"/>
        <v>1529.8513900208984</v>
      </c>
      <c r="N8" s="11">
        <f t="shared" si="5"/>
        <v>41.05965</v>
      </c>
      <c r="O8" s="11">
        <f t="shared" si="6"/>
        <v>155.25807865919998</v>
      </c>
      <c r="P8" s="11">
        <f t="shared" si="7"/>
        <v>147.076685712</v>
      </c>
      <c r="Q8" s="11">
        <f t="shared" si="8"/>
        <v>3024.5285754587844</v>
      </c>
      <c r="R8" s="11">
        <f t="shared" si="9"/>
        <v>81.81392947199998</v>
      </c>
    </row>
    <row r="9" spans="1:18" ht="12.75">
      <c r="A9" s="1" t="s">
        <v>129</v>
      </c>
      <c r="B9" s="8">
        <v>37323</v>
      </c>
      <c r="C9" s="20">
        <v>0.6145833333333334</v>
      </c>
      <c r="D9" s="4">
        <f t="shared" si="1"/>
        <v>8834</v>
      </c>
      <c r="E9">
        <v>795</v>
      </c>
      <c r="F9" s="11">
        <f t="shared" si="0"/>
        <v>22.512014999999998</v>
      </c>
      <c r="G9" s="1">
        <v>3.7</v>
      </c>
      <c r="H9" s="1">
        <v>3.5</v>
      </c>
      <c r="I9" s="23">
        <v>73.406265625</v>
      </c>
      <c r="J9" s="23">
        <v>2</v>
      </c>
      <c r="K9" s="11">
        <f t="shared" si="2"/>
        <v>83.2944555</v>
      </c>
      <c r="L9" s="11">
        <f t="shared" si="3"/>
        <v>78.7920525</v>
      </c>
      <c r="M9" s="11">
        <f t="shared" si="4"/>
        <v>1652.5229528439843</v>
      </c>
      <c r="N9" s="11">
        <f t="shared" si="5"/>
        <v>45.024029999999996</v>
      </c>
      <c r="O9" s="11">
        <f t="shared" si="6"/>
        <v>333.005201568</v>
      </c>
      <c r="P9" s="11">
        <f t="shared" si="7"/>
        <v>338.73021936</v>
      </c>
      <c r="Q9" s="11">
        <f t="shared" si="8"/>
        <v>6642.913889412133</v>
      </c>
      <c r="R9" s="11">
        <f t="shared" si="9"/>
        <v>165.585129984</v>
      </c>
    </row>
    <row r="10" spans="1:18" ht="12.75">
      <c r="A10" s="1" t="s">
        <v>130</v>
      </c>
      <c r="B10" s="8">
        <v>37363</v>
      </c>
      <c r="C10" s="20">
        <v>0.3541666666666667</v>
      </c>
      <c r="D10" s="4">
        <f t="shared" si="1"/>
        <v>8874</v>
      </c>
      <c r="E10">
        <v>1380</v>
      </c>
      <c r="F10" s="11">
        <f t="shared" si="0"/>
        <v>39.077459999999995</v>
      </c>
      <c r="G10" s="1">
        <v>2.8</v>
      </c>
      <c r="H10" s="23">
        <v>3</v>
      </c>
      <c r="I10" s="23">
        <v>56.08747135416667</v>
      </c>
      <c r="J10" s="1">
        <v>1.3</v>
      </c>
      <c r="K10" s="11">
        <f t="shared" si="2"/>
        <v>109.41688799999999</v>
      </c>
      <c r="L10" s="11">
        <f t="shared" si="3"/>
        <v>117.23237999999998</v>
      </c>
      <c r="M10" s="11">
        <f t="shared" si="4"/>
        <v>2191.7559183435933</v>
      </c>
      <c r="N10" s="11">
        <f t="shared" si="5"/>
        <v>50.800698</v>
      </c>
      <c r="O10" s="11">
        <f t="shared" si="6"/>
        <v>71.1761613696</v>
      </c>
      <c r="P10" s="11">
        <f t="shared" si="7"/>
        <v>73.53956615039999</v>
      </c>
      <c r="Q10" s="11">
        <f t="shared" si="8"/>
        <v>1464.6512181707437</v>
      </c>
      <c r="R10" s="11">
        <f t="shared" si="9"/>
        <v>34.4063782944</v>
      </c>
    </row>
    <row r="11" spans="1:18" ht="12.75">
      <c r="A11" s="1" t="s">
        <v>131</v>
      </c>
      <c r="B11" s="8">
        <v>37370</v>
      </c>
      <c r="C11" s="20">
        <v>0.4166666666666667</v>
      </c>
      <c r="D11" s="4">
        <f t="shared" si="1"/>
        <v>8881</v>
      </c>
      <c r="E11">
        <v>1390</v>
      </c>
      <c r="F11" s="11">
        <f t="shared" si="0"/>
        <v>39.36063</v>
      </c>
      <c r="G11" s="1">
        <v>3.2</v>
      </c>
      <c r="H11" s="1">
        <v>3.2</v>
      </c>
      <c r="I11" s="23">
        <v>67.36852083333333</v>
      </c>
      <c r="J11" s="1">
        <v>1.6</v>
      </c>
      <c r="K11" s="11">
        <f t="shared" si="2"/>
        <v>125.95401600000001</v>
      </c>
      <c r="L11" s="11">
        <f t="shared" si="3"/>
        <v>125.95401600000001</v>
      </c>
      <c r="M11" s="11">
        <f t="shared" si="4"/>
        <v>2651.667422168125</v>
      </c>
      <c r="N11" s="11">
        <f t="shared" si="5"/>
        <v>62.977008000000005</v>
      </c>
      <c r="O11" s="11">
        <f t="shared" si="6"/>
        <v>79.91048338560002</v>
      </c>
      <c r="P11" s="11">
        <f t="shared" si="7"/>
        <v>117.9304733376</v>
      </c>
      <c r="Q11" s="11">
        <f t="shared" si="8"/>
        <v>1994.9461171899993</v>
      </c>
      <c r="R11" s="11">
        <f t="shared" si="9"/>
        <v>45.6582401856</v>
      </c>
    </row>
    <row r="12" spans="1:18" ht="12.75">
      <c r="A12" s="1" t="s">
        <v>132</v>
      </c>
      <c r="B12" s="8">
        <v>37377</v>
      </c>
      <c r="C12" s="20">
        <v>0.6145833333333334</v>
      </c>
      <c r="D12" s="4">
        <f t="shared" si="1"/>
        <v>8888</v>
      </c>
      <c r="E12">
        <v>2220</v>
      </c>
      <c r="F12" s="11">
        <f t="shared" si="0"/>
        <v>62.86374</v>
      </c>
      <c r="G12" s="1">
        <v>2.2</v>
      </c>
      <c r="H12" s="1">
        <v>4.2</v>
      </c>
      <c r="I12" s="23">
        <v>62.76076822916666</v>
      </c>
      <c r="J12" s="1">
        <v>1.4</v>
      </c>
      <c r="K12" s="11">
        <f t="shared" si="2"/>
        <v>138.300228</v>
      </c>
      <c r="L12" s="11">
        <f t="shared" si="3"/>
        <v>264.027708</v>
      </c>
      <c r="M12" s="11">
        <f t="shared" si="4"/>
        <v>3945.376616158593</v>
      </c>
      <c r="N12" s="11">
        <f t="shared" si="5"/>
        <v>88.009236</v>
      </c>
      <c r="O12" s="11">
        <f t="shared" si="6"/>
        <v>51.9117211584</v>
      </c>
      <c r="P12" s="11">
        <f t="shared" si="7"/>
        <v>84.84280640640002</v>
      </c>
      <c r="Q12" s="11">
        <f t="shared" si="8"/>
        <v>1394.633290199281</v>
      </c>
      <c r="R12" s="11">
        <f t="shared" si="9"/>
        <v>33.1365987072</v>
      </c>
    </row>
    <row r="13" spans="1:18" ht="12.75">
      <c r="A13" s="1" t="s">
        <v>133</v>
      </c>
      <c r="B13" s="8">
        <v>37381</v>
      </c>
      <c r="C13" s="20">
        <v>0.3541666666666667</v>
      </c>
      <c r="D13" s="4">
        <f t="shared" si="1"/>
        <v>8892</v>
      </c>
      <c r="E13">
        <v>2290</v>
      </c>
      <c r="F13" s="11">
        <f t="shared" si="0"/>
        <v>64.84593</v>
      </c>
      <c r="G13" s="1">
        <v>2.5</v>
      </c>
      <c r="H13" s="1">
        <v>3.5</v>
      </c>
      <c r="I13" s="23">
        <v>63.61876354166667</v>
      </c>
      <c r="J13" s="1">
        <v>1.6</v>
      </c>
      <c r="K13" s="11">
        <f t="shared" si="2"/>
        <v>162.114825</v>
      </c>
      <c r="L13" s="11">
        <f t="shared" si="3"/>
        <v>226.96075499999998</v>
      </c>
      <c r="M13" s="11">
        <f t="shared" si="4"/>
        <v>4125.417887309469</v>
      </c>
      <c r="N13" s="11">
        <f t="shared" si="5"/>
        <v>103.753488</v>
      </c>
      <c r="O13" s="11">
        <f t="shared" si="6"/>
        <v>51.872575737599995</v>
      </c>
      <c r="P13" s="11">
        <f t="shared" si="7"/>
        <v>72.4141353024</v>
      </c>
      <c r="Q13" s="11">
        <f t="shared" si="8"/>
        <v>1324.3657952230901</v>
      </c>
      <c r="R13" s="11">
        <f t="shared" si="9"/>
        <v>34.526261145599996</v>
      </c>
    </row>
    <row r="14" spans="1:18" ht="12.75">
      <c r="A14" s="1" t="s">
        <v>134</v>
      </c>
      <c r="B14" s="8">
        <v>37385</v>
      </c>
      <c r="C14" s="20">
        <v>0.34375</v>
      </c>
      <c r="D14" s="4">
        <f t="shared" si="1"/>
        <v>8896</v>
      </c>
      <c r="E14">
        <v>2120</v>
      </c>
      <c r="F14" s="11">
        <f t="shared" si="0"/>
        <v>60.032039999999995</v>
      </c>
      <c r="G14" s="1">
        <v>2.3</v>
      </c>
      <c r="H14" s="1">
        <v>3.2</v>
      </c>
      <c r="I14" s="23">
        <v>58.94745572916668</v>
      </c>
      <c r="J14" s="1">
        <v>1.6</v>
      </c>
      <c r="K14" s="11">
        <f t="shared" si="2"/>
        <v>138.07369199999997</v>
      </c>
      <c r="L14" s="11">
        <f t="shared" si="3"/>
        <v>192.102528</v>
      </c>
      <c r="M14" s="11">
        <f t="shared" si="4"/>
        <v>3538.7360202315626</v>
      </c>
      <c r="N14" s="11">
        <f t="shared" si="5"/>
        <v>96.051264</v>
      </c>
      <c r="O14" s="11">
        <f t="shared" si="6"/>
        <v>74.718821952</v>
      </c>
      <c r="P14" s="11">
        <f t="shared" si="7"/>
        <v>101.69980323840001</v>
      </c>
      <c r="Q14" s="11">
        <f t="shared" si="8"/>
        <v>1852.8017699174059</v>
      </c>
      <c r="R14" s="11">
        <f t="shared" si="9"/>
        <v>49.227813244800004</v>
      </c>
    </row>
    <row r="15" spans="1:18" ht="12.75">
      <c r="A15" s="1" t="s">
        <v>135</v>
      </c>
      <c r="B15" s="8">
        <v>37391</v>
      </c>
      <c r="C15" s="20">
        <v>0.3541666666666667</v>
      </c>
      <c r="D15" s="4">
        <f t="shared" si="1"/>
        <v>8902</v>
      </c>
      <c r="E15">
        <v>2210</v>
      </c>
      <c r="F15" s="11">
        <f t="shared" si="0"/>
        <v>62.580569999999994</v>
      </c>
      <c r="G15" s="1">
        <v>2.4</v>
      </c>
      <c r="H15" s="1">
        <v>3.2</v>
      </c>
      <c r="I15" s="23">
        <v>57.676351562499995</v>
      </c>
      <c r="J15" s="1">
        <v>1.5</v>
      </c>
      <c r="K15" s="11">
        <f t="shared" si="2"/>
        <v>150.193368</v>
      </c>
      <c r="L15" s="11">
        <f t="shared" si="3"/>
        <v>200.257824</v>
      </c>
      <c r="M15" s="11">
        <f t="shared" si="4"/>
        <v>3609.41895630164</v>
      </c>
      <c r="N15" s="11">
        <f t="shared" si="5"/>
        <v>93.87085499999999</v>
      </c>
      <c r="O15" s="11">
        <f t="shared" si="6"/>
        <v>94.43343450239998</v>
      </c>
      <c r="P15" s="11">
        <f t="shared" si="7"/>
        <v>104.4889144704</v>
      </c>
      <c r="Q15" s="11">
        <f t="shared" si="8"/>
        <v>2077.3654261347438</v>
      </c>
      <c r="R15" s="11">
        <f t="shared" si="9"/>
        <v>53.543595888</v>
      </c>
    </row>
    <row r="16" spans="1:18" ht="12.75">
      <c r="A16" s="1" t="s">
        <v>136</v>
      </c>
      <c r="B16" s="8">
        <v>37397</v>
      </c>
      <c r="C16" s="20">
        <v>0.4166666666666667</v>
      </c>
      <c r="D16" s="4">
        <f t="shared" si="1"/>
        <v>8908</v>
      </c>
      <c r="E16">
        <v>1990</v>
      </c>
      <c r="F16" s="11">
        <f t="shared" si="0"/>
        <v>56.350829999999995</v>
      </c>
      <c r="G16" s="1">
        <v>3.8</v>
      </c>
      <c r="H16" s="1">
        <v>3.6</v>
      </c>
      <c r="I16" s="23">
        <v>78.17290625</v>
      </c>
      <c r="J16" s="23">
        <v>2</v>
      </c>
      <c r="K16" s="11">
        <f t="shared" si="2"/>
        <v>214.13315399999996</v>
      </c>
      <c r="L16" s="11">
        <f t="shared" si="3"/>
        <v>202.86298799999997</v>
      </c>
      <c r="M16" s="11">
        <f t="shared" si="4"/>
        <v>4405.108150699687</v>
      </c>
      <c r="N16" s="11">
        <f t="shared" si="5"/>
        <v>112.70165999999999</v>
      </c>
      <c r="O16" s="11">
        <f t="shared" si="6"/>
        <v>15.826982947199996</v>
      </c>
      <c r="P16" s="11">
        <f t="shared" si="7"/>
        <v>17.5322553408</v>
      </c>
      <c r="Q16" s="11">
        <f t="shared" si="8"/>
        <v>357.0518595686625</v>
      </c>
      <c r="R16" s="11">
        <f t="shared" si="9"/>
        <v>9.252998841599998</v>
      </c>
    </row>
    <row r="17" spans="1:18" ht="12.75">
      <c r="A17" s="1" t="s">
        <v>137</v>
      </c>
      <c r="B17" s="8">
        <v>37398</v>
      </c>
      <c r="C17" s="20">
        <v>0.5208333333333334</v>
      </c>
      <c r="D17" s="4">
        <f t="shared" si="1"/>
        <v>8909</v>
      </c>
      <c r="E17">
        <v>2240</v>
      </c>
      <c r="F17" s="11">
        <f t="shared" si="0"/>
        <v>63.43008</v>
      </c>
      <c r="G17" s="1">
        <v>2.4</v>
      </c>
      <c r="H17" s="1">
        <v>3.2</v>
      </c>
      <c r="I17" s="23">
        <v>60.854111979166674</v>
      </c>
      <c r="J17" s="1">
        <v>1.6</v>
      </c>
      <c r="K17" s="11">
        <f t="shared" si="2"/>
        <v>152.232192</v>
      </c>
      <c r="L17" s="11">
        <f t="shared" si="3"/>
        <v>202.976256</v>
      </c>
      <c r="M17" s="11">
        <f t="shared" si="4"/>
        <v>3859.9811911675</v>
      </c>
      <c r="N17" s="11">
        <f t="shared" si="5"/>
        <v>101.488128</v>
      </c>
      <c r="O17" s="11">
        <f t="shared" si="6"/>
        <v>82.66778896319998</v>
      </c>
      <c r="P17" s="11">
        <f t="shared" si="7"/>
        <v>118.7182749312</v>
      </c>
      <c r="Q17" s="11">
        <f t="shared" si="8"/>
        <v>2166.8674622230283</v>
      </c>
      <c r="R17" s="11">
        <f t="shared" si="9"/>
        <v>56.173678848</v>
      </c>
    </row>
    <row r="18" spans="1:18" ht="12.75">
      <c r="A18" s="1" t="s">
        <v>138</v>
      </c>
      <c r="B18" s="8">
        <v>37405</v>
      </c>
      <c r="C18" s="20">
        <v>0.6</v>
      </c>
      <c r="D18" s="4">
        <f t="shared" si="1"/>
        <v>8916</v>
      </c>
      <c r="E18">
        <v>1860</v>
      </c>
      <c r="F18" s="11">
        <f t="shared" si="0"/>
        <v>52.669619999999995</v>
      </c>
      <c r="G18" s="1">
        <v>2.3</v>
      </c>
      <c r="H18" s="1">
        <v>3.6</v>
      </c>
      <c r="I18" s="23">
        <v>62.76076822916666</v>
      </c>
      <c r="J18" s="1">
        <v>1.6</v>
      </c>
      <c r="K18" s="11">
        <f t="shared" si="2"/>
        <v>121.14012599999998</v>
      </c>
      <c r="L18" s="11">
        <f t="shared" si="3"/>
        <v>189.61063199999998</v>
      </c>
      <c r="M18" s="11">
        <f t="shared" si="4"/>
        <v>3305.5858135382805</v>
      </c>
      <c r="N18" s="11">
        <f t="shared" si="5"/>
        <v>84.27139199999999</v>
      </c>
      <c r="O18" s="11">
        <f t="shared" si="6"/>
        <v>74.7383946624</v>
      </c>
      <c r="P18" s="11">
        <f t="shared" si="7"/>
        <v>112.2103487232</v>
      </c>
      <c r="Q18" s="11">
        <f t="shared" si="8"/>
        <v>2033.6684067866076</v>
      </c>
      <c r="R18" s="11">
        <f t="shared" si="9"/>
        <v>49.87126609919999</v>
      </c>
    </row>
    <row r="19" spans="1:18" ht="12.75">
      <c r="A19" s="1"/>
      <c r="B19" s="8">
        <v>37412</v>
      </c>
      <c r="C19" s="20"/>
      <c r="D19" s="4">
        <f t="shared" si="1"/>
        <v>8923</v>
      </c>
      <c r="E19">
        <v>1780</v>
      </c>
      <c r="F19" s="11">
        <f t="shared" si="0"/>
        <v>50.40426</v>
      </c>
      <c r="G19" s="1">
        <v>2.5</v>
      </c>
      <c r="H19" s="1">
        <v>3.6</v>
      </c>
      <c r="I19" s="23">
        <v>67.84164918298812</v>
      </c>
      <c r="J19" s="1">
        <v>1.6</v>
      </c>
      <c r="K19" s="11">
        <f t="shared" si="2"/>
        <v>126.01065</v>
      </c>
      <c r="L19" s="11">
        <f t="shared" si="3"/>
        <v>181.45533600000002</v>
      </c>
      <c r="M19" s="11">
        <f t="shared" si="4"/>
        <v>3419.508124248121</v>
      </c>
      <c r="N19" s="11">
        <f t="shared" si="5"/>
        <v>80.646816</v>
      </c>
      <c r="O19" s="11">
        <f t="shared" si="6"/>
        <v>72.35786375999999</v>
      </c>
      <c r="P19" s="11">
        <f t="shared" si="7"/>
        <v>104.1953238144</v>
      </c>
      <c r="Q19" s="11">
        <f t="shared" si="8"/>
        <v>1933.1224476386114</v>
      </c>
      <c r="R19" s="11">
        <f t="shared" si="9"/>
        <v>47.679122534399994</v>
      </c>
    </row>
    <row r="20" spans="1:18" ht="12.75">
      <c r="A20" s="1" t="s">
        <v>139</v>
      </c>
      <c r="B20" s="8">
        <v>37419</v>
      </c>
      <c r="C20" s="20">
        <v>0.3333333333333333</v>
      </c>
      <c r="D20" s="4">
        <f t="shared" si="1"/>
        <v>8930</v>
      </c>
      <c r="E20">
        <v>1600</v>
      </c>
      <c r="F20" s="11">
        <f t="shared" si="0"/>
        <v>45.307199999999995</v>
      </c>
      <c r="G20" s="1">
        <v>2.5</v>
      </c>
      <c r="H20" s="1">
        <v>3.6</v>
      </c>
      <c r="I20" s="23">
        <v>65.62075260416667</v>
      </c>
      <c r="J20" s="1">
        <v>1.7</v>
      </c>
      <c r="K20" s="11">
        <f t="shared" si="2"/>
        <v>113.26799999999999</v>
      </c>
      <c r="L20" s="11">
        <f t="shared" si="3"/>
        <v>163.10592</v>
      </c>
      <c r="M20" s="11">
        <f t="shared" si="4"/>
        <v>2973.0925623874996</v>
      </c>
      <c r="N20" s="11">
        <f t="shared" si="5"/>
        <v>77.02223999999998</v>
      </c>
      <c r="O20" s="11">
        <f t="shared" si="6"/>
        <v>69.2066573856</v>
      </c>
      <c r="P20" s="11">
        <f t="shared" si="7"/>
        <v>93.6884482128</v>
      </c>
      <c r="Q20" s="11">
        <f t="shared" si="8"/>
        <v>1804.765952511963</v>
      </c>
      <c r="R20" s="11">
        <f t="shared" si="9"/>
        <v>46.146334651199986</v>
      </c>
    </row>
    <row r="21" spans="1:18" ht="12.75">
      <c r="A21" s="1" t="s">
        <v>140</v>
      </c>
      <c r="B21" s="8">
        <v>37426</v>
      </c>
      <c r="C21" s="20">
        <v>0.5902777777777778</v>
      </c>
      <c r="D21" s="4">
        <f t="shared" si="1"/>
        <v>8937</v>
      </c>
      <c r="E21">
        <v>1570</v>
      </c>
      <c r="F21" s="11">
        <f t="shared" si="0"/>
        <v>44.45769</v>
      </c>
      <c r="G21" s="1">
        <v>2.6</v>
      </c>
      <c r="H21" s="1">
        <v>3.3</v>
      </c>
      <c r="I21" s="23">
        <v>67.36852083333333</v>
      </c>
      <c r="J21" s="1">
        <v>1.7</v>
      </c>
      <c r="K21" s="11">
        <f t="shared" si="2"/>
        <v>115.589994</v>
      </c>
      <c r="L21" s="11">
        <f t="shared" si="3"/>
        <v>146.710377</v>
      </c>
      <c r="M21" s="11">
        <f t="shared" si="4"/>
        <v>2995.048814966875</v>
      </c>
      <c r="N21" s="11">
        <f t="shared" si="5"/>
        <v>75.578073</v>
      </c>
      <c r="O21" s="11">
        <f t="shared" si="6"/>
        <v>67.90507214399999</v>
      </c>
      <c r="P21" s="11">
        <f t="shared" si="7"/>
        <v>93.7912049424</v>
      </c>
      <c r="Q21" s="11">
        <f t="shared" si="8"/>
        <v>1781.6363002045755</v>
      </c>
      <c r="R21" s="11">
        <f t="shared" si="9"/>
        <v>45.66680324640001</v>
      </c>
    </row>
    <row r="22" spans="1:18" ht="12.75">
      <c r="A22" s="1" t="s">
        <v>141</v>
      </c>
      <c r="B22" s="8">
        <v>37433</v>
      </c>
      <c r="C22" s="20">
        <v>0.34375</v>
      </c>
      <c r="D22" s="4">
        <f t="shared" si="1"/>
        <v>8944</v>
      </c>
      <c r="E22">
        <v>1480</v>
      </c>
      <c r="F22" s="11">
        <f t="shared" si="0"/>
        <v>41.90916</v>
      </c>
      <c r="G22" s="1">
        <v>2.6</v>
      </c>
      <c r="H22" s="1">
        <v>3.9</v>
      </c>
      <c r="I22" s="23">
        <v>69.11628906250002</v>
      </c>
      <c r="J22" s="1">
        <v>1.8</v>
      </c>
      <c r="K22" s="11">
        <f t="shared" si="2"/>
        <v>108.96381600000001</v>
      </c>
      <c r="L22" s="11">
        <f t="shared" si="3"/>
        <v>163.44572399999998</v>
      </c>
      <c r="M22" s="11">
        <f t="shared" si="4"/>
        <v>2896.605616926563</v>
      </c>
      <c r="N22" s="11">
        <f t="shared" si="5"/>
        <v>75.436488</v>
      </c>
      <c r="O22" s="11">
        <f t="shared" si="6"/>
        <v>70.1999724384</v>
      </c>
      <c r="P22" s="11">
        <f t="shared" si="7"/>
        <v>109.0248901056</v>
      </c>
      <c r="Q22" s="11">
        <f t="shared" si="8"/>
        <v>1972.0341557278582</v>
      </c>
      <c r="R22" s="11">
        <f t="shared" si="9"/>
        <v>49.63150039680001</v>
      </c>
    </row>
    <row r="23" spans="1:18" ht="12.75">
      <c r="A23" s="1" t="s">
        <v>142</v>
      </c>
      <c r="B23" s="8">
        <v>37440</v>
      </c>
      <c r="C23" s="20">
        <v>0.5833333333333334</v>
      </c>
      <c r="D23" s="4">
        <f t="shared" si="1"/>
        <v>8951</v>
      </c>
      <c r="E23">
        <v>1740</v>
      </c>
      <c r="F23" s="11">
        <f t="shared" si="0"/>
        <v>49.27158</v>
      </c>
      <c r="G23" s="1">
        <v>2.5</v>
      </c>
      <c r="H23" s="23">
        <v>4</v>
      </c>
      <c r="I23" s="23">
        <v>73.56515364583333</v>
      </c>
      <c r="J23" s="1">
        <v>1.8</v>
      </c>
      <c r="K23" s="11">
        <f t="shared" si="2"/>
        <v>123.17895</v>
      </c>
      <c r="L23" s="11">
        <f t="shared" si="3"/>
        <v>197.08632</v>
      </c>
      <c r="M23" s="11">
        <f t="shared" si="4"/>
        <v>3624.671353072969</v>
      </c>
      <c r="N23" s="11">
        <f t="shared" si="5"/>
        <v>88.688844</v>
      </c>
      <c r="O23" s="11">
        <f t="shared" si="6"/>
        <v>77.70977676</v>
      </c>
      <c r="P23" s="11">
        <f t="shared" si="7"/>
        <v>117.8619688512</v>
      </c>
      <c r="Q23" s="11">
        <f t="shared" si="8"/>
        <v>2263.549408867908</v>
      </c>
      <c r="R23" s="11">
        <f t="shared" si="9"/>
        <v>55.9510392672</v>
      </c>
    </row>
    <row r="24" spans="1:18" ht="12.75">
      <c r="A24" s="1" t="s">
        <v>143</v>
      </c>
      <c r="B24" s="8">
        <v>37447</v>
      </c>
      <c r="C24" s="22">
        <v>0.4583333333333333</v>
      </c>
      <c r="D24" s="4">
        <f t="shared" si="1"/>
        <v>8958</v>
      </c>
      <c r="E24">
        <v>1890</v>
      </c>
      <c r="F24" s="11">
        <f t="shared" si="0"/>
        <v>53.51913</v>
      </c>
      <c r="G24" s="1">
        <v>2.5</v>
      </c>
      <c r="H24" s="1">
        <v>3.6</v>
      </c>
      <c r="I24" s="23">
        <v>72.13516145833333</v>
      </c>
      <c r="J24" s="1">
        <v>1.8</v>
      </c>
      <c r="K24" s="11">
        <f t="shared" si="2"/>
        <v>133.797825</v>
      </c>
      <c r="L24" s="11">
        <f t="shared" si="3"/>
        <v>192.668868</v>
      </c>
      <c r="M24" s="11">
        <f t="shared" si="4"/>
        <v>3860.611083659531</v>
      </c>
      <c r="N24" s="11">
        <f t="shared" si="5"/>
        <v>96.334434</v>
      </c>
      <c r="O24" s="11">
        <f t="shared" si="6"/>
        <v>80.7411002832</v>
      </c>
      <c r="P24" s="11">
        <f t="shared" si="7"/>
        <v>120.3623826048</v>
      </c>
      <c r="Q24" s="11">
        <f t="shared" si="8"/>
        <v>2412.8036946396965</v>
      </c>
      <c r="R24" s="11">
        <f t="shared" si="9"/>
        <v>59.342011344</v>
      </c>
    </row>
    <row r="25" spans="1:18" ht="12.75">
      <c r="A25" s="1" t="s">
        <v>144</v>
      </c>
      <c r="B25" s="8">
        <v>37454</v>
      </c>
      <c r="C25" s="20">
        <v>0.576388888888889</v>
      </c>
      <c r="D25" s="4">
        <f t="shared" si="1"/>
        <v>8965</v>
      </c>
      <c r="E25">
        <v>1960</v>
      </c>
      <c r="F25" s="11">
        <f t="shared" si="0"/>
        <v>55.50132</v>
      </c>
      <c r="G25" s="1">
        <v>2.4</v>
      </c>
      <c r="H25" s="1">
        <v>3.7</v>
      </c>
      <c r="I25" s="23">
        <v>74.20070572916666</v>
      </c>
      <c r="J25" s="1">
        <v>1.8</v>
      </c>
      <c r="K25" s="11">
        <f t="shared" si="2"/>
        <v>133.203168</v>
      </c>
      <c r="L25" s="11">
        <f t="shared" si="3"/>
        <v>205.354884</v>
      </c>
      <c r="M25" s="11">
        <f t="shared" si="4"/>
        <v>4118.237112900312</v>
      </c>
      <c r="N25" s="11">
        <f t="shared" si="5"/>
        <v>99.902376</v>
      </c>
      <c r="O25" s="11">
        <f t="shared" si="6"/>
        <v>87.6270244608</v>
      </c>
      <c r="P25" s="11">
        <f t="shared" si="7"/>
        <v>139.1815436544</v>
      </c>
      <c r="Q25" s="11">
        <f t="shared" si="8"/>
        <v>2726.453441937438</v>
      </c>
      <c r="R25" s="11">
        <f t="shared" si="9"/>
        <v>67.79986882560002</v>
      </c>
    </row>
    <row r="26" spans="1:18" ht="12.75">
      <c r="A26" s="1" t="s">
        <v>145</v>
      </c>
      <c r="B26" s="8">
        <v>37462</v>
      </c>
      <c r="C26" s="20">
        <v>0.5520833333333334</v>
      </c>
      <c r="D26" s="4">
        <f t="shared" si="1"/>
        <v>8973</v>
      </c>
      <c r="E26">
        <v>1700</v>
      </c>
      <c r="F26" s="11">
        <f t="shared" si="0"/>
        <v>48.1389</v>
      </c>
      <c r="G26" s="1">
        <v>2.5</v>
      </c>
      <c r="H26" s="1">
        <v>4.1</v>
      </c>
      <c r="I26" s="23">
        <v>78.33179427083334</v>
      </c>
      <c r="J26" s="23">
        <v>2</v>
      </c>
      <c r="K26" s="11">
        <f t="shared" si="2"/>
        <v>120.34725</v>
      </c>
      <c r="L26" s="11">
        <f t="shared" si="3"/>
        <v>197.36948999999998</v>
      </c>
      <c r="M26" s="11">
        <f t="shared" si="4"/>
        <v>3770.806411224219</v>
      </c>
      <c r="N26" s="11">
        <f t="shared" si="5"/>
        <v>96.2778</v>
      </c>
      <c r="O26" s="11">
        <f t="shared" si="6"/>
        <v>212.11924896000002</v>
      </c>
      <c r="P26" s="11">
        <f t="shared" si="7"/>
        <v>341.05447871999996</v>
      </c>
      <c r="Q26" s="11">
        <f t="shared" si="8"/>
        <v>6264.8315392581</v>
      </c>
      <c r="R26" s="11">
        <f t="shared" si="9"/>
        <v>162.20883744</v>
      </c>
    </row>
    <row r="27" spans="1:18" ht="12.75">
      <c r="A27" s="1" t="s">
        <v>146</v>
      </c>
      <c r="B27" s="8">
        <v>37482</v>
      </c>
      <c r="C27" s="20">
        <v>0.5416666666666666</v>
      </c>
      <c r="D27" s="4">
        <f t="shared" si="1"/>
        <v>8993</v>
      </c>
      <c r="E27">
        <v>1700</v>
      </c>
      <c r="F27" s="11">
        <f t="shared" si="0"/>
        <v>48.1389</v>
      </c>
      <c r="G27" s="1">
        <v>2.6</v>
      </c>
      <c r="H27" s="1">
        <v>4.1</v>
      </c>
      <c r="I27" s="23">
        <v>72.29404947916666</v>
      </c>
      <c r="J27" s="1">
        <v>1.9</v>
      </c>
      <c r="K27" s="11">
        <f t="shared" si="2"/>
        <v>125.16114</v>
      </c>
      <c r="L27" s="11">
        <f t="shared" si="3"/>
        <v>197.36948999999998</v>
      </c>
      <c r="M27" s="11">
        <f t="shared" si="4"/>
        <v>3480.156018472656</v>
      </c>
      <c r="N27" s="11">
        <f t="shared" si="5"/>
        <v>91.46391</v>
      </c>
      <c r="O27" s="11">
        <f t="shared" si="6"/>
        <v>165.1985689536</v>
      </c>
      <c r="P27" s="11">
        <f t="shared" si="7"/>
        <v>236.4089825664</v>
      </c>
      <c r="Q27" s="11">
        <f t="shared" si="8"/>
        <v>4669.985646284159</v>
      </c>
      <c r="R27" s="11">
        <f t="shared" si="9"/>
        <v>117.2796807168</v>
      </c>
    </row>
    <row r="28" spans="1:18" ht="12.75">
      <c r="A28" s="1" t="s">
        <v>147</v>
      </c>
      <c r="B28" s="8">
        <v>37496</v>
      </c>
      <c r="C28" s="20">
        <v>0.4583333333333333</v>
      </c>
      <c r="D28" s="4">
        <f t="shared" si="1"/>
        <v>9007</v>
      </c>
      <c r="E28">
        <v>2010</v>
      </c>
      <c r="F28" s="11">
        <f t="shared" si="0"/>
        <v>56.91717</v>
      </c>
      <c r="G28" s="1">
        <v>2.6</v>
      </c>
      <c r="H28" s="1">
        <v>3.4</v>
      </c>
      <c r="I28" s="23">
        <v>74.51848177083333</v>
      </c>
      <c r="J28" s="1">
        <v>1.8</v>
      </c>
      <c r="K28" s="11">
        <f t="shared" si="2"/>
        <v>147.984642</v>
      </c>
      <c r="L28" s="11">
        <f t="shared" si="3"/>
        <v>193.51837799999998</v>
      </c>
      <c r="M28" s="11">
        <f t="shared" si="4"/>
        <v>4241.381095092422</v>
      </c>
      <c r="N28" s="11">
        <f t="shared" si="5"/>
        <v>102.450906</v>
      </c>
      <c r="O28" s="11">
        <f t="shared" si="6"/>
        <v>171.34684660800002</v>
      </c>
      <c r="P28" s="11">
        <f t="shared" si="7"/>
        <v>232.23020889599997</v>
      </c>
      <c r="Q28" s="11">
        <f t="shared" si="8"/>
        <v>4901.146112579755</v>
      </c>
      <c r="R28" s="11">
        <f t="shared" si="9"/>
        <v>116.52613136640001</v>
      </c>
    </row>
    <row r="29" spans="1:18" ht="12.75">
      <c r="A29" s="1" t="s">
        <v>148</v>
      </c>
      <c r="B29" s="8">
        <v>37510</v>
      </c>
      <c r="C29" s="20">
        <v>0.5833333333333334</v>
      </c>
      <c r="D29" s="4">
        <f t="shared" si="1"/>
        <v>9021</v>
      </c>
      <c r="E29">
        <v>1770</v>
      </c>
      <c r="F29" s="11">
        <f t="shared" si="0"/>
        <v>50.121089999999995</v>
      </c>
      <c r="G29" s="1">
        <v>2.7</v>
      </c>
      <c r="H29" s="1">
        <v>3.8</v>
      </c>
      <c r="I29" s="23">
        <v>77.06069010416667</v>
      </c>
      <c r="J29" s="1">
        <v>1.8</v>
      </c>
      <c r="K29" s="11">
        <f t="shared" si="2"/>
        <v>135.326943</v>
      </c>
      <c r="L29" s="11">
        <f t="shared" si="3"/>
        <v>190.46014199999996</v>
      </c>
      <c r="M29" s="11">
        <f t="shared" si="4"/>
        <v>3862.3657841730464</v>
      </c>
      <c r="N29" s="11">
        <f t="shared" si="5"/>
        <v>90.217962</v>
      </c>
      <c r="O29" s="11">
        <f t="shared" si="6"/>
        <v>195.86533626720004</v>
      </c>
      <c r="P29" s="11">
        <f t="shared" si="7"/>
        <v>249.06763301759997</v>
      </c>
      <c r="Q29" s="11">
        <f t="shared" si="8"/>
        <v>5153.1329842933055</v>
      </c>
      <c r="R29" s="11">
        <f t="shared" si="9"/>
        <v>124.3943609472</v>
      </c>
    </row>
    <row r="30" spans="1:15" ht="12.75">
      <c r="A30" s="1" t="s">
        <v>149</v>
      </c>
      <c r="B30" s="8">
        <v>37529</v>
      </c>
      <c r="C30" s="20">
        <v>0.40972222222222227</v>
      </c>
      <c r="D30" s="4">
        <f t="shared" si="1"/>
        <v>9040</v>
      </c>
      <c r="E30">
        <v>1140</v>
      </c>
      <c r="F30" s="11">
        <f t="shared" si="0"/>
        <v>32.28138</v>
      </c>
      <c r="G30" s="1">
        <v>3.2</v>
      </c>
      <c r="H30" s="1">
        <v>3.5</v>
      </c>
      <c r="I30" s="23">
        <v>74.8362578125</v>
      </c>
      <c r="J30" s="1">
        <v>1.9</v>
      </c>
      <c r="K30" s="11">
        <f t="shared" si="2"/>
        <v>103.300416</v>
      </c>
      <c r="L30" s="11">
        <f t="shared" si="3"/>
        <v>112.98482999999999</v>
      </c>
      <c r="M30" s="11">
        <f t="shared" si="4"/>
        <v>2415.817676223281</v>
      </c>
      <c r="N30" s="11">
        <f t="shared" si="5"/>
        <v>61.334621999999996</v>
      </c>
      <c r="O30" s="11"/>
    </row>
    <row r="31" spans="1:15" ht="12.75">
      <c r="A31" s="1"/>
      <c r="B31" s="8"/>
      <c r="C31" s="20"/>
      <c r="D31" s="4"/>
      <c r="F31" s="11"/>
      <c r="G31" s="1"/>
      <c r="H31" s="1"/>
      <c r="I31" s="1"/>
      <c r="J31" s="1"/>
      <c r="K31" s="11"/>
      <c r="L31" s="11"/>
      <c r="M31" s="11"/>
      <c r="N31" s="11"/>
      <c r="O31" s="11"/>
    </row>
    <row r="32" spans="1:18" ht="12.75">
      <c r="A32" s="35" t="s">
        <v>190</v>
      </c>
      <c r="K32" s="11"/>
      <c r="L32" s="11"/>
      <c r="M32" s="11"/>
      <c r="N32" s="11"/>
      <c r="O32">
        <f>SUM(O3:O29)</f>
        <v>3422.074703908319</v>
      </c>
      <c r="P32">
        <f>SUM(P3:P29)</f>
        <v>4067.2314850780795</v>
      </c>
      <c r="Q32">
        <f>SUM(Q3:Q29)</f>
        <v>80301.65207274747</v>
      </c>
      <c r="R32">
        <f>SUM(R3:R29)</f>
        <v>2063.68860042144</v>
      </c>
    </row>
    <row r="33" spans="6:14" ht="12.75">
      <c r="F33" s="11"/>
      <c r="I33" s="11"/>
      <c r="J33" s="11"/>
      <c r="K33" s="11"/>
      <c r="L33" s="11"/>
      <c r="M33" s="11"/>
      <c r="N33" s="11"/>
    </row>
    <row r="34" spans="11:14" ht="12.75">
      <c r="K34" s="11"/>
      <c r="L34" s="11"/>
      <c r="M34" s="11"/>
      <c r="N34" s="11"/>
    </row>
    <row r="35" spans="11:14" ht="12.75">
      <c r="K35" s="11"/>
      <c r="L35" s="11"/>
      <c r="M35" s="11"/>
      <c r="N35" s="11"/>
    </row>
    <row r="36" spans="11:14" ht="12.75">
      <c r="K36" s="11"/>
      <c r="L36" s="11"/>
      <c r="M36" s="11"/>
      <c r="N36" s="11"/>
    </row>
    <row r="37" spans="11:14" ht="12.75">
      <c r="K37" s="11"/>
      <c r="L37" s="11"/>
      <c r="M37" s="11"/>
      <c r="N37" s="11"/>
    </row>
    <row r="38" spans="11:14" ht="12.75">
      <c r="K38" s="11"/>
      <c r="L38" s="11"/>
      <c r="M38" s="11"/>
      <c r="N38" s="11"/>
    </row>
  </sheetData>
  <dataValidations count="1">
    <dataValidation type="textLength" operator="greaterThanOrEqual" allowBlank="1" showInputMessage="1" showErrorMessage="1" sqref="K3:N30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4"/>
  <sheetViews>
    <sheetView tabSelected="1" workbookViewId="0" topLeftCell="A4">
      <selection activeCell="S42" sqref="S42:V42"/>
    </sheetView>
  </sheetViews>
  <sheetFormatPr defaultColWidth="9.140625" defaultRowHeight="12.75"/>
  <cols>
    <col min="2" max="7" width="9.140625" style="25" customWidth="1"/>
    <col min="8" max="10" width="0" style="52" hidden="1" customWidth="1"/>
    <col min="11" max="12" width="9.140625" style="52" customWidth="1"/>
    <col min="14" max="16" width="9.140625" style="25" customWidth="1"/>
    <col min="19" max="19" width="9.7109375" style="64" bestFit="1" customWidth="1"/>
    <col min="20" max="22" width="9.140625" style="64" customWidth="1"/>
    <col min="25" max="25" width="6.57421875" style="0" hidden="1" customWidth="1"/>
    <col min="26" max="26" width="8.421875" style="25" customWidth="1"/>
    <col min="27" max="27" width="9.7109375" style="0" bestFit="1" customWidth="1"/>
    <col min="32" max="32" width="12.140625" style="0" customWidth="1"/>
    <col min="33" max="33" width="14.28125" style="100" customWidth="1"/>
    <col min="34" max="34" width="7.7109375" style="0" customWidth="1"/>
    <col min="35" max="35" width="7.140625" style="0" customWidth="1"/>
    <col min="36" max="36" width="6.8515625" style="0" customWidth="1"/>
    <col min="37" max="37" width="7.00390625" style="0" customWidth="1"/>
    <col min="38" max="38" width="11.57421875" style="0" bestFit="1" customWidth="1"/>
  </cols>
  <sheetData>
    <row r="1" spans="1:42" ht="21" thickTop="1">
      <c r="A1" s="122" t="s">
        <v>658</v>
      </c>
      <c r="B1" s="123"/>
      <c r="C1" s="123"/>
      <c r="D1" s="123"/>
      <c r="E1" s="124"/>
      <c r="F1" s="125"/>
      <c r="G1" s="172"/>
      <c r="H1" s="173"/>
      <c r="I1" s="174" t="s">
        <v>689</v>
      </c>
      <c r="J1" s="173"/>
      <c r="K1" s="182" t="s">
        <v>695</v>
      </c>
      <c r="L1" s="173"/>
      <c r="M1" s="175"/>
      <c r="N1" s="125"/>
      <c r="O1" s="125"/>
      <c r="P1" s="125"/>
      <c r="R1" s="122" t="s">
        <v>661</v>
      </c>
      <c r="S1" s="132"/>
      <c r="T1" s="132"/>
      <c r="U1" s="132"/>
      <c r="V1" s="133"/>
      <c r="X1" s="122" t="s">
        <v>684</v>
      </c>
      <c r="Y1" s="151"/>
      <c r="Z1" s="157"/>
      <c r="AA1" s="132"/>
      <c r="AB1" s="132"/>
      <c r="AC1" s="132"/>
      <c r="AD1" s="133"/>
      <c r="AE1" s="43"/>
      <c r="AF1" t="s">
        <v>687</v>
      </c>
      <c r="AG1" s="165"/>
      <c r="AK1" s="43"/>
      <c r="AL1" s="43"/>
      <c r="AM1" s="43"/>
      <c r="AN1" s="43"/>
      <c r="AO1" s="43"/>
      <c r="AP1" s="43"/>
    </row>
    <row r="2" spans="1:42" ht="15">
      <c r="A2" s="40"/>
      <c r="B2" s="127" t="s">
        <v>654</v>
      </c>
      <c r="C2" s="127" t="s">
        <v>655</v>
      </c>
      <c r="D2" s="127" t="s">
        <v>656</v>
      </c>
      <c r="E2" s="128" t="s">
        <v>657</v>
      </c>
      <c r="F2" s="127"/>
      <c r="G2" s="176"/>
      <c r="H2" s="158"/>
      <c r="I2" s="158"/>
      <c r="J2" s="158"/>
      <c r="K2" s="179" t="s">
        <v>690</v>
      </c>
      <c r="L2" s="179" t="s">
        <v>691</v>
      </c>
      <c r="M2" s="180" t="s">
        <v>692</v>
      </c>
      <c r="N2" s="127"/>
      <c r="O2" s="127"/>
      <c r="P2" s="127"/>
      <c r="R2" s="40"/>
      <c r="S2" s="127" t="s">
        <v>654</v>
      </c>
      <c r="T2" s="127" t="s">
        <v>655</v>
      </c>
      <c r="U2" s="127" t="s">
        <v>656</v>
      </c>
      <c r="V2" s="128" t="s">
        <v>657</v>
      </c>
      <c r="X2" s="40"/>
      <c r="Y2" s="154" t="s">
        <v>682</v>
      </c>
      <c r="Z2" s="154" t="s">
        <v>683</v>
      </c>
      <c r="AA2" s="127" t="s">
        <v>654</v>
      </c>
      <c r="AB2" s="127" t="s">
        <v>655</v>
      </c>
      <c r="AC2" s="127" t="s">
        <v>656</v>
      </c>
      <c r="AD2" s="128" t="s">
        <v>657</v>
      </c>
      <c r="AE2" s="127"/>
      <c r="AF2" s="127" t="s">
        <v>686</v>
      </c>
      <c r="AG2" s="167" t="s">
        <v>685</v>
      </c>
      <c r="AH2" s="164" t="s">
        <v>654</v>
      </c>
      <c r="AI2" s="164" t="s">
        <v>655</v>
      </c>
      <c r="AJ2" s="164" t="s">
        <v>656</v>
      </c>
      <c r="AK2" s="164" t="s">
        <v>657</v>
      </c>
      <c r="AL2" s="154"/>
      <c r="AM2" s="154"/>
      <c r="AN2" s="154"/>
      <c r="AO2" s="154"/>
      <c r="AP2" s="154"/>
    </row>
    <row r="3" spans="1:42" ht="14.25">
      <c r="A3" s="47" t="s">
        <v>653</v>
      </c>
      <c r="B3" s="125"/>
      <c r="C3" s="125"/>
      <c r="D3" s="125"/>
      <c r="E3" s="126"/>
      <c r="F3" s="125"/>
      <c r="G3" s="47" t="s">
        <v>653</v>
      </c>
      <c r="H3" s="158"/>
      <c r="I3" s="158"/>
      <c r="J3" s="158"/>
      <c r="M3" s="177"/>
      <c r="N3" s="125"/>
      <c r="O3" s="125"/>
      <c r="P3" s="125"/>
      <c r="R3" s="47" t="s">
        <v>653</v>
      </c>
      <c r="S3" s="43"/>
      <c r="T3" s="43"/>
      <c r="U3" s="43"/>
      <c r="V3" s="41"/>
      <c r="X3" s="47" t="s">
        <v>653</v>
      </c>
      <c r="Y3" s="153"/>
      <c r="Z3" s="127"/>
      <c r="AA3" s="43"/>
      <c r="AB3" s="43"/>
      <c r="AC3" s="43"/>
      <c r="AD3" s="41"/>
      <c r="AE3" s="43"/>
      <c r="AF3" s="43"/>
      <c r="AG3" s="165" t="s">
        <v>688</v>
      </c>
      <c r="AH3" s="100"/>
      <c r="AI3" s="100"/>
      <c r="AJ3" s="100"/>
      <c r="AK3" s="165"/>
      <c r="AL3" s="43"/>
      <c r="AM3" s="43"/>
      <c r="AN3" s="43"/>
      <c r="AO3" s="43"/>
      <c r="AP3" s="43"/>
    </row>
    <row r="4" spans="1:42" ht="12.75">
      <c r="A4" s="40" t="s">
        <v>150</v>
      </c>
      <c r="B4" s="125">
        <v>22767.551028782418</v>
      </c>
      <c r="C4" s="125">
        <v>6036.176183310252</v>
      </c>
      <c r="D4" s="125">
        <v>50907.38151109416</v>
      </c>
      <c r="E4" s="126">
        <v>2641.9965711858554</v>
      </c>
      <c r="F4" s="125"/>
      <c r="G4" s="40" t="s">
        <v>150</v>
      </c>
      <c r="H4" s="158">
        <f>B4/35.45</f>
        <v>642.2440346624095</v>
      </c>
      <c r="I4" s="158">
        <f>C4/96</f>
        <v>62.876835242815126</v>
      </c>
      <c r="J4" s="158">
        <f>D4/61</f>
        <v>834.5472378867895</v>
      </c>
      <c r="K4" s="158">
        <f>I4/H4</f>
        <v>0.09790178164265213</v>
      </c>
      <c r="L4" s="158">
        <f>J4/H4</f>
        <v>1.2994238838286176</v>
      </c>
      <c r="M4" s="159">
        <f>J4/I4</f>
        <v>13.272729689144976</v>
      </c>
      <c r="N4" s="125"/>
      <c r="O4" s="125"/>
      <c r="P4" s="125"/>
      <c r="R4" s="40" t="s">
        <v>150</v>
      </c>
      <c r="S4" s="43">
        <f>B4/B$8</f>
        <v>0.4582745362697861</v>
      </c>
      <c r="T4" s="43">
        <f aca="true" t="shared" si="0" ref="T4:V7">C4/C$8</f>
        <v>0.1000438177919344</v>
      </c>
      <c r="U4" s="43">
        <f t="shared" si="0"/>
        <v>0.18647766405527008</v>
      </c>
      <c r="V4" s="41">
        <f t="shared" si="0"/>
        <v>0.42438234552787585</v>
      </c>
      <c r="X4" s="40" t="s">
        <v>150</v>
      </c>
      <c r="Y4" s="152">
        <v>420</v>
      </c>
      <c r="Z4" s="125">
        <f aca="true" t="shared" si="1" ref="Z4:Z9">Y4*2.589988</f>
        <v>1087.79496</v>
      </c>
      <c r="AA4" s="125">
        <f aca="true" t="shared" si="2" ref="AA4:AD7">((B4+B11+B18)/3)/$Z4</f>
        <v>21.31072958900449</v>
      </c>
      <c r="AB4" s="125">
        <f t="shared" si="2"/>
        <v>5.407862714593537</v>
      </c>
      <c r="AC4" s="125">
        <f t="shared" si="2"/>
        <v>46.765825934514936</v>
      </c>
      <c r="AD4" s="159">
        <f t="shared" si="2"/>
        <v>2.413793693361067</v>
      </c>
      <c r="AE4" s="158"/>
      <c r="AF4" s="152" t="s">
        <v>150</v>
      </c>
      <c r="AG4" s="168">
        <v>1087.79496</v>
      </c>
      <c r="AH4" s="166">
        <f aca="true" t="shared" si="3" ref="AH4:AH10">AA4/35.45</f>
        <v>0.6011489305784059</v>
      </c>
      <c r="AI4" s="166">
        <f aca="true" t="shared" si="4" ref="AI4:AI10">AB4/96/2</f>
        <v>0.028165951638508005</v>
      </c>
      <c r="AJ4" s="166">
        <f aca="true" t="shared" si="5" ref="AJ4:AJ10">AC4/61</f>
        <v>0.766652884172376</v>
      </c>
      <c r="AK4" s="166">
        <f aca="true" t="shared" si="6" ref="AK4:AK10">AD4/19</f>
        <v>0.127041773334793</v>
      </c>
      <c r="AL4" s="163"/>
      <c r="AM4" s="162"/>
      <c r="AN4" s="163"/>
      <c r="AO4" s="163"/>
      <c r="AP4" s="162"/>
    </row>
    <row r="5" spans="1:42" ht="12.75">
      <c r="A5" s="40" t="s">
        <v>151</v>
      </c>
      <c r="B5" s="125">
        <v>15354.23644740983</v>
      </c>
      <c r="C5" s="125">
        <v>41045.004280805144</v>
      </c>
      <c r="D5" s="125">
        <v>137799.9195046413</v>
      </c>
      <c r="E5" s="126">
        <v>1240.019408258431</v>
      </c>
      <c r="F5" s="125"/>
      <c r="G5" s="40" t="s">
        <v>151</v>
      </c>
      <c r="H5" s="158">
        <f>B5/35.45</f>
        <v>433.1237361751715</v>
      </c>
      <c r="I5" s="158">
        <f>C5/96</f>
        <v>427.5521279250536</v>
      </c>
      <c r="J5" s="158">
        <f>D5/61</f>
        <v>2259.0150738465786</v>
      </c>
      <c r="K5" s="158">
        <f>I5/H5</f>
        <v>0.9871362204728846</v>
      </c>
      <c r="L5" s="158">
        <f>J5/H5</f>
        <v>5.215634436929008</v>
      </c>
      <c r="M5" s="159">
        <f aca="true" t="shared" si="7" ref="M5:M44">J5/I5</f>
        <v>5.283601522017371</v>
      </c>
      <c r="N5" s="125"/>
      <c r="O5" s="125"/>
      <c r="P5" s="125"/>
      <c r="R5" s="40" t="s">
        <v>151</v>
      </c>
      <c r="S5" s="43">
        <f>B5/B$8</f>
        <v>0.3090563222552131</v>
      </c>
      <c r="T5" s="43">
        <f t="shared" si="0"/>
        <v>0.6802814902738864</v>
      </c>
      <c r="U5" s="43">
        <f t="shared" si="0"/>
        <v>0.504771731200312</v>
      </c>
      <c r="V5" s="41">
        <f t="shared" si="0"/>
        <v>0.19918358362615085</v>
      </c>
      <c r="X5" s="40" t="s">
        <v>151</v>
      </c>
      <c r="Y5" s="152">
        <v>2619</v>
      </c>
      <c r="Z5" s="125">
        <f t="shared" si="1"/>
        <v>6783.178572</v>
      </c>
      <c r="AA5" s="125">
        <f t="shared" si="2"/>
        <v>2.2370448559773077</v>
      </c>
      <c r="AB5" s="125">
        <f t="shared" si="2"/>
        <v>6.2059780206576285</v>
      </c>
      <c r="AC5" s="125">
        <f t="shared" si="2"/>
        <v>19.041577232062746</v>
      </c>
      <c r="AD5" s="159">
        <f t="shared" si="2"/>
        <v>0.18381553616491395</v>
      </c>
      <c r="AE5" s="158"/>
      <c r="AF5" s="152" t="s">
        <v>151</v>
      </c>
      <c r="AG5" s="168">
        <v>6783.178572</v>
      </c>
      <c r="AH5" s="166">
        <f t="shared" si="3"/>
        <v>0.06310422724900727</v>
      </c>
      <c r="AI5" s="166">
        <f t="shared" si="4"/>
        <v>0.03232280219092515</v>
      </c>
      <c r="AJ5" s="166">
        <f t="shared" si="5"/>
        <v>0.31215700380430733</v>
      </c>
      <c r="AK5" s="166">
        <f t="shared" si="6"/>
        <v>0.009674501903416524</v>
      </c>
      <c r="AL5" s="163"/>
      <c r="AM5" s="162"/>
      <c r="AN5" s="163"/>
      <c r="AO5" s="163"/>
      <c r="AP5" s="162"/>
    </row>
    <row r="6" spans="1:37" ht="12.75">
      <c r="A6" s="40" t="s">
        <v>152</v>
      </c>
      <c r="B6" s="125">
        <v>6193.368934177799</v>
      </c>
      <c r="C6" s="125">
        <v>11381.289865750397</v>
      </c>
      <c r="D6" s="125">
        <v>45234.34267338378</v>
      </c>
      <c r="E6" s="126">
        <v>895.020082876477</v>
      </c>
      <c r="F6" s="125"/>
      <c r="G6" s="40" t="s">
        <v>152</v>
      </c>
      <c r="H6" s="158">
        <f>B6/35.45</f>
        <v>174.70716316439487</v>
      </c>
      <c r="I6" s="158">
        <f>C6/96</f>
        <v>118.55510276823331</v>
      </c>
      <c r="J6" s="158">
        <f>D6/61</f>
        <v>741.5466012030128</v>
      </c>
      <c r="K6" s="158">
        <f>I6/H6</f>
        <v>0.6785932564005751</v>
      </c>
      <c r="L6" s="158">
        <f>J6/H6</f>
        <v>4.24451171761765</v>
      </c>
      <c r="M6" s="159">
        <f t="shared" si="7"/>
        <v>6.254868697239316</v>
      </c>
      <c r="N6" s="125"/>
      <c r="O6" s="125"/>
      <c r="P6" s="125"/>
      <c r="R6" s="40" t="s">
        <v>152</v>
      </c>
      <c r="S6" s="43">
        <f>B6/B$8</f>
        <v>0.1246626513615776</v>
      </c>
      <c r="T6" s="43">
        <f t="shared" si="0"/>
        <v>0.18863393893547628</v>
      </c>
      <c r="U6" s="43">
        <f t="shared" si="0"/>
        <v>0.16569688533223734</v>
      </c>
      <c r="V6" s="41">
        <f t="shared" si="0"/>
        <v>0.14376654618260418</v>
      </c>
      <c r="X6" s="40" t="s">
        <v>152</v>
      </c>
      <c r="Y6" s="152">
        <v>486</v>
      </c>
      <c r="Z6" s="125">
        <f t="shared" si="1"/>
        <v>1258.734168</v>
      </c>
      <c r="AA6" s="125">
        <f t="shared" si="2"/>
        <v>4.756320435893098</v>
      </c>
      <c r="AB6" s="125">
        <f t="shared" si="2"/>
        <v>8.57831947838782</v>
      </c>
      <c r="AC6" s="125">
        <f t="shared" si="2"/>
        <v>33.695053251676114</v>
      </c>
      <c r="AD6" s="159">
        <f t="shared" si="2"/>
        <v>0.6786028259010579</v>
      </c>
      <c r="AE6" s="158"/>
      <c r="AF6" s="152" t="s">
        <v>152</v>
      </c>
      <c r="AG6" s="168">
        <v>1258.734168</v>
      </c>
      <c r="AH6" s="166">
        <f t="shared" si="3"/>
        <v>0.1341698289391565</v>
      </c>
      <c r="AI6" s="166">
        <f t="shared" si="4"/>
        <v>0.0446787472832699</v>
      </c>
      <c r="AJ6" s="166">
        <f t="shared" si="5"/>
        <v>0.5523779221586248</v>
      </c>
      <c r="AK6" s="166">
        <f t="shared" si="6"/>
        <v>0.03571593820531884</v>
      </c>
    </row>
    <row r="7" spans="1:37" ht="12.75">
      <c r="A7" s="40" t="s">
        <v>153</v>
      </c>
      <c r="B7" s="125">
        <v>5365.873685919586</v>
      </c>
      <c r="C7" s="125">
        <v>1872.8538964043144</v>
      </c>
      <c r="D7" s="125">
        <v>39052.88232556602</v>
      </c>
      <c r="E7" s="126">
        <v>1448.474020808541</v>
      </c>
      <c r="F7" s="125"/>
      <c r="G7" s="40" t="s">
        <v>153</v>
      </c>
      <c r="H7" s="158">
        <f>B7/35.45</f>
        <v>151.36456095682894</v>
      </c>
      <c r="I7" s="158">
        <f>C7/96</f>
        <v>19.508894754211607</v>
      </c>
      <c r="J7" s="158">
        <f>D7/61</f>
        <v>640.2111856650167</v>
      </c>
      <c r="K7" s="158">
        <f>I7/H7</f>
        <v>0.12888680567557545</v>
      </c>
      <c r="L7" s="158">
        <f>J7/H7</f>
        <v>4.229597612664519</v>
      </c>
      <c r="M7" s="159">
        <f t="shared" si="7"/>
        <v>32.8163739530558</v>
      </c>
      <c r="N7" s="125"/>
      <c r="O7" s="125"/>
      <c r="P7" s="125"/>
      <c r="R7" s="40" t="s">
        <v>153</v>
      </c>
      <c r="S7" s="43">
        <f>B7/B$8</f>
        <v>0.10800649011342318</v>
      </c>
      <c r="T7" s="43">
        <f t="shared" si="0"/>
        <v>0.03104075299870305</v>
      </c>
      <c r="U7" s="43">
        <f t="shared" si="0"/>
        <v>0.1430537194121806</v>
      </c>
      <c r="V7" s="41">
        <f t="shared" si="0"/>
        <v>0.23266752466336918</v>
      </c>
      <c r="X7" s="40" t="s">
        <v>153</v>
      </c>
      <c r="Y7" s="156">
        <v>328</v>
      </c>
      <c r="Z7" s="125">
        <f t="shared" si="1"/>
        <v>849.516064</v>
      </c>
      <c r="AA7" s="125">
        <f t="shared" si="2"/>
        <v>6.579824340796233</v>
      </c>
      <c r="AB7" s="125">
        <f t="shared" si="2"/>
        <v>2.1239132781369916</v>
      </c>
      <c r="AC7" s="125">
        <f t="shared" si="2"/>
        <v>46.47677758043988</v>
      </c>
      <c r="AD7" s="159">
        <f t="shared" si="2"/>
        <v>1.813542136496874</v>
      </c>
      <c r="AE7" s="158"/>
      <c r="AF7" s="152" t="s">
        <v>153</v>
      </c>
      <c r="AG7" s="168">
        <v>849.516064</v>
      </c>
      <c r="AH7" s="166">
        <f t="shared" si="3"/>
        <v>0.18560858507182604</v>
      </c>
      <c r="AI7" s="166">
        <f t="shared" si="4"/>
        <v>0.011062048323630164</v>
      </c>
      <c r="AJ7" s="166">
        <f t="shared" si="5"/>
        <v>0.7619143865645882</v>
      </c>
      <c r="AK7" s="166">
        <f t="shared" si="6"/>
        <v>0.09544958613141442</v>
      </c>
    </row>
    <row r="8" spans="1:37" ht="12.75">
      <c r="A8" s="47" t="s">
        <v>154</v>
      </c>
      <c r="B8" s="127">
        <f>SUM(B4:B7)</f>
        <v>49681.030096289636</v>
      </c>
      <c r="C8" s="127">
        <f>SUM(C4:C7)</f>
        <v>60335.3242262701</v>
      </c>
      <c r="D8" s="127">
        <f>SUM(D4:D7)</f>
        <v>272994.5260146852</v>
      </c>
      <c r="E8" s="128">
        <f>SUM(E4:E7)</f>
        <v>6225.510083129304</v>
      </c>
      <c r="F8" s="127"/>
      <c r="G8" s="47" t="s">
        <v>154</v>
      </c>
      <c r="H8" s="158">
        <f>B8/35.45</f>
        <v>1401.439494958805</v>
      </c>
      <c r="I8" s="158">
        <f>C8/96</f>
        <v>628.4929606903136</v>
      </c>
      <c r="J8" s="158">
        <f>D8/61</f>
        <v>4475.320098601397</v>
      </c>
      <c r="K8" s="158">
        <f>I8/H8</f>
        <v>0.4484624294884654</v>
      </c>
      <c r="L8" s="158">
        <f>J8/H8</f>
        <v>3.1933737522738705</v>
      </c>
      <c r="M8" s="159">
        <f t="shared" si="7"/>
        <v>7.120716346108109</v>
      </c>
      <c r="N8" s="127"/>
      <c r="O8" s="127">
        <f>D8/61*44/1000</f>
        <v>196.9140843384615</v>
      </c>
      <c r="P8" s="127" t="s">
        <v>693</v>
      </c>
      <c r="R8" s="47" t="s">
        <v>154</v>
      </c>
      <c r="S8" s="134">
        <f>SUM(S4:S7)</f>
        <v>1</v>
      </c>
      <c r="T8" s="134">
        <f>SUM(T4:T7)</f>
        <v>1.0000000000000002</v>
      </c>
      <c r="U8" s="134">
        <f>SUM(U4:U7)</f>
        <v>1</v>
      </c>
      <c r="V8" s="44">
        <f>SUM(V4:V7)</f>
        <v>1.0000000000000002</v>
      </c>
      <c r="X8" s="155" t="s">
        <v>172</v>
      </c>
      <c r="Y8" s="153">
        <v>202</v>
      </c>
      <c r="Z8" s="125">
        <f t="shared" si="1"/>
        <v>523.177576</v>
      </c>
      <c r="AA8" s="125">
        <f>((B29+B35+B41)/3)/$Z8</f>
        <v>6.614827490100638</v>
      </c>
      <c r="AB8" s="125">
        <f>((C29+C35+C41)/3)/$Z8</f>
        <v>24.87235058315803</v>
      </c>
      <c r="AC8" s="125">
        <f>((D29+D35+D41)/3)/$Z8</f>
        <v>38.42541969045069</v>
      </c>
      <c r="AD8" s="159">
        <f>((E29+E35+E41)/3)/$Z8</f>
        <v>0.30868194247558767</v>
      </c>
      <c r="AE8" s="158"/>
      <c r="AF8" s="156" t="s">
        <v>172</v>
      </c>
      <c r="AG8" s="169">
        <v>523.177576</v>
      </c>
      <c r="AH8" s="166">
        <f t="shared" si="3"/>
        <v>0.18659597997463012</v>
      </c>
      <c r="AI8" s="166">
        <f t="shared" si="4"/>
        <v>0.12954349262061474</v>
      </c>
      <c r="AJ8" s="166">
        <f t="shared" si="5"/>
        <v>0.629924912958208</v>
      </c>
      <c r="AK8" s="166">
        <f t="shared" si="6"/>
        <v>0.01624641802503093</v>
      </c>
    </row>
    <row r="9" spans="1:37" ht="12.75">
      <c r="A9" s="40"/>
      <c r="B9" s="125"/>
      <c r="C9" s="125"/>
      <c r="D9" s="125"/>
      <c r="E9" s="126"/>
      <c r="F9" s="125"/>
      <c r="G9" s="40"/>
      <c r="H9" s="158"/>
      <c r="I9" s="158"/>
      <c r="J9" s="158"/>
      <c r="K9" s="158"/>
      <c r="L9" s="158"/>
      <c r="M9" s="159"/>
      <c r="N9" s="125"/>
      <c r="O9" s="125">
        <f>O8/365</f>
        <v>0.5394906420231822</v>
      </c>
      <c r="P9" s="125" t="s">
        <v>694</v>
      </c>
      <c r="R9" s="40"/>
      <c r="S9" s="43"/>
      <c r="T9" s="43"/>
      <c r="U9" s="43"/>
      <c r="V9" s="41"/>
      <c r="X9" s="155" t="s">
        <v>663</v>
      </c>
      <c r="Y9" s="156">
        <v>282</v>
      </c>
      <c r="Z9" s="125">
        <f t="shared" si="1"/>
        <v>730.376616</v>
      </c>
      <c r="AA9" s="125">
        <f aca="true" t="shared" si="8" ref="AA9:AD10">((B37+B43)/2)/$Z9</f>
        <v>23.207871698675508</v>
      </c>
      <c r="AB9" s="125">
        <f t="shared" si="8"/>
        <v>4.347408948309533</v>
      </c>
      <c r="AC9" s="125">
        <f t="shared" si="8"/>
        <v>44.470983474453256</v>
      </c>
      <c r="AD9" s="159">
        <f t="shared" si="8"/>
        <v>2.8516904784655646</v>
      </c>
      <c r="AE9" s="158"/>
      <c r="AF9" s="156" t="s">
        <v>663</v>
      </c>
      <c r="AG9" s="169">
        <v>730.376616</v>
      </c>
      <c r="AH9" s="166">
        <f t="shared" si="3"/>
        <v>0.6546649280303387</v>
      </c>
      <c r="AI9" s="166">
        <f t="shared" si="4"/>
        <v>0.02264275493911215</v>
      </c>
      <c r="AJ9" s="166">
        <f t="shared" si="5"/>
        <v>0.7290325159746436</v>
      </c>
      <c r="AK9" s="166">
        <f t="shared" si="6"/>
        <v>0.15008897255081918</v>
      </c>
    </row>
    <row r="10" spans="1:37" ht="12.75">
      <c r="A10" s="47" t="s">
        <v>659</v>
      </c>
      <c r="B10" s="125"/>
      <c r="C10" s="125"/>
      <c r="D10" s="125"/>
      <c r="E10" s="126"/>
      <c r="F10" s="125"/>
      <c r="G10" s="47" t="s">
        <v>659</v>
      </c>
      <c r="H10" s="158"/>
      <c r="I10" s="158"/>
      <c r="J10" s="158"/>
      <c r="K10" s="158"/>
      <c r="L10" s="158"/>
      <c r="M10" s="159"/>
      <c r="N10" s="125"/>
      <c r="O10" s="125">
        <v>45</v>
      </c>
      <c r="P10" s="43">
        <f>$O$9/O10</f>
        <v>0.011988680933848493</v>
      </c>
      <c r="R10" s="47" t="s">
        <v>659</v>
      </c>
      <c r="S10" s="43"/>
      <c r="T10" s="43"/>
      <c r="U10" s="43"/>
      <c r="V10" s="41"/>
      <c r="X10" s="155" t="s">
        <v>664</v>
      </c>
      <c r="Y10" s="153"/>
      <c r="Z10" s="127">
        <v>126</v>
      </c>
      <c r="AA10" s="125">
        <f t="shared" si="8"/>
        <v>42.95542526581783</v>
      </c>
      <c r="AB10" s="125">
        <f t="shared" si="8"/>
        <v>20.49356330050982</v>
      </c>
      <c r="AC10" s="125">
        <f t="shared" si="8"/>
        <v>85.41704991789791</v>
      </c>
      <c r="AD10" s="159">
        <f t="shared" si="8"/>
        <v>3.1657309009756585</v>
      </c>
      <c r="AE10" s="43"/>
      <c r="AF10" s="156" t="s">
        <v>664</v>
      </c>
      <c r="AG10" s="169">
        <v>126</v>
      </c>
      <c r="AH10" s="166">
        <f t="shared" si="3"/>
        <v>1.2117186252698964</v>
      </c>
      <c r="AI10" s="166">
        <f t="shared" si="4"/>
        <v>0.10673730885682198</v>
      </c>
      <c r="AJ10" s="166">
        <f t="shared" si="5"/>
        <v>1.4002795068507854</v>
      </c>
      <c r="AK10" s="166">
        <f t="shared" si="6"/>
        <v>0.16661741584082412</v>
      </c>
    </row>
    <row r="11" spans="1:33" ht="13.5" thickBot="1">
      <c r="A11" s="40" t="s">
        <v>150</v>
      </c>
      <c r="B11" s="125">
        <v>24149.7629041243</v>
      </c>
      <c r="C11" s="125">
        <v>5888.89024612299</v>
      </c>
      <c r="D11" s="125">
        <v>50950.209522053694</v>
      </c>
      <c r="E11" s="126">
        <v>2643.6582025754283</v>
      </c>
      <c r="F11" s="125"/>
      <c r="G11" s="40" t="s">
        <v>150</v>
      </c>
      <c r="H11" s="158">
        <f>B11/35.45</f>
        <v>681.2344965902482</v>
      </c>
      <c r="I11" s="158">
        <f>C11/96</f>
        <v>61.34260673044781</v>
      </c>
      <c r="J11" s="158">
        <f>D11/61</f>
        <v>835.2493364271097</v>
      </c>
      <c r="K11" s="158">
        <f>I11/H11</f>
        <v>0.09004624257503568</v>
      </c>
      <c r="L11" s="158">
        <f>J11/H11</f>
        <v>1.2260819741333489</v>
      </c>
      <c r="M11" s="159">
        <f t="shared" si="7"/>
        <v>13.616136987744412</v>
      </c>
      <c r="N11" s="125"/>
      <c r="O11" s="125">
        <v>61</v>
      </c>
      <c r="P11" s="43">
        <f>$O$9/O11</f>
        <v>0.008844108885625937</v>
      </c>
      <c r="R11" s="40" t="s">
        <v>150</v>
      </c>
      <c r="S11" s="43">
        <f aca="true" t="shared" si="9" ref="S11:V14">B11/B$15</f>
        <v>0.47145118501922</v>
      </c>
      <c r="T11" s="43">
        <f t="shared" si="9"/>
        <v>0.09082216523223835</v>
      </c>
      <c r="U11" s="43">
        <f t="shared" si="9"/>
        <v>0.19662261811995863</v>
      </c>
      <c r="V11" s="41">
        <f t="shared" si="9"/>
        <v>0.41841401931085753</v>
      </c>
      <c r="X11" s="47" t="s">
        <v>154</v>
      </c>
      <c r="Y11" s="152">
        <f>SUM(Y4:Y7)</f>
        <v>3853</v>
      </c>
      <c r="Z11" s="125">
        <f>SUM(Z4:Z7)</f>
        <v>9979.223763999998</v>
      </c>
      <c r="AA11" s="125">
        <f>((B8+B15+B22)/3)/$Z11</f>
        <v>5.003654560293712</v>
      </c>
      <c r="AB11" s="125">
        <f>((C8+C15+C22)/3)/$Z11</f>
        <v>6.0707151824440775</v>
      </c>
      <c r="AC11" s="125">
        <f>((D8+D15+D22)/3)/$Z11</f>
        <v>26.247525717614195</v>
      </c>
      <c r="AD11" s="161">
        <f>((E8+E15+E22)/3)/$Z11</f>
        <v>0.6280428327501808</v>
      </c>
      <c r="AE11" s="158"/>
      <c r="AF11" s="158"/>
      <c r="AG11" s="170"/>
    </row>
    <row r="12" spans="1:33" ht="13.5" thickTop="1">
      <c r="A12" s="40" t="s">
        <v>151</v>
      </c>
      <c r="B12" s="125">
        <v>15554.810208667996</v>
      </c>
      <c r="C12" s="125">
        <v>46605.75567980395</v>
      </c>
      <c r="D12" s="125">
        <v>126054.77768149643</v>
      </c>
      <c r="E12" s="126">
        <v>1315.786818691049</v>
      </c>
      <c r="F12" s="125"/>
      <c r="G12" s="40" t="s">
        <v>151</v>
      </c>
      <c r="H12" s="158">
        <f>B12/35.45</f>
        <v>438.78167020220013</v>
      </c>
      <c r="I12" s="158">
        <f>C12/96</f>
        <v>485.4766216646245</v>
      </c>
      <c r="J12" s="158">
        <f>D12/61</f>
        <v>2066.4717652704335</v>
      </c>
      <c r="K12" s="158">
        <f>I12/H12</f>
        <v>1.1064195581390315</v>
      </c>
      <c r="L12" s="158">
        <f>J12/H12</f>
        <v>4.709567207577651</v>
      </c>
      <c r="M12" s="159">
        <f t="shared" si="7"/>
        <v>4.256583474987571</v>
      </c>
      <c r="N12" s="125"/>
      <c r="O12" s="125">
        <v>29</v>
      </c>
      <c r="P12" s="43">
        <f>$O$9/O12</f>
        <v>0.018603125587006282</v>
      </c>
      <c r="R12" s="40" t="s">
        <v>151</v>
      </c>
      <c r="S12" s="43">
        <f t="shared" si="9"/>
        <v>0.3036606916075851</v>
      </c>
      <c r="T12" s="43">
        <f t="shared" si="9"/>
        <v>0.7187832454359657</v>
      </c>
      <c r="U12" s="43">
        <f t="shared" si="9"/>
        <v>0.4864596367074197</v>
      </c>
      <c r="V12" s="41">
        <f t="shared" si="9"/>
        <v>0.20825069247924471</v>
      </c>
      <c r="X12" s="160"/>
      <c r="Y12" s="160"/>
      <c r="Z12" s="123"/>
      <c r="AA12" s="132"/>
      <c r="AB12" s="132"/>
      <c r="AC12" s="132"/>
      <c r="AD12" s="132"/>
      <c r="AE12" s="43"/>
      <c r="AF12" s="43"/>
      <c r="AG12" s="165"/>
    </row>
    <row r="13" spans="1:33" ht="12.75">
      <c r="A13" s="40" t="s">
        <v>152</v>
      </c>
      <c r="B13" s="125">
        <v>5841.625408692025</v>
      </c>
      <c r="C13" s="125">
        <v>10596.705564977376</v>
      </c>
      <c r="D13" s="125">
        <v>42320.05366858985</v>
      </c>
      <c r="E13" s="126">
        <v>841.4032334580097</v>
      </c>
      <c r="F13" s="125"/>
      <c r="G13" s="40" t="s">
        <v>152</v>
      </c>
      <c r="H13" s="158">
        <f>B13/35.45</f>
        <v>164.7849198502687</v>
      </c>
      <c r="I13" s="158">
        <f>C13/96</f>
        <v>110.382349635181</v>
      </c>
      <c r="J13" s="158">
        <f>D13/61</f>
        <v>693.771371616227</v>
      </c>
      <c r="K13" s="158">
        <f>I13/H13</f>
        <v>0.6698571066786911</v>
      </c>
      <c r="L13" s="158">
        <f>J13/H13</f>
        <v>4.210162994566616</v>
      </c>
      <c r="M13" s="159">
        <f t="shared" si="7"/>
        <v>6.285165825054231</v>
      </c>
      <c r="N13" s="125"/>
      <c r="O13" s="125"/>
      <c r="P13" s="125"/>
      <c r="R13" s="40" t="s">
        <v>152</v>
      </c>
      <c r="S13" s="43">
        <f t="shared" si="9"/>
        <v>0.11404009357358556</v>
      </c>
      <c r="T13" s="43">
        <f t="shared" si="9"/>
        <v>0.16342905089348048</v>
      </c>
      <c r="U13" s="43">
        <f t="shared" si="9"/>
        <v>0.1633178711010704</v>
      </c>
      <c r="V13" s="41">
        <f t="shared" si="9"/>
        <v>0.13316960128557803</v>
      </c>
      <c r="X13" s="152"/>
      <c r="Y13" s="152"/>
      <c r="Z13" s="125"/>
      <c r="AA13" s="43"/>
      <c r="AB13" s="43"/>
      <c r="AC13" s="43"/>
      <c r="AD13" s="43"/>
      <c r="AE13" s="43"/>
      <c r="AF13" s="43"/>
      <c r="AG13" s="165"/>
    </row>
    <row r="14" spans="1:33" ht="12.75">
      <c r="A14" s="40" t="s">
        <v>153</v>
      </c>
      <c r="B14" s="125">
        <v>5678.11413591152</v>
      </c>
      <c r="C14" s="125">
        <v>1748.439886725846</v>
      </c>
      <c r="D14" s="125">
        <v>39801.85922319489</v>
      </c>
      <c r="E14" s="126">
        <v>1517.4347868658153</v>
      </c>
      <c r="F14" s="125"/>
      <c r="G14" s="40" t="s">
        <v>153</v>
      </c>
      <c r="H14" s="158">
        <f>B14/35.45</f>
        <v>160.17247209905557</v>
      </c>
      <c r="I14" s="158">
        <f>C14/96</f>
        <v>18.212915486727564</v>
      </c>
      <c r="J14" s="158">
        <f>D14/61</f>
        <v>652.4894954622114</v>
      </c>
      <c r="K14" s="158">
        <f>I14/H14</f>
        <v>0.11370815002133537</v>
      </c>
      <c r="L14" s="158">
        <f>J14/H14</f>
        <v>4.073668133552261</v>
      </c>
      <c r="M14" s="159">
        <f t="shared" si="7"/>
        <v>35.8256477903115</v>
      </c>
      <c r="N14" s="125"/>
      <c r="O14" s="125"/>
      <c r="P14" s="125"/>
      <c r="R14" s="40" t="s">
        <v>153</v>
      </c>
      <c r="S14" s="43">
        <f t="shared" si="9"/>
        <v>0.11084802979960934</v>
      </c>
      <c r="T14" s="43">
        <f t="shared" si="9"/>
        <v>0.02696553843831553</v>
      </c>
      <c r="U14" s="43">
        <f t="shared" si="9"/>
        <v>0.15359987407155132</v>
      </c>
      <c r="V14" s="41">
        <f t="shared" si="9"/>
        <v>0.24016568692431978</v>
      </c>
      <c r="X14" s="152"/>
      <c r="Y14" s="152"/>
      <c r="Z14" s="125"/>
      <c r="AA14" s="43"/>
      <c r="AB14" s="43"/>
      <c r="AC14" s="43"/>
      <c r="AD14" s="43"/>
      <c r="AE14" s="43"/>
      <c r="AF14" s="43"/>
      <c r="AG14" s="165"/>
    </row>
    <row r="15" spans="1:33" ht="12.75">
      <c r="A15" s="47" t="s">
        <v>154</v>
      </c>
      <c r="B15" s="127">
        <f>SUM(B11:B14)</f>
        <v>51224.31265739584</v>
      </c>
      <c r="C15" s="127">
        <f>SUM(C11:C14)</f>
        <v>64839.79137763016</v>
      </c>
      <c r="D15" s="127">
        <f>SUM(D11:D14)</f>
        <v>259126.90009533486</v>
      </c>
      <c r="E15" s="128">
        <f>SUM(E11:E14)</f>
        <v>6318.283041590302</v>
      </c>
      <c r="F15" s="127"/>
      <c r="G15" s="47" t="s">
        <v>154</v>
      </c>
      <c r="H15" s="158">
        <f>B15/35.45</f>
        <v>1444.9735587417726</v>
      </c>
      <c r="I15" s="158">
        <f>C15/96</f>
        <v>675.4144935169808</v>
      </c>
      <c r="J15" s="158">
        <f>D15/61</f>
        <v>4247.981968775981</v>
      </c>
      <c r="K15" s="158">
        <f>I15/H15</f>
        <v>0.4674234275297783</v>
      </c>
      <c r="L15" s="158">
        <f>J15/H15</f>
        <v>2.9398337035834485</v>
      </c>
      <c r="M15" s="159">
        <f t="shared" si="7"/>
        <v>6.289444496010332</v>
      </c>
      <c r="N15" s="127"/>
      <c r="O15" s="127">
        <f>D15/61*44/1000</f>
        <v>186.91120662614316</v>
      </c>
      <c r="P15" s="127" t="s">
        <v>693</v>
      </c>
      <c r="R15" s="47" t="s">
        <v>154</v>
      </c>
      <c r="S15" s="134">
        <f>SUM(S11:S14)</f>
        <v>1</v>
      </c>
      <c r="T15" s="134">
        <f>SUM(T11:T14)</f>
        <v>1</v>
      </c>
      <c r="U15" s="134">
        <f>SUM(U11:U14)</f>
        <v>1</v>
      </c>
      <c r="V15" s="44">
        <f>SUM(V11:V14)</f>
        <v>1.0000000000000002</v>
      </c>
      <c r="X15" s="153"/>
      <c r="Y15" s="153"/>
      <c r="Z15" s="127"/>
      <c r="AA15" s="134"/>
      <c r="AB15" s="134"/>
      <c r="AC15" s="134"/>
      <c r="AD15" s="134"/>
      <c r="AE15" s="134"/>
      <c r="AF15" s="134"/>
      <c r="AG15" s="171"/>
    </row>
    <row r="16" spans="1:33" ht="12.75">
      <c r="A16" s="40"/>
      <c r="B16" s="125"/>
      <c r="C16" s="125"/>
      <c r="D16" s="125"/>
      <c r="E16" s="126"/>
      <c r="F16" s="125"/>
      <c r="G16" s="40"/>
      <c r="H16" s="158"/>
      <c r="I16" s="158"/>
      <c r="J16" s="158"/>
      <c r="K16" s="158"/>
      <c r="L16" s="158"/>
      <c r="M16" s="159"/>
      <c r="N16" s="125"/>
      <c r="O16" s="125">
        <f>O15/365</f>
        <v>0.5120854976058716</v>
      </c>
      <c r="P16" s="125" t="s">
        <v>694</v>
      </c>
      <c r="R16" s="40"/>
      <c r="S16" s="43"/>
      <c r="T16" s="43"/>
      <c r="U16" s="43"/>
      <c r="V16" s="41"/>
      <c r="X16" s="152"/>
      <c r="Y16" s="152"/>
      <c r="Z16" s="125"/>
      <c r="AA16" s="43"/>
      <c r="AB16" s="43"/>
      <c r="AC16" s="43"/>
      <c r="AD16" s="43"/>
      <c r="AE16" s="43"/>
      <c r="AF16" s="43"/>
      <c r="AG16" s="165"/>
    </row>
    <row r="17" spans="1:33" ht="12.75">
      <c r="A17" s="47" t="s">
        <v>660</v>
      </c>
      <c r="B17" s="125"/>
      <c r="C17" s="125"/>
      <c r="D17" s="125"/>
      <c r="E17" s="126"/>
      <c r="F17" s="125"/>
      <c r="G17" s="47" t="s">
        <v>660</v>
      </c>
      <c r="H17" s="158"/>
      <c r="I17" s="158"/>
      <c r="J17" s="158"/>
      <c r="K17" s="158"/>
      <c r="L17" s="158"/>
      <c r="M17" s="159"/>
      <c r="N17" s="125"/>
      <c r="O17" s="125">
        <v>45</v>
      </c>
      <c r="P17" s="43">
        <f>$O$9/O17</f>
        <v>0.011988680933848493</v>
      </c>
      <c r="R17" s="47" t="s">
        <v>660</v>
      </c>
      <c r="S17" s="43"/>
      <c r="T17" s="43"/>
      <c r="U17" s="43"/>
      <c r="V17" s="41"/>
      <c r="X17" s="153"/>
      <c r="Y17" s="153"/>
      <c r="Z17" s="127"/>
      <c r="AA17" s="43"/>
      <c r="AB17" s="43"/>
      <c r="AC17" s="43"/>
      <c r="AD17" s="43"/>
      <c r="AE17" s="43"/>
      <c r="AF17" s="43"/>
      <c r="AG17" s="165"/>
    </row>
    <row r="18" spans="1:33" ht="12.75">
      <c r="A18" s="40" t="s">
        <v>150</v>
      </c>
      <c r="B18" s="125">
        <v>22627.798789619148</v>
      </c>
      <c r="C18" s="125">
        <v>5722.870986487062</v>
      </c>
      <c r="D18" s="125">
        <v>50757.29822226005</v>
      </c>
      <c r="E18" s="126">
        <v>2591.483068592577</v>
      </c>
      <c r="F18" s="125"/>
      <c r="G18" s="40" t="s">
        <v>150</v>
      </c>
      <c r="H18" s="158">
        <f>B18/35.45</f>
        <v>638.3017994250818</v>
      </c>
      <c r="I18" s="158">
        <f>C18/96</f>
        <v>59.61323944257356</v>
      </c>
      <c r="J18" s="158">
        <f>D18/61</f>
        <v>832.0868561026238</v>
      </c>
      <c r="K18" s="158">
        <f>I18/H18</f>
        <v>0.09339350052947866</v>
      </c>
      <c r="L18" s="158">
        <f>J18/H18</f>
        <v>1.3035947209487488</v>
      </c>
      <c r="M18" s="159">
        <f t="shared" si="7"/>
        <v>13.958088234815474</v>
      </c>
      <c r="N18" s="125"/>
      <c r="O18" s="125">
        <v>61</v>
      </c>
      <c r="P18" s="43">
        <f>$O$9/O18</f>
        <v>0.008844108885625937</v>
      </c>
      <c r="R18" s="40" t="s">
        <v>150</v>
      </c>
      <c r="S18" s="43">
        <f aca="true" t="shared" si="10" ref="S18:V21">B18/B$22</f>
        <v>0.46280788567312664</v>
      </c>
      <c r="T18" s="43">
        <f t="shared" si="10"/>
        <v>0.10116806373960109</v>
      </c>
      <c r="U18" s="43">
        <f t="shared" si="10"/>
        <v>0.20009312951282052</v>
      </c>
      <c r="V18" s="41">
        <f t="shared" si="10"/>
        <v>0.4140842890622384</v>
      </c>
      <c r="X18" s="152"/>
      <c r="Y18" s="152"/>
      <c r="Z18" s="125"/>
      <c r="AA18" s="43"/>
      <c r="AB18" s="43"/>
      <c r="AC18" s="43"/>
      <c r="AD18" s="43"/>
      <c r="AE18" s="43"/>
      <c r="AF18" s="43"/>
      <c r="AG18" s="165"/>
    </row>
    <row r="19" spans="1:33" ht="12.75">
      <c r="A19" s="40" t="s">
        <v>151</v>
      </c>
      <c r="B19" s="125">
        <v>14613.777538926475</v>
      </c>
      <c r="C19" s="125">
        <v>38638.01142347431</v>
      </c>
      <c r="D19" s="125">
        <v>123632.55878669553</v>
      </c>
      <c r="E19" s="126">
        <v>1184.7545913941265</v>
      </c>
      <c r="F19" s="125"/>
      <c r="G19" s="40" t="s">
        <v>151</v>
      </c>
      <c r="H19" s="158">
        <f>B19/35.45</f>
        <v>412.2363198568822</v>
      </c>
      <c r="I19" s="158">
        <f>C19/96</f>
        <v>402.4792856611907</v>
      </c>
      <c r="J19" s="158">
        <f>D19/61</f>
        <v>2026.7632587982873</v>
      </c>
      <c r="K19" s="158">
        <f>I19/H19</f>
        <v>0.9763314542515835</v>
      </c>
      <c r="L19" s="158">
        <f>J19/H19</f>
        <v>4.916508228828375</v>
      </c>
      <c r="M19" s="159">
        <f t="shared" si="7"/>
        <v>5.0356958258578</v>
      </c>
      <c r="N19" s="125"/>
      <c r="O19" s="125">
        <v>29</v>
      </c>
      <c r="P19" s="43">
        <f>$O$9/O19</f>
        <v>0.018603125587006282</v>
      </c>
      <c r="R19" s="40" t="s">
        <v>151</v>
      </c>
      <c r="S19" s="43">
        <f t="shared" si="10"/>
        <v>0.29889657175097345</v>
      </c>
      <c r="T19" s="43">
        <f t="shared" si="10"/>
        <v>0.6830370301359792</v>
      </c>
      <c r="U19" s="43">
        <f t="shared" si="10"/>
        <v>0.48737869161165465</v>
      </c>
      <c r="V19" s="41">
        <f t="shared" si="10"/>
        <v>0.1893079173992427</v>
      </c>
      <c r="X19" s="152"/>
      <c r="Y19" s="152"/>
      <c r="Z19" s="125"/>
      <c r="AA19" s="43"/>
      <c r="AB19" s="43"/>
      <c r="AC19" s="43"/>
      <c r="AD19" s="43"/>
      <c r="AE19" s="43"/>
      <c r="AF19" s="43"/>
      <c r="AG19" s="165"/>
    </row>
    <row r="20" spans="1:33" ht="12.75">
      <c r="A20" s="40" t="s">
        <v>152</v>
      </c>
      <c r="B20" s="125">
        <v>5925.834796976063</v>
      </c>
      <c r="C20" s="125">
        <v>10415.476063672286</v>
      </c>
      <c r="D20" s="125">
        <v>39684.94811941904</v>
      </c>
      <c r="E20" s="126">
        <v>826.1183740545644</v>
      </c>
      <c r="F20" s="125"/>
      <c r="G20" s="40" t="s">
        <v>152</v>
      </c>
      <c r="H20" s="158">
        <f>B20/35.45</f>
        <v>167.16036098663082</v>
      </c>
      <c r="I20" s="158">
        <f>C20/96</f>
        <v>108.49454232991964</v>
      </c>
      <c r="J20" s="158">
        <f>D20/61</f>
        <v>650.5729199904761</v>
      </c>
      <c r="K20" s="158">
        <f>I20/H20</f>
        <v>0.6490446759599714</v>
      </c>
      <c r="L20" s="158">
        <f>J20/H20</f>
        <v>3.891909039622783</v>
      </c>
      <c r="M20" s="159">
        <f t="shared" si="7"/>
        <v>5.996365402530179</v>
      </c>
      <c r="N20" s="125"/>
      <c r="O20" s="125"/>
      <c r="P20" s="125"/>
      <c r="R20" s="40" t="s">
        <v>152</v>
      </c>
      <c r="S20" s="43">
        <f t="shared" si="10"/>
        <v>0.12120149638659986</v>
      </c>
      <c r="T20" s="43">
        <f t="shared" si="10"/>
        <v>0.18412323967741598</v>
      </c>
      <c r="U20" s="43">
        <f t="shared" si="10"/>
        <v>0.15644421082062285</v>
      </c>
      <c r="V20" s="41">
        <f t="shared" si="10"/>
        <v>0.1320026527464137</v>
      </c>
      <c r="X20" s="152"/>
      <c r="Y20" s="152"/>
      <c r="Z20" s="125"/>
      <c r="AA20" s="43"/>
      <c r="AB20" s="43"/>
      <c r="AC20" s="43"/>
      <c r="AD20" s="43"/>
      <c r="AE20" s="43"/>
      <c r="AF20" s="43"/>
      <c r="AG20" s="165"/>
    </row>
    <row r="21" spans="1:33" ht="12.75">
      <c r="A21" s="40" t="s">
        <v>153</v>
      </c>
      <c r="B21" s="125">
        <v>5725.0116055827275</v>
      </c>
      <c r="C21" s="125">
        <v>1791.6015618306617</v>
      </c>
      <c r="D21" s="125">
        <v>39593.565923855276</v>
      </c>
      <c r="E21" s="126">
        <v>1655.9907254105694</v>
      </c>
      <c r="F21" s="125"/>
      <c r="G21" s="40" t="s">
        <v>153</v>
      </c>
      <c r="H21" s="158">
        <f>B21/35.45</f>
        <v>161.49539084859597</v>
      </c>
      <c r="I21" s="158">
        <f>C21/96</f>
        <v>18.662516269069393</v>
      </c>
      <c r="J21" s="158">
        <f>D21/61</f>
        <v>649.0748512107423</v>
      </c>
      <c r="K21" s="158">
        <f>I21/H21</f>
        <v>0.11556067433878496</v>
      </c>
      <c r="L21" s="158">
        <f>J21/H21</f>
        <v>4.019154031580124</v>
      </c>
      <c r="M21" s="159">
        <f t="shared" si="7"/>
        <v>34.77960002030897</v>
      </c>
      <c r="N21" s="125"/>
      <c r="O21" s="125"/>
      <c r="P21" s="125"/>
      <c r="R21" s="40" t="s">
        <v>153</v>
      </c>
      <c r="S21" s="43">
        <f t="shared" si="10"/>
        <v>0.11709404618930014</v>
      </c>
      <c r="T21" s="43">
        <f t="shared" si="10"/>
        <v>0.031671666447003706</v>
      </c>
      <c r="U21" s="43">
        <f t="shared" si="10"/>
        <v>0.156083968054902</v>
      </c>
      <c r="V21" s="41">
        <f t="shared" si="10"/>
        <v>0.26460514079210534</v>
      </c>
      <c r="X21" s="152"/>
      <c r="Y21" s="152"/>
      <c r="Z21" s="125"/>
      <c r="AA21" s="43"/>
      <c r="AB21" s="43"/>
      <c r="AC21" s="43"/>
      <c r="AD21" s="43"/>
      <c r="AE21" s="43"/>
      <c r="AF21" s="43"/>
      <c r="AG21" s="165"/>
    </row>
    <row r="22" spans="1:33" ht="13.5" thickBot="1">
      <c r="A22" s="129" t="s">
        <v>154</v>
      </c>
      <c r="B22" s="130">
        <f>SUM(B18:B21)</f>
        <v>48892.42273110441</v>
      </c>
      <c r="C22" s="130">
        <f>SUM(C18:C21)</f>
        <v>56567.96003546432</v>
      </c>
      <c r="D22" s="130">
        <f>SUM(D18:D21)</f>
        <v>253668.3710522299</v>
      </c>
      <c r="E22" s="131">
        <f>SUM(E18:E21)</f>
        <v>6258.346759451837</v>
      </c>
      <c r="F22" s="127"/>
      <c r="G22" s="129" t="s">
        <v>154</v>
      </c>
      <c r="H22" s="178">
        <f>B22/35.45</f>
        <v>1379.1938711171906</v>
      </c>
      <c r="I22" s="178">
        <f>C22/96</f>
        <v>589.2495837027533</v>
      </c>
      <c r="J22" s="178">
        <f>D22/61</f>
        <v>4158.497886102129</v>
      </c>
      <c r="K22" s="178">
        <f>I22/H22</f>
        <v>0.4272420259708974</v>
      </c>
      <c r="L22" s="178">
        <f>J22/H22</f>
        <v>3.0151655783777622</v>
      </c>
      <c r="M22" s="161">
        <f t="shared" si="7"/>
        <v>7.057277596991705</v>
      </c>
      <c r="N22" s="127"/>
      <c r="O22" s="127">
        <f>D22/61*44/1000</f>
        <v>182.9739069884937</v>
      </c>
      <c r="P22" s="127" t="s">
        <v>693</v>
      </c>
      <c r="R22" s="129" t="s">
        <v>154</v>
      </c>
      <c r="S22" s="135">
        <f>SUM(S18:S21)</f>
        <v>1</v>
      </c>
      <c r="T22" s="135">
        <f>SUM(T18:T21)</f>
        <v>0.9999999999999999</v>
      </c>
      <c r="U22" s="135">
        <f>SUM(U18:U21)</f>
        <v>1</v>
      </c>
      <c r="V22" s="136">
        <f>SUM(V18:V21)</f>
        <v>1</v>
      </c>
      <c r="X22" s="153"/>
      <c r="Y22" s="153"/>
      <c r="Z22" s="127"/>
      <c r="AA22" s="134"/>
      <c r="AB22" s="134"/>
      <c r="AC22" s="134"/>
      <c r="AD22" s="134"/>
      <c r="AE22" s="134"/>
      <c r="AF22" s="134"/>
      <c r="AG22" s="171"/>
    </row>
    <row r="23" spans="13:16" ht="13.5" thickTop="1">
      <c r="M23" s="52"/>
      <c r="O23" s="125">
        <f>O22/365</f>
        <v>0.5012983753109417</v>
      </c>
      <c r="P23" s="125" t="s">
        <v>694</v>
      </c>
    </row>
    <row r="24" spans="13:16" ht="12.75">
      <c r="M24" s="52"/>
      <c r="O24" s="125">
        <v>45</v>
      </c>
      <c r="P24" s="43">
        <f>$O$9/O24</f>
        <v>0.011988680933848493</v>
      </c>
    </row>
    <row r="25" spans="13:16" ht="13.5" thickBot="1">
      <c r="M25" s="52"/>
      <c r="O25" s="125">
        <v>61</v>
      </c>
      <c r="P25" s="43">
        <f>$O$9/O25</f>
        <v>0.008844108885625937</v>
      </c>
    </row>
    <row r="26" spans="1:22" ht="21" thickTop="1">
      <c r="A26" s="122" t="s">
        <v>658</v>
      </c>
      <c r="B26" s="123"/>
      <c r="C26" s="123"/>
      <c r="D26" s="123"/>
      <c r="E26" s="124"/>
      <c r="F26" s="125"/>
      <c r="G26" s="172"/>
      <c r="H26" s="174" t="s">
        <v>689</v>
      </c>
      <c r="I26" s="173"/>
      <c r="J26" s="173"/>
      <c r="K26" s="182" t="s">
        <v>695</v>
      </c>
      <c r="L26" s="173"/>
      <c r="M26" s="181"/>
      <c r="N26" s="125"/>
      <c r="O26" s="125">
        <v>29</v>
      </c>
      <c r="P26" s="43">
        <f>$O$9/O26</f>
        <v>0.018603125587006282</v>
      </c>
      <c r="R26" s="122" t="s">
        <v>665</v>
      </c>
      <c r="S26" s="123"/>
      <c r="T26" s="123"/>
      <c r="U26" s="123"/>
      <c r="V26" s="124"/>
    </row>
    <row r="27" spans="1:22" ht="14.25">
      <c r="A27" s="40"/>
      <c r="B27" s="127" t="s">
        <v>654</v>
      </c>
      <c r="C27" s="127" t="s">
        <v>655</v>
      </c>
      <c r="D27" s="127" t="s">
        <v>656</v>
      </c>
      <c r="E27" s="128" t="s">
        <v>657</v>
      </c>
      <c r="F27" s="127"/>
      <c r="G27" s="40"/>
      <c r="H27" s="158"/>
      <c r="I27" s="158"/>
      <c r="J27" s="158"/>
      <c r="K27" s="179" t="s">
        <v>690</v>
      </c>
      <c r="L27" s="179" t="s">
        <v>691</v>
      </c>
      <c r="M27" s="180" t="s">
        <v>692</v>
      </c>
      <c r="N27" s="127"/>
      <c r="O27" s="127"/>
      <c r="P27" s="127"/>
      <c r="R27" s="40"/>
      <c r="S27" s="127" t="s">
        <v>654</v>
      </c>
      <c r="T27" s="127" t="s">
        <v>655</v>
      </c>
      <c r="U27" s="127" t="s">
        <v>656</v>
      </c>
      <c r="V27" s="128" t="s">
        <v>657</v>
      </c>
    </row>
    <row r="28" spans="1:22" ht="12.75">
      <c r="A28" s="47" t="s">
        <v>653</v>
      </c>
      <c r="B28" s="125"/>
      <c r="C28" s="125"/>
      <c r="D28" s="125"/>
      <c r="E28" s="126"/>
      <c r="F28" s="125"/>
      <c r="G28" s="47" t="s">
        <v>653</v>
      </c>
      <c r="H28" s="158"/>
      <c r="I28" s="158"/>
      <c r="J28" s="158"/>
      <c r="K28" s="158"/>
      <c r="L28" s="158"/>
      <c r="M28" s="159"/>
      <c r="N28" s="125"/>
      <c r="O28" s="125"/>
      <c r="P28" s="125"/>
      <c r="R28" s="47" t="s">
        <v>653</v>
      </c>
      <c r="S28" s="125"/>
      <c r="T28" s="125"/>
      <c r="U28" s="125"/>
      <c r="V28" s="126"/>
    </row>
    <row r="29" spans="1:22" ht="12.75">
      <c r="A29" s="40" t="s">
        <v>172</v>
      </c>
      <c r="B29" s="125">
        <v>3611.3520000804806</v>
      </c>
      <c r="C29" s="125">
        <v>13801.509046819401</v>
      </c>
      <c r="D29" s="125">
        <v>21964.14875104046</v>
      </c>
      <c r="E29" s="126">
        <v>164.87108304379737</v>
      </c>
      <c r="F29" s="125"/>
      <c r="G29" s="40" t="s">
        <v>172</v>
      </c>
      <c r="H29" s="158">
        <f>B29/35.45</f>
        <v>101.87170663132525</v>
      </c>
      <c r="I29" s="158">
        <f>C29/96</f>
        <v>143.7657192377021</v>
      </c>
      <c r="J29" s="158">
        <f>D29/61</f>
        <v>360.06801231213865</v>
      </c>
      <c r="K29" s="158">
        <f>I29/H29</f>
        <v>1.4112428660687082</v>
      </c>
      <c r="L29" s="158">
        <f>J29/H29</f>
        <v>3.5345241992973424</v>
      </c>
      <c r="M29" s="159">
        <f t="shared" si="7"/>
        <v>2.5045470799391514</v>
      </c>
      <c r="N29" s="125"/>
      <c r="O29" s="125"/>
      <c r="P29" s="125"/>
      <c r="R29" s="40" t="s">
        <v>172</v>
      </c>
      <c r="S29" s="43">
        <f>B29/B5</f>
        <v>0.2352023177739779</v>
      </c>
      <c r="T29" s="43">
        <f>C29/C5</f>
        <v>0.33625307850860015</v>
      </c>
      <c r="U29" s="43">
        <f>D29/D5</f>
        <v>0.15939159347840312</v>
      </c>
      <c r="V29" s="41">
        <f>E29/E5</f>
        <v>0.1329584697995604</v>
      </c>
    </row>
    <row r="30" spans="1:22" ht="12.75">
      <c r="A30" s="40" t="s">
        <v>662</v>
      </c>
      <c r="B30" s="125"/>
      <c r="C30" s="125"/>
      <c r="D30" s="125"/>
      <c r="E30" s="126"/>
      <c r="F30" s="125"/>
      <c r="G30" s="40" t="s">
        <v>662</v>
      </c>
      <c r="H30" s="158"/>
      <c r="I30" s="158"/>
      <c r="J30" s="158"/>
      <c r="K30" s="158"/>
      <c r="L30" s="158"/>
      <c r="M30" s="159"/>
      <c r="N30" s="125"/>
      <c r="O30" s="125"/>
      <c r="P30" s="125"/>
      <c r="R30" s="40" t="s">
        <v>662</v>
      </c>
      <c r="S30" s="43"/>
      <c r="T30" s="43"/>
      <c r="U30" s="43"/>
      <c r="V30" s="41"/>
    </row>
    <row r="31" spans="1:22" ht="12.75">
      <c r="A31" s="40" t="s">
        <v>663</v>
      </c>
      <c r="B31" s="125"/>
      <c r="C31" s="125"/>
      <c r="D31" s="125"/>
      <c r="E31" s="126"/>
      <c r="F31" s="125"/>
      <c r="G31" s="40" t="s">
        <v>663</v>
      </c>
      <c r="H31" s="158"/>
      <c r="I31" s="158"/>
      <c r="J31" s="158"/>
      <c r="K31" s="158"/>
      <c r="L31" s="158"/>
      <c r="M31" s="159"/>
      <c r="N31" s="125"/>
      <c r="O31" s="125"/>
      <c r="P31" s="125"/>
      <c r="R31" s="40" t="s">
        <v>663</v>
      </c>
      <c r="S31" s="43"/>
      <c r="T31" s="43"/>
      <c r="U31" s="43"/>
      <c r="V31" s="41"/>
    </row>
    <row r="32" spans="1:22" ht="12.75">
      <c r="A32" s="40" t="s">
        <v>664</v>
      </c>
      <c r="B32" s="125"/>
      <c r="C32" s="125"/>
      <c r="D32" s="125"/>
      <c r="E32" s="126"/>
      <c r="F32" s="125"/>
      <c r="G32" s="40" t="s">
        <v>664</v>
      </c>
      <c r="H32" s="158"/>
      <c r="I32" s="158"/>
      <c r="J32" s="158"/>
      <c r="K32" s="158"/>
      <c r="L32" s="158"/>
      <c r="M32" s="159"/>
      <c r="N32" s="125"/>
      <c r="O32" s="125"/>
      <c r="P32" s="125"/>
      <c r="R32" s="40" t="s">
        <v>664</v>
      </c>
      <c r="S32" s="43"/>
      <c r="T32" s="43"/>
      <c r="U32" s="43"/>
      <c r="V32" s="41"/>
    </row>
    <row r="33" spans="1:22" ht="12.75">
      <c r="A33" s="40"/>
      <c r="B33" s="125"/>
      <c r="C33" s="125"/>
      <c r="D33" s="125"/>
      <c r="E33" s="126"/>
      <c r="F33" s="125"/>
      <c r="G33" s="40"/>
      <c r="H33" s="158"/>
      <c r="I33" s="158"/>
      <c r="J33" s="158"/>
      <c r="K33" s="158"/>
      <c r="L33" s="158"/>
      <c r="M33" s="159"/>
      <c r="N33" s="125"/>
      <c r="O33" s="125"/>
      <c r="P33" s="125"/>
      <c r="R33" s="40"/>
      <c r="S33" s="43"/>
      <c r="T33" s="43"/>
      <c r="U33" s="43"/>
      <c r="V33" s="41"/>
    </row>
    <row r="34" spans="1:22" ht="12.75">
      <c r="A34" s="47" t="s">
        <v>659</v>
      </c>
      <c r="B34" s="125"/>
      <c r="C34" s="125"/>
      <c r="D34" s="125"/>
      <c r="E34" s="126"/>
      <c r="F34" s="125"/>
      <c r="G34" s="47" t="s">
        <v>659</v>
      </c>
      <c r="H34" s="158"/>
      <c r="I34" s="158"/>
      <c r="J34" s="158"/>
      <c r="K34" s="158"/>
      <c r="L34" s="158"/>
      <c r="M34" s="159"/>
      <c r="N34" s="125"/>
      <c r="O34" s="125"/>
      <c r="P34" s="125"/>
      <c r="R34" s="47" t="s">
        <v>659</v>
      </c>
      <c r="S34" s="43"/>
      <c r="T34" s="43"/>
      <c r="U34" s="43"/>
      <c r="V34" s="41"/>
    </row>
    <row r="35" spans="1:22" ht="12.75">
      <c r="A35" s="40" t="s">
        <v>172</v>
      </c>
      <c r="B35" s="125">
        <v>3274.0423553278474</v>
      </c>
      <c r="C35" s="125">
        <v>12298.732727974144</v>
      </c>
      <c r="D35" s="125">
        <v>17551.49968085375</v>
      </c>
      <c r="E35" s="126">
        <v>159.61822462741608</v>
      </c>
      <c r="F35" s="125"/>
      <c r="G35" s="40" t="s">
        <v>172</v>
      </c>
      <c r="H35" s="158">
        <f>B35/35.45</f>
        <v>92.35662497398722</v>
      </c>
      <c r="I35" s="158">
        <f>C35/96</f>
        <v>128.11179924973067</v>
      </c>
      <c r="J35" s="158">
        <f>D35/61</f>
        <v>287.7295029648156</v>
      </c>
      <c r="K35" s="158">
        <f>I35/H35</f>
        <v>1.387142495579652</v>
      </c>
      <c r="L35" s="158">
        <f>J35/H35</f>
        <v>3.115418120203681</v>
      </c>
      <c r="M35" s="159">
        <f t="shared" si="7"/>
        <v>2.2459250798900983</v>
      </c>
      <c r="N35" s="125"/>
      <c r="O35" s="125"/>
      <c r="P35" s="125"/>
      <c r="R35" s="40" t="s">
        <v>172</v>
      </c>
      <c r="S35" s="43">
        <f>B35/B12</f>
        <v>0.2104842367991974</v>
      </c>
      <c r="T35" s="43">
        <f>C35/C12</f>
        <v>0.26388870963642913</v>
      </c>
      <c r="U35" s="43">
        <f>D35/D12</f>
        <v>0.13923708409689364</v>
      </c>
      <c r="V35" s="41">
        <f>E35/E12</f>
        <v>0.12131009549571645</v>
      </c>
    </row>
    <row r="36" spans="1:22" ht="12.75">
      <c r="A36" s="40" t="s">
        <v>662</v>
      </c>
      <c r="B36" s="125">
        <v>3039.116431349222</v>
      </c>
      <c r="C36" s="125">
        <v>10774.826770647207</v>
      </c>
      <c r="D36" s="125">
        <v>3408.0426405921085</v>
      </c>
      <c r="E36" s="126">
        <v>52.57273631974407</v>
      </c>
      <c r="F36" s="125"/>
      <c r="G36" s="40" t="s">
        <v>662</v>
      </c>
      <c r="H36" s="158">
        <f>B36/35.45</f>
        <v>85.72965955851119</v>
      </c>
      <c r="I36" s="158">
        <f>C36/96</f>
        <v>112.2377788609084</v>
      </c>
      <c r="J36" s="158">
        <f>D36/61</f>
        <v>55.86955148511653</v>
      </c>
      <c r="K36" s="158">
        <f>I36/H36</f>
        <v>1.3092059322165535</v>
      </c>
      <c r="L36" s="158">
        <f>J36/H36</f>
        <v>0.6516945450714768</v>
      </c>
      <c r="M36" s="159">
        <f t="shared" si="7"/>
        <v>0.4977784846789719</v>
      </c>
      <c r="N36" s="125"/>
      <c r="O36" s="125"/>
      <c r="P36" s="125"/>
      <c r="R36" s="40" t="s">
        <v>662</v>
      </c>
      <c r="S36" s="43">
        <f>B36/B35</f>
        <v>0.9282459117865929</v>
      </c>
      <c r="T36" s="43">
        <f>C36/C35</f>
        <v>0.8760924404950496</v>
      </c>
      <c r="U36" s="43">
        <f>D36/D35</f>
        <v>0.1941738713250703</v>
      </c>
      <c r="V36" s="43">
        <f>E36/E35</f>
        <v>0.3293654997257384</v>
      </c>
    </row>
    <row r="37" spans="1:22" ht="12.75">
      <c r="A37" s="40" t="s">
        <v>663</v>
      </c>
      <c r="B37" s="125">
        <v>16905.52235629895</v>
      </c>
      <c r="C37" s="125">
        <v>3160.844037644319</v>
      </c>
      <c r="D37" s="125">
        <v>32524.318348887733</v>
      </c>
      <c r="E37" s="126">
        <v>2077.063036168223</v>
      </c>
      <c r="F37" s="125"/>
      <c r="G37" s="40" t="s">
        <v>663</v>
      </c>
      <c r="H37" s="158">
        <f>B37/35.45</f>
        <v>476.8835643525796</v>
      </c>
      <c r="I37" s="158">
        <f>C37/96</f>
        <v>32.92545872546166</v>
      </c>
      <c r="J37" s="158">
        <f>D37/61</f>
        <v>533.1855467030775</v>
      </c>
      <c r="K37" s="158">
        <f>I37/H37</f>
        <v>0.0690429723032319</v>
      </c>
      <c r="L37" s="158">
        <f>J37/H37</f>
        <v>1.1180623249763995</v>
      </c>
      <c r="M37" s="159">
        <f t="shared" si="7"/>
        <v>16.193716575033125</v>
      </c>
      <c r="N37" s="125"/>
      <c r="O37" s="125"/>
      <c r="P37" s="125"/>
      <c r="R37" s="40" t="s">
        <v>663</v>
      </c>
      <c r="S37" s="43">
        <f>B37/B11</f>
        <v>0.7000285022844601</v>
      </c>
      <c r="T37" s="43">
        <f>C37/C11</f>
        <v>0.5367469770259842</v>
      </c>
      <c r="U37" s="43">
        <f>D37/D11</f>
        <v>0.6383549479773906</v>
      </c>
      <c r="V37" s="41">
        <f>E37/E11</f>
        <v>0.7856776016448596</v>
      </c>
    </row>
    <row r="38" spans="1:22" ht="12.75">
      <c r="A38" s="40" t="s">
        <v>664</v>
      </c>
      <c r="B38" s="125">
        <v>5505.450754373841</v>
      </c>
      <c r="C38" s="125">
        <v>2662.124674536861</v>
      </c>
      <c r="D38" s="125">
        <v>11157.332395410811</v>
      </c>
      <c r="E38" s="126">
        <v>412.2042878651038</v>
      </c>
      <c r="F38" s="125"/>
      <c r="G38" s="40" t="s">
        <v>664</v>
      </c>
      <c r="H38" s="158">
        <f>B38/35.45</f>
        <v>155.3018548483453</v>
      </c>
      <c r="I38" s="158">
        <f>C38/96</f>
        <v>27.73046535975897</v>
      </c>
      <c r="J38" s="158">
        <f>D38/61</f>
        <v>182.90708844935756</v>
      </c>
      <c r="K38" s="158">
        <f>I38/H38</f>
        <v>0.1785584942745095</v>
      </c>
      <c r="L38" s="158">
        <f>J38/H38</f>
        <v>1.1777521178222192</v>
      </c>
      <c r="M38" s="159">
        <f t="shared" si="7"/>
        <v>6.595889613694798</v>
      </c>
      <c r="N38" s="125"/>
      <c r="O38" s="125"/>
      <c r="P38" s="125"/>
      <c r="R38" s="40" t="s">
        <v>664</v>
      </c>
      <c r="S38" s="43">
        <f>B38/B11</f>
        <v>0.22797121347446517</v>
      </c>
      <c r="T38" s="43">
        <f>C38/C11</f>
        <v>0.45205880280915367</v>
      </c>
      <c r="U38" s="43">
        <f>D38/D11</f>
        <v>0.21898501497979872</v>
      </c>
      <c r="V38" s="41">
        <f>E38/E11</f>
        <v>0.15592192949282857</v>
      </c>
    </row>
    <row r="39" spans="1:22" ht="12.75">
      <c r="A39" s="40"/>
      <c r="B39" s="125"/>
      <c r="C39" s="125"/>
      <c r="D39" s="125"/>
      <c r="E39" s="126"/>
      <c r="F39" s="125"/>
      <c r="G39" s="40"/>
      <c r="H39" s="158"/>
      <c r="I39" s="158"/>
      <c r="J39" s="158"/>
      <c r="K39" s="158"/>
      <c r="L39" s="158"/>
      <c r="M39" s="159"/>
      <c r="N39" s="125"/>
      <c r="O39" s="125"/>
      <c r="P39" s="125"/>
      <c r="R39" s="40"/>
      <c r="S39" s="43"/>
      <c r="T39" s="43"/>
      <c r="U39" s="43"/>
      <c r="V39" s="41"/>
    </row>
    <row r="40" spans="1:22" ht="12.75">
      <c r="A40" s="47" t="s">
        <v>660</v>
      </c>
      <c r="B40" s="125"/>
      <c r="C40" s="125"/>
      <c r="D40" s="125"/>
      <c r="E40" s="126"/>
      <c r="F40" s="125"/>
      <c r="G40" s="47" t="s">
        <v>660</v>
      </c>
      <c r="H40" s="158"/>
      <c r="I40" s="158"/>
      <c r="J40" s="158"/>
      <c r="K40" s="158"/>
      <c r="L40" s="158"/>
      <c r="M40" s="159"/>
      <c r="N40" s="125"/>
      <c r="O40" s="125"/>
      <c r="P40" s="125"/>
      <c r="R40" s="47" t="s">
        <v>660</v>
      </c>
      <c r="S40" s="43"/>
      <c r="T40" s="43"/>
      <c r="U40" s="43"/>
      <c r="V40" s="41"/>
    </row>
    <row r="41" spans="1:22" ht="12.75">
      <c r="A41" s="40" t="s">
        <v>172</v>
      </c>
      <c r="B41" s="125">
        <v>3496.7938803787215</v>
      </c>
      <c r="C41" s="125">
        <v>12937.72648776287</v>
      </c>
      <c r="D41" s="125">
        <v>20794.305359403777</v>
      </c>
      <c r="E41" s="126">
        <v>159.9971035868347</v>
      </c>
      <c r="F41" s="125"/>
      <c r="G41" s="40" t="s">
        <v>172</v>
      </c>
      <c r="H41" s="158">
        <f>B41/35.45</f>
        <v>98.64016587810215</v>
      </c>
      <c r="I41" s="158">
        <f>C41/96</f>
        <v>134.76798424752988</v>
      </c>
      <c r="J41" s="158">
        <f>D41/61</f>
        <v>340.89025179350455</v>
      </c>
      <c r="K41" s="158">
        <f>I41/H41</f>
        <v>1.3662586943950792</v>
      </c>
      <c r="L41" s="158">
        <f>J41/H41</f>
        <v>3.4558969843458187</v>
      </c>
      <c r="M41" s="159">
        <f t="shared" si="7"/>
        <v>2.5294601955861236</v>
      </c>
      <c r="N41" s="125"/>
      <c r="O41" s="125"/>
      <c r="P41" s="125"/>
      <c r="R41" s="40" t="s">
        <v>172</v>
      </c>
      <c r="S41" s="43">
        <f>B41/B19</f>
        <v>0.2392806289177709</v>
      </c>
      <c r="T41" s="43">
        <f>C41/C19</f>
        <v>0.33484452256004626</v>
      </c>
      <c r="U41" s="43">
        <f>D41/D19</f>
        <v>0.16819441062673787</v>
      </c>
      <c r="V41" s="41">
        <f>E41/E19</f>
        <v>0.1350466204132306</v>
      </c>
    </row>
    <row r="42" spans="1:22" ht="12.75">
      <c r="A42" s="40" t="s">
        <v>662</v>
      </c>
      <c r="B42" s="125">
        <v>2781.6931371570367</v>
      </c>
      <c r="C42" s="125">
        <v>9826.378007236808</v>
      </c>
      <c r="D42" s="125">
        <v>3704.2486894628523</v>
      </c>
      <c r="E42" s="126">
        <v>46.4596613782164</v>
      </c>
      <c r="F42" s="125"/>
      <c r="G42" s="40" t="s">
        <v>662</v>
      </c>
      <c r="H42" s="158">
        <f>B42/35.45</f>
        <v>78.46807157001514</v>
      </c>
      <c r="I42" s="158">
        <f>C42/96</f>
        <v>102.35810424205009</v>
      </c>
      <c r="J42" s="158">
        <f>D42/61</f>
        <v>60.725388351850036</v>
      </c>
      <c r="K42" s="158">
        <f>I42/H42</f>
        <v>1.3044554580485448</v>
      </c>
      <c r="L42" s="158">
        <f>J42/H42</f>
        <v>0.773886590263229</v>
      </c>
      <c r="M42" s="159">
        <f t="shared" si="7"/>
        <v>0.5932640976649041</v>
      </c>
      <c r="N42" s="125"/>
      <c r="O42" s="125"/>
      <c r="P42" s="125"/>
      <c r="R42" s="40" t="s">
        <v>662</v>
      </c>
      <c r="S42" s="43">
        <f>B42/B41</f>
        <v>0.7954981712721839</v>
      </c>
      <c r="T42" s="43">
        <f>C42/C41</f>
        <v>0.7595135062200514</v>
      </c>
      <c r="U42" s="43">
        <f>D42/D41</f>
        <v>0.17813764996904238</v>
      </c>
      <c r="V42" s="43">
        <f>E42/E41</f>
        <v>0.2903781402080289</v>
      </c>
    </row>
    <row r="43" spans="1:22" ht="12.75">
      <c r="A43" s="40" t="s">
        <v>663</v>
      </c>
      <c r="B43" s="125">
        <v>16995.45123538263</v>
      </c>
      <c r="C43" s="125">
        <v>3189.6476344245516</v>
      </c>
      <c r="D43" s="125">
        <v>32436.814491638448</v>
      </c>
      <c r="E43" s="126">
        <v>2088.553046913977</v>
      </c>
      <c r="F43" s="125"/>
      <c r="G43" s="40" t="s">
        <v>663</v>
      </c>
      <c r="H43" s="158">
        <f>B43/35.45</f>
        <v>479.42034514478496</v>
      </c>
      <c r="I43" s="158">
        <f>C43/96</f>
        <v>33.22549619192241</v>
      </c>
      <c r="J43" s="158">
        <f>D43/61</f>
        <v>531.7510572399746</v>
      </c>
      <c r="K43" s="158">
        <f>I43/H43</f>
        <v>0.06930347560007764</v>
      </c>
      <c r="L43" s="158">
        <f>J43/H43</f>
        <v>1.1091541329548409</v>
      </c>
      <c r="M43" s="159">
        <f t="shared" si="7"/>
        <v>16.00430748026724</v>
      </c>
      <c r="N43" s="125"/>
      <c r="O43" s="125"/>
      <c r="P43" s="125"/>
      <c r="R43" s="40" t="s">
        <v>663</v>
      </c>
      <c r="S43" s="43">
        <f>B43/B18</f>
        <v>0.751087253046441</v>
      </c>
      <c r="T43" s="43">
        <f>C43/C18</f>
        <v>0.5573509593272329</v>
      </c>
      <c r="U43" s="43">
        <f>D43/D18</f>
        <v>0.6390571529162481</v>
      </c>
      <c r="V43" s="41">
        <f>E43/E18</f>
        <v>0.8059296517218848</v>
      </c>
    </row>
    <row r="44" spans="1:22" ht="13.5" thickBot="1">
      <c r="A44" s="42" t="s">
        <v>664</v>
      </c>
      <c r="B44" s="65">
        <v>5319.316412612252</v>
      </c>
      <c r="C44" s="65">
        <v>2502.253277191614</v>
      </c>
      <c r="D44" s="65">
        <v>10367.76418389946</v>
      </c>
      <c r="E44" s="137">
        <v>385.5598991807621</v>
      </c>
      <c r="F44" s="125"/>
      <c r="G44" s="42" t="s">
        <v>664</v>
      </c>
      <c r="H44" s="178">
        <f>B44/35.45</f>
        <v>150.0512387196686</v>
      </c>
      <c r="I44" s="178">
        <f>C44/96</f>
        <v>26.065138304079312</v>
      </c>
      <c r="J44" s="178">
        <f>D44/61</f>
        <v>169.96334727704033</v>
      </c>
      <c r="K44" s="178">
        <f>I44/H44</f>
        <v>0.1737082514378651</v>
      </c>
      <c r="L44" s="178">
        <f>J44/H44</f>
        <v>1.1327020604912985</v>
      </c>
      <c r="M44" s="161">
        <f t="shared" si="7"/>
        <v>6.520715343775494</v>
      </c>
      <c r="N44" s="125"/>
      <c r="O44" s="125"/>
      <c r="P44" s="125"/>
      <c r="R44" s="42" t="s">
        <v>664</v>
      </c>
      <c r="S44" s="139">
        <f>B44/B18</f>
        <v>0.23507882768749785</v>
      </c>
      <c r="T44" s="139">
        <f>C44/C18</f>
        <v>0.4372374081295867</v>
      </c>
      <c r="U44" s="139">
        <f>D44/D18</f>
        <v>0.20426154557124535</v>
      </c>
      <c r="V44" s="66">
        <f>E44/E18</f>
        <v>0.14877963273368325</v>
      </c>
    </row>
    <row r="45" ht="13.5" thickTop="1"/>
  </sheetData>
  <printOptions/>
  <pageMargins left="0.75" right="0.75" top="1" bottom="1" header="0.5" footer="0.5"/>
  <pageSetup fitToHeight="1" fitToWidth="1" horizontalDpi="300" verticalDpi="3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1"/>
  <sheetViews>
    <sheetView workbookViewId="0" topLeftCell="A1">
      <pane xSplit="2" ySplit="2" topLeftCell="F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98" sqref="F98"/>
    </sheetView>
  </sheetViews>
  <sheetFormatPr defaultColWidth="9.140625" defaultRowHeight="12.75"/>
  <cols>
    <col min="2" max="2" width="14.8515625" style="0" customWidth="1"/>
    <col min="3" max="3" width="9.8515625" style="49" customWidth="1"/>
    <col min="4" max="5" width="8.8515625" style="0" customWidth="1"/>
    <col min="6" max="6" width="10.140625" style="0" customWidth="1"/>
    <col min="7" max="7" width="9.7109375" style="0" customWidth="1"/>
    <col min="8" max="10" width="8.8515625" style="57" customWidth="1"/>
    <col min="11" max="11" width="8.8515625" style="39" customWidth="1"/>
    <col min="12" max="15" width="11.7109375" style="0" customWidth="1"/>
    <col min="16" max="16" width="10.00390625" style="0" customWidth="1"/>
    <col min="17" max="16384" width="8.8515625" style="0" customWidth="1"/>
  </cols>
  <sheetData>
    <row r="1" spans="2:20" s="77" customFormat="1" ht="13.5" thickBot="1">
      <c r="B1" s="67" t="s">
        <v>184</v>
      </c>
      <c r="C1" s="68"/>
      <c r="D1" s="69"/>
      <c r="E1" s="69"/>
      <c r="F1" s="69"/>
      <c r="G1" s="70"/>
      <c r="H1" s="110"/>
      <c r="I1" s="110"/>
      <c r="J1" s="110"/>
      <c r="K1" s="72"/>
      <c r="L1" s="74"/>
      <c r="M1" s="74"/>
      <c r="N1" s="74"/>
      <c r="O1" s="74"/>
      <c r="P1" s="75"/>
      <c r="Q1" s="75"/>
      <c r="R1" s="75"/>
      <c r="S1" s="75"/>
      <c r="T1" s="76"/>
    </row>
    <row r="2" spans="2:19" s="77" customFormat="1" ht="39.75" thickBot="1" thickTop="1">
      <c r="B2" s="78" t="s">
        <v>0</v>
      </c>
      <c r="C2" s="79" t="s">
        <v>1</v>
      </c>
      <c r="D2" s="79" t="s">
        <v>163</v>
      </c>
      <c r="E2" s="79" t="s">
        <v>29</v>
      </c>
      <c r="F2" s="79" t="s">
        <v>162</v>
      </c>
      <c r="G2" s="80" t="s">
        <v>161</v>
      </c>
      <c r="H2" s="112" t="s">
        <v>2</v>
      </c>
      <c r="I2" s="112" t="s">
        <v>158</v>
      </c>
      <c r="J2" s="112" t="s">
        <v>159</v>
      </c>
      <c r="K2" s="114" t="s">
        <v>160</v>
      </c>
      <c r="L2" s="80" t="s">
        <v>176</v>
      </c>
      <c r="M2" s="80" t="s">
        <v>177</v>
      </c>
      <c r="N2" s="80" t="s">
        <v>178</v>
      </c>
      <c r="O2" s="80" t="s">
        <v>179</v>
      </c>
      <c r="P2" s="81" t="s">
        <v>180</v>
      </c>
      <c r="Q2" s="81" t="s">
        <v>181</v>
      </c>
      <c r="R2" s="81" t="s">
        <v>182</v>
      </c>
      <c r="S2" s="81" t="s">
        <v>183</v>
      </c>
    </row>
    <row r="3" spans="1:19" ht="12.75">
      <c r="A3">
        <v>1</v>
      </c>
      <c r="B3" s="1"/>
      <c r="C3" s="49">
        <v>37165</v>
      </c>
      <c r="D3" s="10">
        <v>0.0006944444444444445</v>
      </c>
      <c r="E3" s="4">
        <f>C3-28489</f>
        <v>8676</v>
      </c>
      <c r="F3" s="6">
        <v>363</v>
      </c>
      <c r="G3" s="7">
        <f>F3*0.028317</f>
        <v>10.279071</v>
      </c>
      <c r="H3" s="57">
        <f>248.08*G3^-0.5722</f>
        <v>65.39608523339669</v>
      </c>
      <c r="I3" s="57">
        <f>52.612*G3^-0.501</f>
        <v>16.37178092680488</v>
      </c>
      <c r="J3" s="57">
        <f>999.53*G3^-0.8079</f>
        <v>152.13821111671206</v>
      </c>
      <c r="K3" s="39">
        <f>49.065*G3^-0.7879</f>
        <v>7.824441579579547</v>
      </c>
      <c r="L3" s="11">
        <f>(H3*$G3)</f>
        <v>672.2110032361361</v>
      </c>
      <c r="M3" s="11">
        <f>(I3*$G3)</f>
        <v>168.2866985430732</v>
      </c>
      <c r="N3" s="11">
        <f>(J3*$G3)</f>
        <v>1563.8394738816726</v>
      </c>
      <c r="O3" s="11">
        <f>(K3*$G3)</f>
        <v>80.42799053185031</v>
      </c>
      <c r="P3" s="11">
        <f>(((L3+L4)/2)*(($E4-$E3)*24*60*60))/1000000</f>
        <v>956.8076211552171</v>
      </c>
      <c r="Q3" s="11">
        <f>(((M3+M4)/2)*(($E4-$E3)*24*60*60))/1000000</f>
        <v>253.53229502113214</v>
      </c>
      <c r="R3" s="11">
        <f>(((N3+N4)/2)*(($E4-$E3)*24*60*60))/1000000</f>
        <v>2151.780146667652</v>
      </c>
      <c r="S3" s="11">
        <f>(((O3+O4)/2)*(($E4-$E3)*24*60*60))/1000000</f>
        <v>113.01228755609495</v>
      </c>
    </row>
    <row r="4" spans="1:19" ht="12.75">
      <c r="A4">
        <v>2</v>
      </c>
      <c r="B4" s="35" t="s">
        <v>155</v>
      </c>
      <c r="C4" s="50">
        <v>37181</v>
      </c>
      <c r="D4" s="9">
        <v>0.6840277777777778</v>
      </c>
      <c r="E4" s="4">
        <f>C4-28489</f>
        <v>8692</v>
      </c>
      <c r="F4" s="36">
        <v>381</v>
      </c>
      <c r="G4" s="7">
        <f aca="true" t="shared" si="0" ref="G4:G32">F4*0.028317</f>
        <v>10.788777</v>
      </c>
      <c r="H4" s="57">
        <v>66</v>
      </c>
      <c r="I4" s="57">
        <v>18.4</v>
      </c>
      <c r="J4" s="57">
        <v>143.6</v>
      </c>
      <c r="K4" s="39">
        <v>7.7</v>
      </c>
      <c r="L4" s="11">
        <f aca="true" t="shared" si="1" ref="L4:L32">(H4*$G4)</f>
        <v>712.0592819999999</v>
      </c>
      <c r="M4" s="11">
        <f aca="true" t="shared" si="2" ref="M4:M32">(I4*$G4)</f>
        <v>198.51349679999998</v>
      </c>
      <c r="N4" s="11">
        <f aca="true" t="shared" si="3" ref="N4:N32">(J4*$G4)</f>
        <v>1549.2683771999998</v>
      </c>
      <c r="O4" s="11">
        <f aca="true" t="shared" si="4" ref="O4:O32">(K4*$G4)</f>
        <v>83.0735829</v>
      </c>
      <c r="P4" s="11">
        <f aca="true" t="shared" si="5" ref="P4:P31">(((L4+L5)/2)*(($E5-$E4)*24*60*60))/1000000</f>
        <v>1708.1251161408</v>
      </c>
      <c r="Q4" s="11">
        <f aca="true" t="shared" si="6" ref="Q4:Q31">(((M4+M5)/2)*(($E5-$E4)*24*60*60))/1000000</f>
        <v>452.45843177471994</v>
      </c>
      <c r="R4" s="11">
        <f aca="true" t="shared" si="7" ref="R4:R31">(((N4+N5)/2)*(($E5-$E4)*24*60*60))/1000000</f>
        <v>3725.61991808832</v>
      </c>
      <c r="S4" s="11">
        <f aca="true" t="shared" si="8" ref="S4:S31">(((O4+O5)/2)*(($E5-$E4)*24*60*60))/1000000</f>
        <v>200.33452002815997</v>
      </c>
    </row>
    <row r="5" spans="1:19" ht="12.75">
      <c r="A5">
        <v>3</v>
      </c>
      <c r="B5" s="35" t="s">
        <v>156</v>
      </c>
      <c r="C5" s="50">
        <v>37209</v>
      </c>
      <c r="D5" s="10">
        <v>0.4375</v>
      </c>
      <c r="E5" s="4">
        <f>C5-28489</f>
        <v>8720</v>
      </c>
      <c r="F5" s="36">
        <v>369</v>
      </c>
      <c r="G5" s="7">
        <f t="shared" si="0"/>
        <v>10.448972999999999</v>
      </c>
      <c r="H5" s="57">
        <v>67</v>
      </c>
      <c r="I5" s="57">
        <v>16.8</v>
      </c>
      <c r="J5" s="57">
        <v>146.5</v>
      </c>
      <c r="K5" s="39">
        <v>7.9</v>
      </c>
      <c r="L5" s="11">
        <f t="shared" si="1"/>
        <v>700.0811909999999</v>
      </c>
      <c r="M5" s="11">
        <f t="shared" si="2"/>
        <v>175.5427464</v>
      </c>
      <c r="N5" s="11">
        <f t="shared" si="3"/>
        <v>1530.7745444999998</v>
      </c>
      <c r="O5" s="11">
        <f t="shared" si="4"/>
        <v>82.54688669999999</v>
      </c>
      <c r="P5" s="11">
        <f t="shared" si="5"/>
        <v>1654.8163927775995</v>
      </c>
      <c r="Q5" s="11">
        <f t="shared" si="6"/>
        <v>423.67994169695993</v>
      </c>
      <c r="R5" s="11">
        <f t="shared" si="7"/>
        <v>3520.7196168951323</v>
      </c>
      <c r="S5" s="11">
        <f t="shared" si="8"/>
        <v>187.78058357759997</v>
      </c>
    </row>
    <row r="6" spans="1:19" ht="12.75">
      <c r="A6">
        <v>4</v>
      </c>
      <c r="B6" s="1" t="s">
        <v>3</v>
      </c>
      <c r="C6" s="19">
        <v>37235</v>
      </c>
      <c r="D6" s="9">
        <v>0.6041666666666666</v>
      </c>
      <c r="E6" s="4">
        <f aca="true" t="shared" si="9" ref="E6:E32">C6-28489</f>
        <v>8746</v>
      </c>
      <c r="F6" s="6">
        <v>369</v>
      </c>
      <c r="G6" s="7">
        <f t="shared" si="0"/>
        <v>10.448972999999999</v>
      </c>
      <c r="H6" s="57">
        <v>74</v>
      </c>
      <c r="I6" s="57">
        <v>19.3</v>
      </c>
      <c r="J6" s="57">
        <v>153.485828125</v>
      </c>
      <c r="K6" s="39">
        <v>8.1</v>
      </c>
      <c r="L6" s="11">
        <f t="shared" si="1"/>
        <v>773.2240019999999</v>
      </c>
      <c r="M6" s="11">
        <f t="shared" si="2"/>
        <v>201.66517889999997</v>
      </c>
      <c r="N6" s="11">
        <f t="shared" si="3"/>
        <v>1603.7692739607655</v>
      </c>
      <c r="O6" s="11">
        <f t="shared" si="4"/>
        <v>84.63668129999999</v>
      </c>
      <c r="P6" s="11">
        <f t="shared" si="5"/>
        <v>192.4156460592</v>
      </c>
      <c r="Q6" s="11">
        <f t="shared" si="6"/>
        <v>50.76989816543999</v>
      </c>
      <c r="R6" s="11">
        <f t="shared" si="7"/>
        <v>412.4903598453152</v>
      </c>
      <c r="S6" s="11">
        <f t="shared" si="8"/>
        <v>21.703322256479996</v>
      </c>
    </row>
    <row r="7" spans="1:19" ht="12.75">
      <c r="A7">
        <v>5</v>
      </c>
      <c r="B7" s="35" t="s">
        <v>157</v>
      </c>
      <c r="C7" s="50">
        <v>37238</v>
      </c>
      <c r="D7" s="9">
        <v>0.5729166666666666</v>
      </c>
      <c r="E7" s="4">
        <f t="shared" si="9"/>
        <v>8749</v>
      </c>
      <c r="F7" s="37">
        <v>375</v>
      </c>
      <c r="G7" s="7">
        <f t="shared" si="0"/>
        <v>10.618875</v>
      </c>
      <c r="H7" s="57">
        <v>67</v>
      </c>
      <c r="I7" s="57">
        <v>17.9</v>
      </c>
      <c r="J7" s="57">
        <v>148.7</v>
      </c>
      <c r="K7" s="39">
        <v>7.8</v>
      </c>
      <c r="L7" s="11">
        <f t="shared" si="1"/>
        <v>711.464625</v>
      </c>
      <c r="M7" s="11">
        <f t="shared" si="2"/>
        <v>190.07786249999998</v>
      </c>
      <c r="N7" s="11">
        <f t="shared" si="3"/>
        <v>1579.0267124999998</v>
      </c>
      <c r="O7" s="11">
        <f t="shared" si="4"/>
        <v>82.827225</v>
      </c>
      <c r="P7" s="11">
        <f t="shared" si="5"/>
        <v>2148.68603124</v>
      </c>
      <c r="Q7" s="11">
        <f t="shared" si="6"/>
        <v>547.9716682439999</v>
      </c>
      <c r="R7" s="11">
        <f t="shared" si="7"/>
        <v>4720.61723457966</v>
      </c>
      <c r="S7" s="11">
        <f t="shared" si="8"/>
        <v>246.32500697279997</v>
      </c>
    </row>
    <row r="8" spans="1:19" ht="12.75">
      <c r="A8">
        <v>6</v>
      </c>
      <c r="B8" s="1" t="s">
        <v>4</v>
      </c>
      <c r="C8" s="19">
        <v>37273</v>
      </c>
      <c r="D8" s="10">
        <v>0.5833333333333334</v>
      </c>
      <c r="E8" s="4">
        <f t="shared" si="9"/>
        <v>8784</v>
      </c>
      <c r="F8" s="6">
        <v>358</v>
      </c>
      <c r="G8" s="7">
        <f t="shared" si="0"/>
        <v>10.137485999999999</v>
      </c>
      <c r="H8" s="57">
        <v>70</v>
      </c>
      <c r="I8" s="57">
        <v>17</v>
      </c>
      <c r="J8" s="57">
        <v>152.2147239583333</v>
      </c>
      <c r="K8" s="39">
        <v>7.9</v>
      </c>
      <c r="L8" s="11">
        <f t="shared" si="1"/>
        <v>709.62402</v>
      </c>
      <c r="M8" s="11">
        <f t="shared" si="2"/>
        <v>172.33726199999998</v>
      </c>
      <c r="N8" s="11">
        <f t="shared" si="3"/>
        <v>1543.0746331214684</v>
      </c>
      <c r="O8" s="11">
        <f t="shared" si="4"/>
        <v>80.0861394</v>
      </c>
      <c r="P8" s="11">
        <f t="shared" si="5"/>
        <v>1793.6529674111998</v>
      </c>
      <c r="Q8" s="11">
        <f t="shared" si="6"/>
        <v>435.96255144959997</v>
      </c>
      <c r="R8" s="11">
        <f t="shared" si="7"/>
        <v>3846.586350954557</v>
      </c>
      <c r="S8" s="11">
        <f t="shared" si="8"/>
        <v>197.98481614464</v>
      </c>
    </row>
    <row r="9" spans="1:19" ht="12.75">
      <c r="A9">
        <v>7</v>
      </c>
      <c r="B9" s="1" t="s">
        <v>5</v>
      </c>
      <c r="C9" s="19">
        <v>37301</v>
      </c>
      <c r="D9" s="10">
        <v>0.5625</v>
      </c>
      <c r="E9" s="4">
        <f t="shared" si="9"/>
        <v>8812</v>
      </c>
      <c r="F9" s="6">
        <v>369</v>
      </c>
      <c r="G9" s="7">
        <f t="shared" si="0"/>
        <v>10.448972999999999</v>
      </c>
      <c r="H9" s="57">
        <v>74</v>
      </c>
      <c r="I9" s="57">
        <v>18</v>
      </c>
      <c r="J9" s="57">
        <v>156.66358854166668</v>
      </c>
      <c r="K9" s="39">
        <v>8</v>
      </c>
      <c r="L9" s="11">
        <f t="shared" si="1"/>
        <v>773.2240019999999</v>
      </c>
      <c r="M9" s="11">
        <f t="shared" si="2"/>
        <v>188.08151399999997</v>
      </c>
      <c r="N9" s="11">
        <f t="shared" si="3"/>
        <v>1636.9736067549843</v>
      </c>
      <c r="O9" s="11">
        <f t="shared" si="4"/>
        <v>83.59178399999999</v>
      </c>
      <c r="P9" s="11">
        <f t="shared" si="5"/>
        <v>1407.3304794192</v>
      </c>
      <c r="Q9" s="11">
        <f t="shared" si="6"/>
        <v>349.57839409919995</v>
      </c>
      <c r="R9" s="11">
        <f t="shared" si="7"/>
        <v>2969.904500115432</v>
      </c>
      <c r="S9" s="11">
        <f t="shared" si="8"/>
        <v>153.37983243743997</v>
      </c>
    </row>
    <row r="10" spans="1:19" ht="12.75">
      <c r="A10">
        <v>8</v>
      </c>
      <c r="B10" s="1" t="s">
        <v>6</v>
      </c>
      <c r="C10" s="19">
        <v>37322</v>
      </c>
      <c r="D10" s="10">
        <v>0.6354166666666666</v>
      </c>
      <c r="E10" s="4">
        <f t="shared" si="9"/>
        <v>8833</v>
      </c>
      <c r="F10" s="6">
        <v>387</v>
      </c>
      <c r="G10" s="7">
        <f t="shared" si="0"/>
        <v>10.958679</v>
      </c>
      <c r="H10" s="57">
        <v>71</v>
      </c>
      <c r="I10" s="57">
        <v>18</v>
      </c>
      <c r="J10" s="57">
        <v>149.35473958333333</v>
      </c>
      <c r="K10" s="39">
        <v>7.8</v>
      </c>
      <c r="L10" s="11">
        <f t="shared" si="1"/>
        <v>778.066209</v>
      </c>
      <c r="M10" s="11">
        <f t="shared" si="2"/>
        <v>197.256222</v>
      </c>
      <c r="N10" s="11">
        <f t="shared" si="3"/>
        <v>1636.7306482223437</v>
      </c>
      <c r="O10" s="11">
        <f t="shared" si="4"/>
        <v>85.4776962</v>
      </c>
      <c r="P10" s="11">
        <f t="shared" si="5"/>
        <v>489.76426245600004</v>
      </c>
      <c r="Q10" s="11">
        <f t="shared" si="6"/>
        <v>124.90080482879999</v>
      </c>
      <c r="R10" s="11">
        <f t="shared" si="7"/>
        <v>1003.9928994101176</v>
      </c>
      <c r="S10" s="11">
        <f t="shared" si="8"/>
        <v>52.60116988223999</v>
      </c>
    </row>
    <row r="11" spans="1:19" ht="12.75">
      <c r="A11">
        <v>9</v>
      </c>
      <c r="B11" s="1" t="s">
        <v>7</v>
      </c>
      <c r="C11" s="19">
        <v>37329</v>
      </c>
      <c r="D11" s="10">
        <v>0.5208333333333334</v>
      </c>
      <c r="E11" s="4">
        <f t="shared" si="9"/>
        <v>8840</v>
      </c>
      <c r="F11" s="6">
        <v>381</v>
      </c>
      <c r="G11" s="7">
        <f t="shared" si="0"/>
        <v>10.788777</v>
      </c>
      <c r="H11" s="57">
        <v>78</v>
      </c>
      <c r="I11" s="57">
        <v>20</v>
      </c>
      <c r="J11" s="57">
        <v>156.02803645833336</v>
      </c>
      <c r="K11" s="39">
        <v>8.2</v>
      </c>
      <c r="L11" s="11">
        <f t="shared" si="1"/>
        <v>841.524606</v>
      </c>
      <c r="M11" s="11">
        <f t="shared" si="2"/>
        <v>215.77553999999998</v>
      </c>
      <c r="N11" s="11">
        <f t="shared" si="3"/>
        <v>1683.3516910968283</v>
      </c>
      <c r="O11" s="11">
        <f t="shared" si="4"/>
        <v>88.4679714</v>
      </c>
      <c r="P11" s="11">
        <f t="shared" si="5"/>
        <v>407.3129966016</v>
      </c>
      <c r="Q11" s="11">
        <f t="shared" si="6"/>
        <v>103.22647464959998</v>
      </c>
      <c r="R11" s="11">
        <f t="shared" si="7"/>
        <v>840.464702662279</v>
      </c>
      <c r="S11" s="11">
        <f t="shared" si="8"/>
        <v>43.95198915647999</v>
      </c>
    </row>
    <row r="12" spans="1:19" ht="12.75">
      <c r="A12">
        <v>10</v>
      </c>
      <c r="B12" s="1" t="s">
        <v>8</v>
      </c>
      <c r="C12" s="19">
        <v>37335</v>
      </c>
      <c r="D12" s="10">
        <v>0.5347222222222222</v>
      </c>
      <c r="E12" s="4">
        <f t="shared" si="9"/>
        <v>8846</v>
      </c>
      <c r="F12" s="6">
        <v>358</v>
      </c>
      <c r="G12" s="7">
        <f t="shared" si="0"/>
        <v>10.137485999999999</v>
      </c>
      <c r="H12" s="57">
        <v>72</v>
      </c>
      <c r="I12" s="57">
        <v>18</v>
      </c>
      <c r="J12" s="57">
        <v>153.80360416666664</v>
      </c>
      <c r="K12" s="39">
        <v>8</v>
      </c>
      <c r="L12" s="11">
        <f t="shared" si="1"/>
        <v>729.8989919999999</v>
      </c>
      <c r="M12" s="11">
        <f t="shared" si="2"/>
        <v>182.47474799999998</v>
      </c>
      <c r="N12" s="11">
        <f t="shared" si="3"/>
        <v>1559.1818839891246</v>
      </c>
      <c r="O12" s="11">
        <f t="shared" si="4"/>
        <v>81.09988799999999</v>
      </c>
      <c r="P12" s="11">
        <f t="shared" si="5"/>
        <v>1419.5842194239997</v>
      </c>
      <c r="Q12" s="11">
        <f t="shared" si="6"/>
        <v>393.96930128639997</v>
      </c>
      <c r="R12" s="11">
        <f t="shared" si="7"/>
        <v>3022.909499797267</v>
      </c>
      <c r="S12" s="11">
        <f t="shared" si="8"/>
        <v>157.731579936</v>
      </c>
    </row>
    <row r="13" spans="1:19" ht="12.75">
      <c r="A13">
        <v>11</v>
      </c>
      <c r="B13" s="1" t="s">
        <v>9</v>
      </c>
      <c r="C13" s="19">
        <v>37356</v>
      </c>
      <c r="D13" s="10">
        <v>0.3125</v>
      </c>
      <c r="E13" s="4">
        <f t="shared" si="9"/>
        <v>8867</v>
      </c>
      <c r="F13" s="6">
        <v>468</v>
      </c>
      <c r="G13" s="7">
        <f t="shared" si="0"/>
        <v>13.252355999999999</v>
      </c>
      <c r="H13" s="57">
        <v>63</v>
      </c>
      <c r="I13" s="57">
        <v>19</v>
      </c>
      <c r="J13" s="57">
        <v>133.78371354166669</v>
      </c>
      <c r="K13" s="39">
        <v>7</v>
      </c>
      <c r="L13" s="11">
        <f t="shared" si="1"/>
        <v>834.898428</v>
      </c>
      <c r="M13" s="11">
        <f t="shared" si="2"/>
        <v>251.794764</v>
      </c>
      <c r="N13" s="11">
        <f t="shared" si="3"/>
        <v>1772.9493988561876</v>
      </c>
      <c r="O13" s="11">
        <f t="shared" si="4"/>
        <v>92.766492</v>
      </c>
      <c r="P13" s="11">
        <f t="shared" si="5"/>
        <v>640.2771821376</v>
      </c>
      <c r="Q13" s="11">
        <f t="shared" si="6"/>
        <v>191.6119416384</v>
      </c>
      <c r="R13" s="11">
        <f t="shared" si="7"/>
        <v>1357.024086813817</v>
      </c>
      <c r="S13" s="11">
        <f t="shared" si="8"/>
        <v>71.58033783936</v>
      </c>
    </row>
    <row r="14" spans="1:19" ht="12.75">
      <c r="A14">
        <v>12</v>
      </c>
      <c r="B14" s="1" t="s">
        <v>10</v>
      </c>
      <c r="C14" s="19">
        <v>37365</v>
      </c>
      <c r="D14" s="10">
        <v>0.5625</v>
      </c>
      <c r="E14" s="4">
        <f t="shared" si="9"/>
        <v>8876</v>
      </c>
      <c r="F14" s="6">
        <v>448</v>
      </c>
      <c r="G14" s="7">
        <f t="shared" si="0"/>
        <v>12.686015999999999</v>
      </c>
      <c r="H14" s="57">
        <v>64</v>
      </c>
      <c r="I14" s="57">
        <v>19</v>
      </c>
      <c r="J14" s="57">
        <v>135.37259375</v>
      </c>
      <c r="K14" s="39">
        <v>7.2</v>
      </c>
      <c r="L14" s="11">
        <f t="shared" si="1"/>
        <v>811.9050239999999</v>
      </c>
      <c r="M14" s="11">
        <f t="shared" si="2"/>
        <v>241.03430399999996</v>
      </c>
      <c r="N14" s="11">
        <f t="shared" si="3"/>
        <v>1717.3388902739998</v>
      </c>
      <c r="O14" s="11">
        <f t="shared" si="4"/>
        <v>91.33931519999999</v>
      </c>
      <c r="P14" s="11">
        <f t="shared" si="5"/>
        <v>409.14793820159997</v>
      </c>
      <c r="Q14" s="11">
        <f t="shared" si="6"/>
        <v>118.3610729664</v>
      </c>
      <c r="R14" s="11">
        <f t="shared" si="7"/>
        <v>886.1471265371523</v>
      </c>
      <c r="S14" s="11">
        <f t="shared" si="8"/>
        <v>46.02914304767999</v>
      </c>
    </row>
    <row r="15" spans="1:19" ht="12.75">
      <c r="A15">
        <v>13</v>
      </c>
      <c r="B15" s="1" t="s">
        <v>11</v>
      </c>
      <c r="C15" s="19">
        <v>37371</v>
      </c>
      <c r="D15" s="10">
        <v>0.5104166666666666</v>
      </c>
      <c r="E15" s="4">
        <f t="shared" si="9"/>
        <v>8882</v>
      </c>
      <c r="F15" s="6">
        <v>423</v>
      </c>
      <c r="G15" s="7">
        <f t="shared" si="0"/>
        <v>11.978091</v>
      </c>
      <c r="H15" s="57">
        <v>64</v>
      </c>
      <c r="I15" s="57">
        <v>18</v>
      </c>
      <c r="J15" s="57">
        <v>142.04589062500003</v>
      </c>
      <c r="K15" s="39">
        <v>7.2</v>
      </c>
      <c r="L15" s="11">
        <f t="shared" si="1"/>
        <v>766.597824</v>
      </c>
      <c r="M15" s="11">
        <f t="shared" si="2"/>
        <v>215.605638</v>
      </c>
      <c r="N15" s="11">
        <f t="shared" si="3"/>
        <v>1701.4386040822972</v>
      </c>
      <c r="O15" s="11">
        <f t="shared" si="4"/>
        <v>86.2422552</v>
      </c>
      <c r="P15" s="11">
        <f t="shared" si="5"/>
        <v>475.9862976288</v>
      </c>
      <c r="Q15" s="11">
        <f t="shared" si="6"/>
        <v>138.9099722976</v>
      </c>
      <c r="R15" s="11">
        <f t="shared" si="7"/>
        <v>1044.4725120836115</v>
      </c>
      <c r="S15" s="11">
        <f t="shared" si="8"/>
        <v>54.64260357696</v>
      </c>
    </row>
    <row r="16" spans="1:19" ht="12.75">
      <c r="A16">
        <v>14</v>
      </c>
      <c r="B16" s="1" t="s">
        <v>12</v>
      </c>
      <c r="C16" s="19">
        <v>37378</v>
      </c>
      <c r="D16" s="10">
        <v>0.6041666666666666</v>
      </c>
      <c r="E16" s="4">
        <f t="shared" si="9"/>
        <v>8889</v>
      </c>
      <c r="F16" s="6">
        <v>538</v>
      </c>
      <c r="G16" s="7">
        <f t="shared" si="0"/>
        <v>15.234546</v>
      </c>
      <c r="H16" s="57">
        <v>53</v>
      </c>
      <c r="I16" s="57">
        <v>16</v>
      </c>
      <c r="J16" s="57">
        <v>115.03492708333333</v>
      </c>
      <c r="K16" s="39">
        <v>6.2</v>
      </c>
      <c r="L16" s="11">
        <f t="shared" si="1"/>
        <v>807.430938</v>
      </c>
      <c r="M16" s="11">
        <f t="shared" si="2"/>
        <v>243.752736</v>
      </c>
      <c r="N16" s="11">
        <f t="shared" si="3"/>
        <v>1752.5048882576875</v>
      </c>
      <c r="O16" s="11">
        <f t="shared" si="4"/>
        <v>94.4541852</v>
      </c>
      <c r="P16" s="11">
        <f t="shared" si="5"/>
        <v>395.65744755839995</v>
      </c>
      <c r="Q16" s="11">
        <f t="shared" si="6"/>
        <v>123.9539749632</v>
      </c>
      <c r="R16" s="11">
        <f t="shared" si="7"/>
        <v>891.9944581339207</v>
      </c>
      <c r="S16" s="11">
        <f t="shared" si="8"/>
        <v>46.36090048896</v>
      </c>
    </row>
    <row r="17" spans="1:19" ht="12.75">
      <c r="A17">
        <v>15</v>
      </c>
      <c r="B17" s="1" t="s">
        <v>13</v>
      </c>
      <c r="C17" s="19">
        <v>37384</v>
      </c>
      <c r="D17" s="10">
        <v>0.625</v>
      </c>
      <c r="E17" s="4">
        <f t="shared" si="9"/>
        <v>8895</v>
      </c>
      <c r="F17" s="6">
        <v>552</v>
      </c>
      <c r="G17" s="7">
        <f t="shared" si="0"/>
        <v>15.630984</v>
      </c>
      <c r="H17" s="57">
        <v>46</v>
      </c>
      <c r="I17" s="57">
        <v>15</v>
      </c>
      <c r="J17" s="57">
        <v>108.04385416666669</v>
      </c>
      <c r="K17" s="39">
        <v>5.4</v>
      </c>
      <c r="L17" s="11">
        <f t="shared" si="1"/>
        <v>719.025264</v>
      </c>
      <c r="M17" s="11">
        <f t="shared" si="2"/>
        <v>234.46475999999998</v>
      </c>
      <c r="N17" s="11">
        <f t="shared" si="3"/>
        <v>1688.8317557775003</v>
      </c>
      <c r="O17" s="11">
        <f t="shared" si="4"/>
        <v>84.40731360000001</v>
      </c>
      <c r="P17" s="11">
        <f t="shared" si="5"/>
        <v>421.14845626560003</v>
      </c>
      <c r="Q17" s="11">
        <f t="shared" si="6"/>
        <v>145.59772278239998</v>
      </c>
      <c r="R17" s="11">
        <f t="shared" si="7"/>
        <v>1015.6420807663443</v>
      </c>
      <c r="S17" s="11">
        <f t="shared" si="8"/>
        <v>51.328699047360004</v>
      </c>
    </row>
    <row r="18" spans="1:19" ht="12.75">
      <c r="A18">
        <v>16</v>
      </c>
      <c r="B18" s="1" t="s">
        <v>14</v>
      </c>
      <c r="C18" s="19">
        <v>37391</v>
      </c>
      <c r="D18" s="10">
        <v>0.8125</v>
      </c>
      <c r="E18" s="4">
        <f t="shared" si="9"/>
        <v>8902</v>
      </c>
      <c r="F18" s="6">
        <v>793</v>
      </c>
      <c r="G18" s="7">
        <f t="shared" si="0"/>
        <v>22.455381</v>
      </c>
      <c r="H18" s="57">
        <v>30</v>
      </c>
      <c r="I18" s="57">
        <v>11</v>
      </c>
      <c r="J18" s="57">
        <v>74.35959375</v>
      </c>
      <c r="K18" s="39">
        <v>3.8</v>
      </c>
      <c r="L18" s="11">
        <f t="shared" si="1"/>
        <v>673.66143</v>
      </c>
      <c r="M18" s="11">
        <f t="shared" si="2"/>
        <v>247.009191</v>
      </c>
      <c r="N18" s="11">
        <f t="shared" si="3"/>
        <v>1669.7730086614688</v>
      </c>
      <c r="O18" s="11">
        <f t="shared" si="4"/>
        <v>85.33044779999999</v>
      </c>
      <c r="P18" s="11">
        <f t="shared" si="5"/>
        <v>439.798802688</v>
      </c>
      <c r="Q18" s="11">
        <f t="shared" si="6"/>
        <v>161.25956098560002</v>
      </c>
      <c r="R18" s="11">
        <f t="shared" si="7"/>
        <v>1095.1101238233964</v>
      </c>
      <c r="S18" s="11">
        <f t="shared" si="8"/>
        <v>55.70784834047999</v>
      </c>
    </row>
    <row r="19" spans="1:19" ht="12.75">
      <c r="A19">
        <v>17</v>
      </c>
      <c r="B19" s="1" t="s">
        <v>15</v>
      </c>
      <c r="C19" s="19">
        <v>37398</v>
      </c>
      <c r="D19" s="9">
        <v>0.4166666666666667</v>
      </c>
      <c r="E19" s="4">
        <f t="shared" si="9"/>
        <v>8909</v>
      </c>
      <c r="F19" s="6">
        <v>919</v>
      </c>
      <c r="G19" s="7">
        <f t="shared" si="0"/>
        <v>26.023322999999998</v>
      </c>
      <c r="H19" s="57">
        <v>30</v>
      </c>
      <c r="I19" s="57">
        <v>11</v>
      </c>
      <c r="J19" s="57">
        <v>74.99514583333332</v>
      </c>
      <c r="K19" s="39">
        <v>3.8</v>
      </c>
      <c r="L19" s="11">
        <f t="shared" si="1"/>
        <v>780.6996899999999</v>
      </c>
      <c r="M19" s="11">
        <f t="shared" si="2"/>
        <v>286.256553</v>
      </c>
      <c r="N19" s="11">
        <f t="shared" si="3"/>
        <v>1951.6229034529372</v>
      </c>
      <c r="O19" s="11">
        <f t="shared" si="4"/>
        <v>98.88862739999999</v>
      </c>
      <c r="P19" s="11">
        <f t="shared" si="5"/>
        <v>504.05601093120003</v>
      </c>
      <c r="Q19" s="11">
        <f t="shared" si="6"/>
        <v>172.1322016128</v>
      </c>
      <c r="R19" s="11">
        <f t="shared" si="7"/>
        <v>1283.940605260908</v>
      </c>
      <c r="S19" s="11">
        <f t="shared" si="8"/>
        <v>64.92072312575999</v>
      </c>
    </row>
    <row r="20" spans="1:19" ht="12.75">
      <c r="A20">
        <v>18</v>
      </c>
      <c r="B20" s="1" t="s">
        <v>16</v>
      </c>
      <c r="C20" s="19">
        <v>37406</v>
      </c>
      <c r="D20" s="10">
        <v>0.7465277777777778</v>
      </c>
      <c r="E20" s="4">
        <f t="shared" si="9"/>
        <v>8917</v>
      </c>
      <c r="F20" s="6">
        <v>748</v>
      </c>
      <c r="G20" s="7">
        <f t="shared" si="0"/>
        <v>21.181116</v>
      </c>
      <c r="H20" s="57">
        <v>32</v>
      </c>
      <c r="I20" s="57">
        <v>10</v>
      </c>
      <c r="J20" s="57">
        <v>83.25732291666667</v>
      </c>
      <c r="K20" s="39">
        <v>4.2</v>
      </c>
      <c r="L20" s="11">
        <f t="shared" si="1"/>
        <v>677.795712</v>
      </c>
      <c r="M20" s="11">
        <f t="shared" si="2"/>
        <v>211.81116</v>
      </c>
      <c r="N20" s="11">
        <f t="shared" si="3"/>
        <v>1763.483014547375</v>
      </c>
      <c r="O20" s="11">
        <f t="shared" si="4"/>
        <v>88.9606872</v>
      </c>
      <c r="P20" s="11">
        <f t="shared" si="5"/>
        <v>303.82963012799996</v>
      </c>
      <c r="Q20" s="11">
        <f t="shared" si="6"/>
        <v>92.0529036</v>
      </c>
      <c r="R20" s="11">
        <f t="shared" si="7"/>
        <v>779.6500439072433</v>
      </c>
      <c r="S20" s="11">
        <f t="shared" si="8"/>
        <v>40.0512703032</v>
      </c>
    </row>
    <row r="21" spans="1:19" ht="12.75">
      <c r="A21">
        <v>19</v>
      </c>
      <c r="B21" s="1" t="s">
        <v>17</v>
      </c>
      <c r="C21" s="19">
        <v>37411</v>
      </c>
      <c r="D21" s="10">
        <v>0.6041666666666666</v>
      </c>
      <c r="E21" s="4">
        <f t="shared" si="9"/>
        <v>8922</v>
      </c>
      <c r="F21" s="6">
        <v>757</v>
      </c>
      <c r="G21" s="7">
        <f t="shared" si="0"/>
        <v>21.435969</v>
      </c>
      <c r="H21" s="57">
        <v>34</v>
      </c>
      <c r="I21" s="57">
        <v>10</v>
      </c>
      <c r="J21" s="57">
        <v>86.11730729166666</v>
      </c>
      <c r="K21" s="39">
        <v>4.5</v>
      </c>
      <c r="L21" s="11">
        <f t="shared" si="1"/>
        <v>728.822946</v>
      </c>
      <c r="M21" s="11">
        <f t="shared" si="2"/>
        <v>214.35969</v>
      </c>
      <c r="N21" s="11">
        <f t="shared" si="3"/>
        <v>1846.0079294676405</v>
      </c>
      <c r="O21" s="11">
        <f t="shared" si="4"/>
        <v>96.4618605</v>
      </c>
      <c r="P21" s="11">
        <f t="shared" si="5"/>
        <v>525.3609062016</v>
      </c>
      <c r="Q21" s="11">
        <f t="shared" si="6"/>
        <v>147.01062781439998</v>
      </c>
      <c r="R21" s="11">
        <f t="shared" si="7"/>
        <v>1265.6296953065016</v>
      </c>
      <c r="S21" s="11">
        <f t="shared" si="8"/>
        <v>66.76251517440001</v>
      </c>
    </row>
    <row r="22" spans="1:19" ht="12.75">
      <c r="A22">
        <v>20</v>
      </c>
      <c r="B22" s="1" t="s">
        <v>18</v>
      </c>
      <c r="C22" s="19">
        <v>37419</v>
      </c>
      <c r="D22" s="10">
        <v>0.375</v>
      </c>
      <c r="E22" s="4">
        <f t="shared" si="9"/>
        <v>8930</v>
      </c>
      <c r="F22" s="6">
        <v>621</v>
      </c>
      <c r="G22" s="7">
        <f t="shared" si="0"/>
        <v>17.584857</v>
      </c>
      <c r="H22" s="57">
        <v>45</v>
      </c>
      <c r="I22" s="57">
        <v>12</v>
      </c>
      <c r="J22" s="57">
        <v>103.27721354166667</v>
      </c>
      <c r="K22" s="39">
        <v>5.5</v>
      </c>
      <c r="L22" s="11">
        <f t="shared" si="1"/>
        <v>791.318565</v>
      </c>
      <c r="M22" s="11">
        <f t="shared" si="2"/>
        <v>211.018284</v>
      </c>
      <c r="N22" s="11">
        <f t="shared" si="3"/>
        <v>1816.1150314886718</v>
      </c>
      <c r="O22" s="11">
        <f t="shared" si="4"/>
        <v>96.7167135</v>
      </c>
      <c r="P22" s="11">
        <f t="shared" si="5"/>
        <v>64.7037106992</v>
      </c>
      <c r="Q22" s="11">
        <f t="shared" si="6"/>
        <v>17.4392849664</v>
      </c>
      <c r="R22" s="11">
        <f t="shared" si="7"/>
        <v>151.1921230281304</v>
      </c>
      <c r="S22" s="11">
        <f t="shared" si="8"/>
        <v>7.923644817119999</v>
      </c>
    </row>
    <row r="23" spans="1:19" ht="12.75">
      <c r="A23">
        <v>21</v>
      </c>
      <c r="B23" s="1" t="s">
        <v>19</v>
      </c>
      <c r="C23" s="19">
        <v>37420</v>
      </c>
      <c r="D23" s="10">
        <v>0.5729166666666666</v>
      </c>
      <c r="E23" s="4">
        <f t="shared" si="9"/>
        <v>8931</v>
      </c>
      <c r="F23" s="6">
        <v>567</v>
      </c>
      <c r="G23" s="7">
        <f t="shared" si="0"/>
        <v>16.055739</v>
      </c>
      <c r="H23" s="57">
        <v>44</v>
      </c>
      <c r="I23" s="57">
        <v>12</v>
      </c>
      <c r="J23" s="57">
        <v>104.86609375</v>
      </c>
      <c r="K23" s="39">
        <v>5.4</v>
      </c>
      <c r="L23" s="11">
        <f t="shared" si="1"/>
        <v>706.452516</v>
      </c>
      <c r="M23" s="11">
        <f t="shared" si="2"/>
        <v>192.66886799999997</v>
      </c>
      <c r="N23" s="11">
        <f t="shared" si="3"/>
        <v>1683.7026311995312</v>
      </c>
      <c r="O23" s="11">
        <f t="shared" si="4"/>
        <v>86.7009906</v>
      </c>
      <c r="P23" s="11">
        <f t="shared" si="5"/>
        <v>773.0046245375999</v>
      </c>
      <c r="Q23" s="11">
        <f t="shared" si="6"/>
        <v>202.26805915679998</v>
      </c>
      <c r="R23" s="11">
        <f t="shared" si="7"/>
        <v>1856.113780634363</v>
      </c>
      <c r="S23" s="11">
        <f t="shared" si="8"/>
        <v>94.27673048976</v>
      </c>
    </row>
    <row r="24" spans="1:19" ht="12.75">
      <c r="A24">
        <v>22</v>
      </c>
      <c r="B24" s="1" t="s">
        <v>20</v>
      </c>
      <c r="C24" s="19">
        <v>37433</v>
      </c>
      <c r="D24" s="10">
        <v>0.6145833333333334</v>
      </c>
      <c r="E24" s="4">
        <f t="shared" si="9"/>
        <v>8944</v>
      </c>
      <c r="F24" s="6">
        <v>455</v>
      </c>
      <c r="G24" s="7">
        <f t="shared" si="0"/>
        <v>12.884234999999999</v>
      </c>
      <c r="H24" s="57">
        <v>52</v>
      </c>
      <c r="I24" s="57">
        <v>13</v>
      </c>
      <c r="J24" s="57">
        <v>125.83931249999999</v>
      </c>
      <c r="K24" s="39">
        <v>6.3</v>
      </c>
      <c r="L24" s="11">
        <f t="shared" si="1"/>
        <v>669.9802199999999</v>
      </c>
      <c r="M24" s="11">
        <f t="shared" si="2"/>
        <v>167.49505499999998</v>
      </c>
      <c r="N24" s="11">
        <f t="shared" si="3"/>
        <v>1621.3432744884371</v>
      </c>
      <c r="O24" s="11">
        <f t="shared" si="4"/>
        <v>81.17068049999999</v>
      </c>
      <c r="P24" s="11">
        <f t="shared" si="5"/>
        <v>396.81223747199994</v>
      </c>
      <c r="Q24" s="11">
        <f t="shared" si="6"/>
        <v>95.73501974399998</v>
      </c>
      <c r="R24" s="11">
        <f t="shared" si="7"/>
        <v>960.8737852380161</v>
      </c>
      <c r="S24" s="11">
        <f t="shared" si="8"/>
        <v>48.475487188799995</v>
      </c>
    </row>
    <row r="25" spans="1:19" ht="12.75">
      <c r="A25">
        <v>23</v>
      </c>
      <c r="B25" s="1" t="s">
        <v>21</v>
      </c>
      <c r="C25" s="19">
        <v>37440</v>
      </c>
      <c r="D25" s="10">
        <v>0.3020833333333333</v>
      </c>
      <c r="E25" s="4">
        <f t="shared" si="9"/>
        <v>8951</v>
      </c>
      <c r="F25" s="6">
        <v>405</v>
      </c>
      <c r="G25" s="7">
        <f t="shared" si="0"/>
        <v>11.468385</v>
      </c>
      <c r="H25" s="57">
        <v>56</v>
      </c>
      <c r="I25" s="57">
        <v>13</v>
      </c>
      <c r="J25" s="57">
        <v>135.69036979166668</v>
      </c>
      <c r="K25" s="39">
        <v>6.9</v>
      </c>
      <c r="L25" s="11">
        <f t="shared" si="1"/>
        <v>642.22956</v>
      </c>
      <c r="M25" s="11">
        <f t="shared" si="2"/>
        <v>149.089005</v>
      </c>
      <c r="N25" s="11">
        <f t="shared" si="3"/>
        <v>1556.1494015632034</v>
      </c>
      <c r="O25" s="11">
        <f t="shared" si="4"/>
        <v>79.1318565</v>
      </c>
      <c r="P25" s="11">
        <f t="shared" si="5"/>
        <v>729.9397684800001</v>
      </c>
      <c r="Q25" s="11">
        <f t="shared" si="6"/>
        <v>163.7355088512</v>
      </c>
      <c r="R25" s="11">
        <f t="shared" si="7"/>
        <v>1754.0070558726838</v>
      </c>
      <c r="S25" s="11">
        <f t="shared" si="8"/>
        <v>89.36752773312001</v>
      </c>
    </row>
    <row r="26" spans="1:19" ht="12.75">
      <c r="A26">
        <v>24</v>
      </c>
      <c r="B26" s="1" t="s">
        <v>22</v>
      </c>
      <c r="C26" s="19">
        <v>37453</v>
      </c>
      <c r="D26" s="10">
        <v>0.5</v>
      </c>
      <c r="E26" s="4">
        <f t="shared" si="9"/>
        <v>8964</v>
      </c>
      <c r="F26" s="6">
        <v>387</v>
      </c>
      <c r="G26" s="7">
        <f t="shared" si="0"/>
        <v>10.958679</v>
      </c>
      <c r="H26" s="57">
        <v>60</v>
      </c>
      <c r="I26" s="57">
        <v>13</v>
      </c>
      <c r="J26" s="57">
        <v>142.99921874999998</v>
      </c>
      <c r="K26" s="39">
        <v>7.3</v>
      </c>
      <c r="L26" s="11">
        <f t="shared" si="1"/>
        <v>657.52074</v>
      </c>
      <c r="M26" s="11">
        <f t="shared" si="2"/>
        <v>142.462827</v>
      </c>
      <c r="N26" s="11">
        <f t="shared" si="3"/>
        <v>1567.082535532031</v>
      </c>
      <c r="O26" s="11">
        <f t="shared" si="4"/>
        <v>79.9983567</v>
      </c>
      <c r="P26" s="11">
        <f t="shared" si="5"/>
        <v>450.955247616</v>
      </c>
      <c r="Q26" s="11">
        <f t="shared" si="6"/>
        <v>101.43557164800002</v>
      </c>
      <c r="R26" s="11">
        <f t="shared" si="7"/>
        <v>1087.8042635634797</v>
      </c>
      <c r="S26" s="11">
        <f t="shared" si="8"/>
        <v>54.86622179327999</v>
      </c>
    </row>
    <row r="27" spans="1:19" ht="12.75">
      <c r="A27">
        <v>25</v>
      </c>
      <c r="B27" s="1" t="s">
        <v>23</v>
      </c>
      <c r="C27" s="19">
        <v>37461</v>
      </c>
      <c r="D27" s="10">
        <v>0.2708333333333333</v>
      </c>
      <c r="E27" s="4">
        <f t="shared" si="9"/>
        <v>8972</v>
      </c>
      <c r="F27" s="6">
        <v>381</v>
      </c>
      <c r="G27" s="7">
        <f t="shared" si="0"/>
        <v>10.788777</v>
      </c>
      <c r="H27" s="57">
        <v>60</v>
      </c>
      <c r="I27" s="57">
        <v>14</v>
      </c>
      <c r="J27" s="57">
        <v>146.49475520833334</v>
      </c>
      <c r="K27" s="39">
        <v>7.3</v>
      </c>
      <c r="L27" s="11">
        <f t="shared" si="1"/>
        <v>647.3266199999999</v>
      </c>
      <c r="M27" s="11">
        <f t="shared" si="2"/>
        <v>151.042878</v>
      </c>
      <c r="N27" s="11">
        <f t="shared" si="3"/>
        <v>1580.499245612297</v>
      </c>
      <c r="O27" s="11">
        <f t="shared" si="4"/>
        <v>78.75807209999999</v>
      </c>
      <c r="P27" s="11">
        <f t="shared" si="5"/>
        <v>391.50313977599995</v>
      </c>
      <c r="Q27" s="11">
        <f t="shared" si="6"/>
        <v>94.61325877920001</v>
      </c>
      <c r="R27" s="11">
        <f t="shared" si="7"/>
        <v>954.8491910958331</v>
      </c>
      <c r="S27" s="11">
        <f t="shared" si="8"/>
        <v>47.95913462256</v>
      </c>
    </row>
    <row r="28" spans="1:19" ht="12.75">
      <c r="A28">
        <v>26</v>
      </c>
      <c r="B28" s="1" t="s">
        <v>24</v>
      </c>
      <c r="C28" s="19">
        <v>37468</v>
      </c>
      <c r="D28" s="10">
        <v>0.3090277777777778</v>
      </c>
      <c r="E28" s="4">
        <f t="shared" si="9"/>
        <v>8979</v>
      </c>
      <c r="F28" s="6">
        <v>381</v>
      </c>
      <c r="G28" s="7">
        <f t="shared" si="0"/>
        <v>10.788777</v>
      </c>
      <c r="H28" s="57">
        <v>60</v>
      </c>
      <c r="I28" s="57">
        <v>15</v>
      </c>
      <c r="J28" s="57">
        <v>146.17697916666668</v>
      </c>
      <c r="K28" s="39">
        <v>7.4</v>
      </c>
      <c r="L28" s="11">
        <f t="shared" si="1"/>
        <v>647.3266199999999</v>
      </c>
      <c r="M28" s="11">
        <f t="shared" si="2"/>
        <v>161.83165499999998</v>
      </c>
      <c r="N28" s="11">
        <f t="shared" si="3"/>
        <v>1577.0708307628126</v>
      </c>
      <c r="O28" s="11">
        <f t="shared" si="4"/>
        <v>79.8369498</v>
      </c>
      <c r="P28" s="11">
        <f t="shared" si="5"/>
        <v>783.3145497407999</v>
      </c>
      <c r="Q28" s="11">
        <f t="shared" si="6"/>
        <v>186.34932912959997</v>
      </c>
      <c r="R28" s="11">
        <f t="shared" si="7"/>
        <v>1885.6163324363276</v>
      </c>
      <c r="S28" s="11">
        <f t="shared" si="8"/>
        <v>96.94583654111999</v>
      </c>
    </row>
    <row r="29" spans="1:19" ht="12.75">
      <c r="A29">
        <v>27</v>
      </c>
      <c r="B29" s="1" t="s">
        <v>25</v>
      </c>
      <c r="C29" s="19">
        <v>37482</v>
      </c>
      <c r="D29" s="10">
        <v>0.3576388888888889</v>
      </c>
      <c r="E29" s="4">
        <f t="shared" si="9"/>
        <v>8993</v>
      </c>
      <c r="F29" s="6">
        <v>369</v>
      </c>
      <c r="G29" s="7">
        <f t="shared" si="0"/>
        <v>10.448972999999999</v>
      </c>
      <c r="H29" s="57">
        <v>62</v>
      </c>
      <c r="I29" s="57">
        <v>14</v>
      </c>
      <c r="J29" s="57">
        <v>147.44808333333336</v>
      </c>
      <c r="K29" s="39">
        <v>7.7</v>
      </c>
      <c r="L29" s="11">
        <f t="shared" si="1"/>
        <v>647.8363259999999</v>
      </c>
      <c r="M29" s="11">
        <f t="shared" si="2"/>
        <v>146.285622</v>
      </c>
      <c r="N29" s="11">
        <f t="shared" si="3"/>
        <v>1540.68104165175</v>
      </c>
      <c r="O29" s="11">
        <f t="shared" si="4"/>
        <v>80.4570921</v>
      </c>
      <c r="P29" s="11">
        <f t="shared" si="5"/>
        <v>762.5723698943999</v>
      </c>
      <c r="Q29" s="11">
        <f t="shared" si="6"/>
        <v>170.7645584736</v>
      </c>
      <c r="R29" s="11">
        <f t="shared" si="7"/>
        <v>1782.4028829667634</v>
      </c>
      <c r="S29" s="11">
        <f t="shared" si="8"/>
        <v>92.0217095928</v>
      </c>
    </row>
    <row r="30" spans="1:19" ht="12.75">
      <c r="A30">
        <v>28</v>
      </c>
      <c r="B30" s="1" t="s">
        <v>26</v>
      </c>
      <c r="C30" s="19">
        <v>37495</v>
      </c>
      <c r="D30" s="10">
        <v>0.8333333333333334</v>
      </c>
      <c r="E30" s="4">
        <f t="shared" si="9"/>
        <v>9006</v>
      </c>
      <c r="F30" s="6">
        <v>398</v>
      </c>
      <c r="G30" s="7">
        <f t="shared" si="0"/>
        <v>11.270166</v>
      </c>
      <c r="H30" s="57">
        <v>63</v>
      </c>
      <c r="I30" s="57">
        <v>14</v>
      </c>
      <c r="J30" s="57">
        <v>144.905875</v>
      </c>
      <c r="K30" s="39">
        <v>7.4</v>
      </c>
      <c r="L30" s="11">
        <f t="shared" si="1"/>
        <v>710.020458</v>
      </c>
      <c r="M30" s="11">
        <f t="shared" si="2"/>
        <v>157.782324</v>
      </c>
      <c r="N30" s="11">
        <f t="shared" si="3"/>
        <v>1633.11326562525</v>
      </c>
      <c r="O30" s="11">
        <f t="shared" si="4"/>
        <v>83.3992284</v>
      </c>
      <c r="P30" s="11">
        <f t="shared" si="5"/>
        <v>61.89991993439999</v>
      </c>
      <c r="Q30" s="11">
        <f t="shared" si="6"/>
        <v>15.205549391999998</v>
      </c>
      <c r="R30" s="11">
        <f t="shared" si="7"/>
        <v>139.42049057145292</v>
      </c>
      <c r="S30" s="11">
        <f t="shared" si="8"/>
        <v>7.09841041488</v>
      </c>
    </row>
    <row r="31" spans="1:19" ht="12.75">
      <c r="A31">
        <v>29</v>
      </c>
      <c r="B31" s="1" t="s">
        <v>27</v>
      </c>
      <c r="C31" s="19">
        <v>37496</v>
      </c>
      <c r="D31" s="10">
        <v>0.6145833333333334</v>
      </c>
      <c r="E31" s="4">
        <f t="shared" si="9"/>
        <v>9007</v>
      </c>
      <c r="F31" s="6">
        <v>381</v>
      </c>
      <c r="G31" s="7">
        <f t="shared" si="0"/>
        <v>10.788777</v>
      </c>
      <c r="H31" s="57">
        <v>67</v>
      </c>
      <c r="I31" s="57">
        <v>18</v>
      </c>
      <c r="J31" s="57">
        <v>147.765859375</v>
      </c>
      <c r="K31" s="39">
        <v>7.5</v>
      </c>
      <c r="L31" s="11">
        <f t="shared" si="1"/>
        <v>722.8480589999999</v>
      </c>
      <c r="M31" s="11">
        <f t="shared" si="2"/>
        <v>194.197986</v>
      </c>
      <c r="N31" s="11">
        <f t="shared" si="3"/>
        <v>1594.2129050102342</v>
      </c>
      <c r="O31" s="11">
        <f t="shared" si="4"/>
        <v>80.91582749999999</v>
      </c>
      <c r="P31" s="11">
        <f t="shared" si="5"/>
        <v>2059.0870562063997</v>
      </c>
      <c r="Q31" s="11">
        <f t="shared" si="6"/>
        <v>561.6903032928</v>
      </c>
      <c r="R31" s="11">
        <f t="shared" si="7"/>
        <v>4500.405644038482</v>
      </c>
      <c r="S31" s="11">
        <f t="shared" si="8"/>
        <v>230.87271910031998</v>
      </c>
    </row>
    <row r="32" spans="1:16" s="17" customFormat="1" ht="12.75">
      <c r="A32">
        <v>30</v>
      </c>
      <c r="B32" s="12" t="s">
        <v>28</v>
      </c>
      <c r="C32" s="51">
        <v>37529</v>
      </c>
      <c r="D32" s="14"/>
      <c r="E32" s="15">
        <f t="shared" si="9"/>
        <v>9040</v>
      </c>
      <c r="F32" s="16">
        <v>392</v>
      </c>
      <c r="G32" s="7">
        <f t="shared" si="0"/>
        <v>11.100264</v>
      </c>
      <c r="H32" s="57">
        <v>65</v>
      </c>
      <c r="I32" s="57">
        <v>18</v>
      </c>
      <c r="J32" s="57">
        <v>140.77478645833335</v>
      </c>
      <c r="K32" s="39">
        <v>7.3</v>
      </c>
      <c r="L32" s="11">
        <f t="shared" si="1"/>
        <v>721.51716</v>
      </c>
      <c r="M32" s="11">
        <f t="shared" si="2"/>
        <v>199.80475199999998</v>
      </c>
      <c r="N32" s="11">
        <f t="shared" si="3"/>
        <v>1562.637294231125</v>
      </c>
      <c r="O32" s="11">
        <f t="shared" si="4"/>
        <v>81.0319272</v>
      </c>
      <c r="P32" s="11"/>
    </row>
    <row r="33" spans="7:16" ht="12.75">
      <c r="G33" s="11"/>
      <c r="L33" s="18"/>
      <c r="M33" s="18"/>
      <c r="N33" s="18"/>
      <c r="O33" s="18"/>
      <c r="P33" s="11"/>
    </row>
    <row r="34" spans="2:19" ht="12.75">
      <c r="B34" s="35" t="s">
        <v>190</v>
      </c>
      <c r="L34" s="11"/>
      <c r="M34" s="11"/>
      <c r="N34" s="11"/>
      <c r="O34" s="11"/>
      <c r="P34" s="11">
        <f>SUM(P3:P31)</f>
        <v>22767.551028782418</v>
      </c>
      <c r="Q34" s="11">
        <f>SUM(Q3:Q31)</f>
        <v>6036.176183310252</v>
      </c>
      <c r="R34" s="11">
        <f>SUM(R3:R31)</f>
        <v>50907.38151109416</v>
      </c>
      <c r="S34" s="11">
        <f>SUM(S3:S31)</f>
        <v>2641.9965711858554</v>
      </c>
    </row>
    <row r="35" spans="7:15" ht="12.75">
      <c r="G35" s="11"/>
      <c r="L35" s="18"/>
      <c r="M35" s="18"/>
      <c r="N35" s="18"/>
      <c r="O35" s="18"/>
    </row>
    <row r="36" spans="1:19" ht="12.75">
      <c r="A36">
        <v>1</v>
      </c>
      <c r="B36" s="1"/>
      <c r="C36" s="19">
        <v>37530</v>
      </c>
      <c r="D36" s="10">
        <v>0.0006944444444444445</v>
      </c>
      <c r="E36" s="4">
        <f aca="true" t="shared" si="10" ref="E36:E69">C36-28489</f>
        <v>9041</v>
      </c>
      <c r="F36" s="1">
        <v>381</v>
      </c>
      <c r="G36" s="7">
        <f aca="true" t="shared" si="11" ref="G36:G69">F36*0.028317</f>
        <v>10.788777</v>
      </c>
      <c r="H36" s="57">
        <f>248.08*G36^-0.5722</f>
        <v>63.60994952441092</v>
      </c>
      <c r="I36" s="57">
        <f>52.612*G36^-0.501</f>
        <v>15.979593637977711</v>
      </c>
      <c r="J36" s="57">
        <f>999.53*G36^-0.8079</f>
        <v>146.30446484750922</v>
      </c>
      <c r="K36" s="39">
        <f>49.065*G36^-0.7879</f>
        <v>7.5316996667930995</v>
      </c>
      <c r="L36" s="7">
        <f>(H36*$G36)</f>
        <v>686.2735604001255</v>
      </c>
      <c r="M36" s="7">
        <f>(I36*$G36)</f>
        <v>172.40027231076024</v>
      </c>
      <c r="N36" s="7">
        <f>(J36*$G36)</f>
        <v>1578.446245344116</v>
      </c>
      <c r="O36" s="7">
        <f>(K36*$G36)</f>
        <v>81.25782813600506</v>
      </c>
      <c r="P36" s="7">
        <f>(((L36+L37)/2)*(($E37-$E36)*24*60*60))/1000000</f>
        <v>419.61901455939795</v>
      </c>
      <c r="Q36" s="7">
        <f>(((M36+M37)/2)*(($E37-$E36)*24*60*60))/1000000</f>
        <v>108.4702193499739</v>
      </c>
      <c r="R36" s="7">
        <f>(((N36+N37)/2)*(($E37-$E36)*24*60*60))/1000000</f>
        <v>965.9510158312323</v>
      </c>
      <c r="S36" s="7">
        <f>(((O36+O37)/2)*(($E37-$E36)*24*60*60))/1000000</f>
        <v>49.426651200327925</v>
      </c>
    </row>
    <row r="37" spans="1:19" ht="12.75">
      <c r="A37">
        <v>2</v>
      </c>
      <c r="B37" s="1" t="s">
        <v>191</v>
      </c>
      <c r="C37" s="19">
        <v>37537</v>
      </c>
      <c r="D37" s="10">
        <v>0.6215277777777778</v>
      </c>
      <c r="E37" s="4">
        <f t="shared" si="10"/>
        <v>9048</v>
      </c>
      <c r="F37" s="1">
        <v>387</v>
      </c>
      <c r="G37" s="7">
        <f t="shared" si="11"/>
        <v>10.958679</v>
      </c>
      <c r="H37" s="57">
        <v>64</v>
      </c>
      <c r="I37" s="57">
        <v>17</v>
      </c>
      <c r="J37" s="57">
        <v>147.44808333333336</v>
      </c>
      <c r="K37" s="39">
        <v>7.5</v>
      </c>
      <c r="L37" s="7">
        <f aca="true" t="shared" si="12" ref="L37:O69">(H37*$G37)</f>
        <v>701.355456</v>
      </c>
      <c r="M37" s="7">
        <f t="shared" si="12"/>
        <v>186.297543</v>
      </c>
      <c r="N37" s="7">
        <f t="shared" si="12"/>
        <v>1615.8362144152502</v>
      </c>
      <c r="O37" s="7">
        <f t="shared" si="12"/>
        <v>82.1900925</v>
      </c>
      <c r="P37" s="7">
        <f aca="true" t="shared" si="13" ref="P37:S68">(((L37+L38)/2)*(($E38-$E37)*24*60*60))/1000000</f>
        <v>1009.2472390656001</v>
      </c>
      <c r="Q37" s="7">
        <f t="shared" si="13"/>
        <v>255.91318848</v>
      </c>
      <c r="R37" s="7">
        <f t="shared" si="13"/>
        <v>2283.5147692461837</v>
      </c>
      <c r="S37" s="7">
        <f t="shared" si="13"/>
        <v>116.408695104</v>
      </c>
    </row>
    <row r="38" spans="1:19" ht="12.75">
      <c r="A38">
        <v>3</v>
      </c>
      <c r="B38" s="1" t="s">
        <v>192</v>
      </c>
      <c r="C38" s="19">
        <v>37553</v>
      </c>
      <c r="D38" s="10">
        <v>0.3611111111111111</v>
      </c>
      <c r="E38" s="4">
        <f t="shared" si="10"/>
        <v>9064</v>
      </c>
      <c r="F38" s="34">
        <v>406</v>
      </c>
      <c r="G38" s="7">
        <f t="shared" si="11"/>
        <v>11.496701999999999</v>
      </c>
      <c r="H38" s="57">
        <v>66</v>
      </c>
      <c r="I38" s="57">
        <v>16</v>
      </c>
      <c r="J38" s="57">
        <v>146.81253125</v>
      </c>
      <c r="K38" s="39">
        <v>7.5</v>
      </c>
      <c r="L38" s="7">
        <f t="shared" si="12"/>
        <v>758.782332</v>
      </c>
      <c r="M38" s="7">
        <f t="shared" si="12"/>
        <v>183.94723199999999</v>
      </c>
      <c r="N38" s="7">
        <f t="shared" si="12"/>
        <v>1687.8599216469374</v>
      </c>
      <c r="O38" s="7">
        <f t="shared" si="12"/>
        <v>86.225265</v>
      </c>
      <c r="P38" s="7">
        <f t="shared" si="13"/>
        <v>1383.2083371456</v>
      </c>
      <c r="Q38" s="7">
        <f t="shared" si="13"/>
        <v>338.06964038399997</v>
      </c>
      <c r="R38" s="7">
        <f t="shared" si="13"/>
        <v>3022.452349022251</v>
      </c>
      <c r="S38" s="7">
        <f t="shared" si="13"/>
        <v>155.76378856416</v>
      </c>
    </row>
    <row r="39" spans="1:19" ht="12.75">
      <c r="A39">
        <v>4</v>
      </c>
      <c r="B39" s="1" t="s">
        <v>193</v>
      </c>
      <c r="C39" s="19">
        <v>37574</v>
      </c>
      <c r="D39" s="10">
        <v>0.4479166666666667</v>
      </c>
      <c r="E39" s="4">
        <f t="shared" si="10"/>
        <v>9085</v>
      </c>
      <c r="F39" s="1">
        <v>392</v>
      </c>
      <c r="G39" s="7">
        <f t="shared" si="11"/>
        <v>11.100264</v>
      </c>
      <c r="H39" s="57">
        <v>69</v>
      </c>
      <c r="I39" s="57">
        <v>17</v>
      </c>
      <c r="J39" s="57">
        <v>148.08363541666668</v>
      </c>
      <c r="K39" s="39">
        <v>7.7</v>
      </c>
      <c r="L39" s="7">
        <f t="shared" si="12"/>
        <v>765.9182159999999</v>
      </c>
      <c r="M39" s="7">
        <f t="shared" si="12"/>
        <v>188.704488</v>
      </c>
      <c r="N39" s="7">
        <f t="shared" si="12"/>
        <v>1643.76744720475</v>
      </c>
      <c r="O39" s="7">
        <f t="shared" si="12"/>
        <v>85.4720328</v>
      </c>
      <c r="P39" s="7">
        <f t="shared" si="13"/>
        <v>2199.6105538176</v>
      </c>
      <c r="Q39" s="7">
        <f t="shared" si="13"/>
        <v>538.0342361856001</v>
      </c>
      <c r="R39" s="7">
        <f t="shared" si="13"/>
        <v>4782.254257448652</v>
      </c>
      <c r="S39" s="7">
        <f t="shared" si="13"/>
        <v>248.44522082688</v>
      </c>
    </row>
    <row r="40" spans="1:19" ht="12.75">
      <c r="A40">
        <v>5</v>
      </c>
      <c r="B40" s="1" t="s">
        <v>194</v>
      </c>
      <c r="C40" s="19">
        <v>37607</v>
      </c>
      <c r="D40" s="10">
        <v>0.642361111111111</v>
      </c>
      <c r="E40" s="4">
        <f t="shared" si="10"/>
        <v>9118</v>
      </c>
      <c r="F40" s="1">
        <v>392</v>
      </c>
      <c r="G40" s="7">
        <f t="shared" si="11"/>
        <v>11.100264</v>
      </c>
      <c r="H40" s="57">
        <v>70</v>
      </c>
      <c r="I40" s="57">
        <v>17</v>
      </c>
      <c r="J40" s="57">
        <v>154.12138020833333</v>
      </c>
      <c r="K40" s="39">
        <v>8</v>
      </c>
      <c r="L40" s="7">
        <f t="shared" si="12"/>
        <v>777.01848</v>
      </c>
      <c r="M40" s="7">
        <f t="shared" si="12"/>
        <v>188.704488</v>
      </c>
      <c r="N40" s="7">
        <f t="shared" si="12"/>
        <v>1710.7880083568748</v>
      </c>
      <c r="O40" s="7">
        <f t="shared" si="12"/>
        <v>88.802112</v>
      </c>
      <c r="P40" s="7">
        <f t="shared" si="13"/>
        <v>1932.9910927487997</v>
      </c>
      <c r="Q40" s="7">
        <f t="shared" si="13"/>
        <v>486.724375872</v>
      </c>
      <c r="R40" s="7">
        <f t="shared" si="13"/>
        <v>4195.958388489862</v>
      </c>
      <c r="S40" s="7">
        <f t="shared" si="13"/>
        <v>221.11193075328</v>
      </c>
    </row>
    <row r="41" spans="1:19" ht="12.75">
      <c r="A41">
        <v>6</v>
      </c>
      <c r="B41" s="1" t="s">
        <v>195</v>
      </c>
      <c r="C41" s="19">
        <v>37636</v>
      </c>
      <c r="D41" s="10">
        <v>0.5833333333333334</v>
      </c>
      <c r="E41" s="4">
        <f t="shared" si="10"/>
        <v>9147</v>
      </c>
      <c r="F41" s="1">
        <v>392</v>
      </c>
      <c r="G41" s="7">
        <f t="shared" si="11"/>
        <v>11.100264</v>
      </c>
      <c r="H41" s="57">
        <v>69</v>
      </c>
      <c r="I41" s="57">
        <v>18</v>
      </c>
      <c r="J41" s="57">
        <v>147.60697135416666</v>
      </c>
      <c r="K41" s="39">
        <v>7.9</v>
      </c>
      <c r="L41" s="7">
        <f t="shared" si="12"/>
        <v>765.9182159999999</v>
      </c>
      <c r="M41" s="7">
        <f t="shared" si="12"/>
        <v>199.80475199999998</v>
      </c>
      <c r="N41" s="7">
        <f t="shared" si="12"/>
        <v>1638.4763502716874</v>
      </c>
      <c r="O41" s="7">
        <f t="shared" si="12"/>
        <v>87.6920856</v>
      </c>
      <c r="P41" s="7">
        <f t="shared" si="13"/>
        <v>1838.4206492735998</v>
      </c>
      <c r="Q41" s="7">
        <f t="shared" si="13"/>
        <v>472.88646961919994</v>
      </c>
      <c r="R41" s="7">
        <f t="shared" si="13"/>
        <v>3941.118600502633</v>
      </c>
      <c r="S41" s="7">
        <f t="shared" si="13"/>
        <v>206.26015810175997</v>
      </c>
    </row>
    <row r="42" spans="1:19" ht="12.75">
      <c r="A42">
        <v>7</v>
      </c>
      <c r="B42" s="1" t="s">
        <v>196</v>
      </c>
      <c r="C42" s="19">
        <v>37664</v>
      </c>
      <c r="D42" s="10">
        <v>0.5625</v>
      </c>
      <c r="E42" s="4">
        <f t="shared" si="10"/>
        <v>9175</v>
      </c>
      <c r="F42" s="34">
        <v>375</v>
      </c>
      <c r="G42" s="7">
        <f t="shared" si="11"/>
        <v>10.618875</v>
      </c>
      <c r="H42" s="57">
        <v>71</v>
      </c>
      <c r="I42" s="57">
        <v>18</v>
      </c>
      <c r="J42" s="57">
        <v>152.5325</v>
      </c>
      <c r="K42" s="39">
        <v>7.8</v>
      </c>
      <c r="L42" s="7">
        <f t="shared" si="12"/>
        <v>753.940125</v>
      </c>
      <c r="M42" s="7">
        <f t="shared" si="12"/>
        <v>191.13975</v>
      </c>
      <c r="N42" s="7">
        <f t="shared" si="12"/>
        <v>1619.7235509374998</v>
      </c>
      <c r="O42" s="7">
        <f t="shared" si="12"/>
        <v>82.827225</v>
      </c>
      <c r="P42" s="7">
        <f t="shared" si="13"/>
        <v>1825.2787975344</v>
      </c>
      <c r="Q42" s="7">
        <f t="shared" si="13"/>
        <v>456.85972269648005</v>
      </c>
      <c r="R42" s="7">
        <f t="shared" si="13"/>
        <v>3867.380102745725</v>
      </c>
      <c r="S42" s="7">
        <f t="shared" si="13"/>
        <v>199.122944788512</v>
      </c>
    </row>
    <row r="43" spans="1:19" ht="12.75">
      <c r="A43">
        <v>8</v>
      </c>
      <c r="B43" s="1" t="s">
        <v>197</v>
      </c>
      <c r="C43" s="19">
        <v>37691</v>
      </c>
      <c r="D43" s="10">
        <v>0.5520833333333334</v>
      </c>
      <c r="E43" s="4">
        <f t="shared" si="10"/>
        <v>9202</v>
      </c>
      <c r="F43" s="34">
        <v>387</v>
      </c>
      <c r="G43" s="7">
        <f t="shared" si="11"/>
        <v>10.958679</v>
      </c>
      <c r="H43" s="57">
        <v>74</v>
      </c>
      <c r="I43" s="57">
        <v>18.3</v>
      </c>
      <c r="J43" s="57">
        <v>154.75693229166666</v>
      </c>
      <c r="K43" s="39">
        <v>8.02</v>
      </c>
      <c r="L43" s="7">
        <f t="shared" si="12"/>
        <v>810.942246</v>
      </c>
      <c r="M43" s="7">
        <f t="shared" si="12"/>
        <v>200.5438257</v>
      </c>
      <c r="N43" s="7">
        <f t="shared" si="12"/>
        <v>1695.9315440091093</v>
      </c>
      <c r="O43" s="7">
        <f t="shared" si="12"/>
        <v>87.88860557999999</v>
      </c>
      <c r="P43" s="7">
        <f t="shared" si="13"/>
        <v>534.0120441984</v>
      </c>
      <c r="Q43" s="7">
        <f t="shared" si="13"/>
        <v>140.88828400127997</v>
      </c>
      <c r="R43" s="7">
        <f t="shared" si="13"/>
        <v>1156.5821311843445</v>
      </c>
      <c r="S43" s="7">
        <f t="shared" si="13"/>
        <v>60.331999036032</v>
      </c>
    </row>
    <row r="44" spans="1:19" ht="12.75">
      <c r="A44">
        <v>9</v>
      </c>
      <c r="B44" s="1" t="s">
        <v>198</v>
      </c>
      <c r="C44" s="19">
        <v>37699</v>
      </c>
      <c r="D44" s="1" t="s">
        <v>199</v>
      </c>
      <c r="E44" s="4">
        <f t="shared" si="10"/>
        <v>9210</v>
      </c>
      <c r="F44" s="34">
        <v>387</v>
      </c>
      <c r="G44" s="7">
        <f t="shared" si="11"/>
        <v>10.958679</v>
      </c>
      <c r="H44" s="57">
        <v>67</v>
      </c>
      <c r="I44" s="57">
        <v>18.9</v>
      </c>
      <c r="J44" s="57">
        <v>150.62584375</v>
      </c>
      <c r="K44" s="39">
        <v>7.91</v>
      </c>
      <c r="L44" s="7">
        <f t="shared" si="12"/>
        <v>734.231493</v>
      </c>
      <c r="M44" s="7">
        <f t="shared" si="12"/>
        <v>207.1190331</v>
      </c>
      <c r="N44" s="7">
        <f t="shared" si="12"/>
        <v>1650.6602707604063</v>
      </c>
      <c r="O44" s="7">
        <f t="shared" si="12"/>
        <v>86.68315089000001</v>
      </c>
      <c r="P44" s="7">
        <f t="shared" si="13"/>
        <v>1362.0147616656</v>
      </c>
      <c r="Q44" s="7">
        <f t="shared" si="13"/>
        <v>361.87837463232</v>
      </c>
      <c r="R44" s="7">
        <f t="shared" si="13"/>
        <v>2862.2699828191135</v>
      </c>
      <c r="S44" s="7">
        <f t="shared" si="13"/>
        <v>150.815795142096</v>
      </c>
    </row>
    <row r="45" spans="1:19" ht="12.75">
      <c r="A45">
        <v>10</v>
      </c>
      <c r="B45" s="1" t="s">
        <v>200</v>
      </c>
      <c r="C45" s="19">
        <v>37720</v>
      </c>
      <c r="D45" s="1" t="s">
        <v>199</v>
      </c>
      <c r="E45" s="4">
        <f t="shared" si="10"/>
        <v>9231</v>
      </c>
      <c r="F45" s="34">
        <v>387</v>
      </c>
      <c r="G45" s="7">
        <f t="shared" si="11"/>
        <v>10.958679</v>
      </c>
      <c r="H45" s="57">
        <v>70</v>
      </c>
      <c r="I45" s="57">
        <v>17.5</v>
      </c>
      <c r="J45" s="57">
        <v>137.27925000000002</v>
      </c>
      <c r="K45" s="39">
        <v>7.26</v>
      </c>
      <c r="L45" s="7">
        <f t="shared" si="12"/>
        <v>767.10753</v>
      </c>
      <c r="M45" s="7">
        <f t="shared" si="12"/>
        <v>191.7768825</v>
      </c>
      <c r="N45" s="7">
        <f t="shared" si="12"/>
        <v>1504.3992341107503</v>
      </c>
      <c r="O45" s="7">
        <f t="shared" si="12"/>
        <v>79.56000954</v>
      </c>
      <c r="P45" s="7">
        <f t="shared" si="13"/>
        <v>577.321559136</v>
      </c>
      <c r="Q45" s="7">
        <f t="shared" si="13"/>
        <v>137.33008758000003</v>
      </c>
      <c r="R45" s="7">
        <f t="shared" si="13"/>
        <v>1018.4775040256733</v>
      </c>
      <c r="S45" s="7">
        <f t="shared" si="13"/>
        <v>53.646890867136</v>
      </c>
    </row>
    <row r="46" spans="1:19" ht="12.75">
      <c r="A46">
        <v>11</v>
      </c>
      <c r="B46" s="1" t="s">
        <v>201</v>
      </c>
      <c r="C46" s="19">
        <v>37727</v>
      </c>
      <c r="D46" s="1" t="s">
        <v>199</v>
      </c>
      <c r="E46" s="4">
        <f t="shared" si="10"/>
        <v>9238</v>
      </c>
      <c r="F46" s="34">
        <v>545</v>
      </c>
      <c r="G46" s="7">
        <f t="shared" si="11"/>
        <v>15.432765</v>
      </c>
      <c r="H46" s="57">
        <v>74</v>
      </c>
      <c r="I46" s="57">
        <v>17</v>
      </c>
      <c r="J46" s="57">
        <v>120.75489583333332</v>
      </c>
      <c r="K46" s="39">
        <v>6.34</v>
      </c>
      <c r="L46" s="7">
        <f t="shared" si="12"/>
        <v>1142.02461</v>
      </c>
      <c r="M46" s="7">
        <f t="shared" si="12"/>
        <v>262.357005</v>
      </c>
      <c r="N46" s="7">
        <f t="shared" si="12"/>
        <v>1863.5819299953123</v>
      </c>
      <c r="O46" s="7">
        <f t="shared" si="12"/>
        <v>97.8437301</v>
      </c>
      <c r="P46" s="7">
        <f t="shared" si="13"/>
        <v>713.7824960447999</v>
      </c>
      <c r="Q46" s="7">
        <f t="shared" si="13"/>
        <v>162.88311731328002</v>
      </c>
      <c r="R46" s="7">
        <f t="shared" si="13"/>
        <v>1143.9980453945168</v>
      </c>
      <c r="S46" s="7">
        <f t="shared" si="13"/>
        <v>60.308095863456</v>
      </c>
    </row>
    <row r="47" spans="1:19" ht="12.75">
      <c r="A47">
        <v>12</v>
      </c>
      <c r="B47" s="1" t="s">
        <v>202</v>
      </c>
      <c r="C47" s="19">
        <v>37734</v>
      </c>
      <c r="D47" s="10">
        <v>0.40972222222222227</v>
      </c>
      <c r="E47" s="4">
        <f t="shared" si="10"/>
        <v>9245</v>
      </c>
      <c r="F47" s="34">
        <v>606</v>
      </c>
      <c r="G47" s="7">
        <f t="shared" si="11"/>
        <v>17.160102</v>
      </c>
      <c r="H47" s="57">
        <v>71</v>
      </c>
      <c r="I47" s="57">
        <v>16.1</v>
      </c>
      <c r="J47" s="57">
        <v>111.85716666666666</v>
      </c>
      <c r="K47" s="39">
        <v>5.92</v>
      </c>
      <c r="L47" s="7">
        <f t="shared" si="12"/>
        <v>1218.3672419999998</v>
      </c>
      <c r="M47" s="7">
        <f t="shared" si="12"/>
        <v>276.2776422</v>
      </c>
      <c r="N47" s="7">
        <f t="shared" si="12"/>
        <v>1919.4803894309996</v>
      </c>
      <c r="O47" s="7">
        <f t="shared" si="12"/>
        <v>101.58780383999999</v>
      </c>
      <c r="P47" s="7">
        <f t="shared" si="13"/>
        <v>742.4687497247999</v>
      </c>
      <c r="Q47" s="7">
        <f t="shared" si="13"/>
        <v>166.98482343647999</v>
      </c>
      <c r="R47" s="7">
        <f t="shared" si="13"/>
        <v>1162.5561899517381</v>
      </c>
      <c r="S47" s="7">
        <f t="shared" si="13"/>
        <v>61.458114928895995</v>
      </c>
    </row>
    <row r="48" spans="1:19" ht="12.75">
      <c r="A48">
        <v>13</v>
      </c>
      <c r="B48" s="1" t="s">
        <v>203</v>
      </c>
      <c r="C48" s="19">
        <v>37741</v>
      </c>
      <c r="D48" s="1" t="s">
        <v>199</v>
      </c>
      <c r="E48" s="4">
        <f t="shared" si="10"/>
        <v>9252</v>
      </c>
      <c r="F48" s="34">
        <v>560</v>
      </c>
      <c r="G48" s="7">
        <f t="shared" si="11"/>
        <v>15.85752</v>
      </c>
      <c r="H48" s="57">
        <v>78</v>
      </c>
      <c r="I48" s="57">
        <v>17.4</v>
      </c>
      <c r="J48" s="57">
        <v>121.39044791666667</v>
      </c>
      <c r="K48" s="39">
        <v>6.41</v>
      </c>
      <c r="L48" s="7">
        <f t="shared" si="12"/>
        <v>1236.88656</v>
      </c>
      <c r="M48" s="7">
        <f t="shared" si="12"/>
        <v>275.920848</v>
      </c>
      <c r="N48" s="7">
        <f t="shared" si="12"/>
        <v>1924.9514556475</v>
      </c>
      <c r="O48" s="7">
        <f t="shared" si="12"/>
        <v>101.64670319999999</v>
      </c>
      <c r="P48" s="7">
        <f t="shared" si="13"/>
        <v>102.0521120256</v>
      </c>
      <c r="Q48" s="7">
        <f t="shared" si="13"/>
        <v>23.19659773056</v>
      </c>
      <c r="R48" s="7">
        <f t="shared" si="13"/>
        <v>161.2653781582368</v>
      </c>
      <c r="S48" s="7">
        <f t="shared" si="13"/>
        <v>8.537224822271998</v>
      </c>
    </row>
    <row r="49" spans="1:19" ht="12.75">
      <c r="A49">
        <v>14</v>
      </c>
      <c r="B49" s="1" t="s">
        <v>204</v>
      </c>
      <c r="C49" s="19">
        <v>37742</v>
      </c>
      <c r="D49" s="1" t="s">
        <v>199</v>
      </c>
      <c r="E49" s="4">
        <f t="shared" si="10"/>
        <v>9253</v>
      </c>
      <c r="F49" s="34">
        <v>552</v>
      </c>
      <c r="G49" s="7">
        <f t="shared" si="11"/>
        <v>15.630984</v>
      </c>
      <c r="H49" s="57">
        <v>72</v>
      </c>
      <c r="I49" s="57">
        <v>16.7</v>
      </c>
      <c r="J49" s="57">
        <v>115.67047916666667</v>
      </c>
      <c r="K49" s="39">
        <v>6.14</v>
      </c>
      <c r="L49" s="7">
        <f t="shared" si="12"/>
        <v>1125.430848</v>
      </c>
      <c r="M49" s="7">
        <f t="shared" si="12"/>
        <v>261.0374328</v>
      </c>
      <c r="N49" s="7">
        <f t="shared" si="12"/>
        <v>1808.0434091265</v>
      </c>
      <c r="O49" s="7">
        <f t="shared" si="12"/>
        <v>95.97424176</v>
      </c>
      <c r="P49" s="7">
        <f t="shared" si="13"/>
        <v>546.959392128</v>
      </c>
      <c r="Q49" s="7">
        <f t="shared" si="13"/>
        <v>138.96820111104</v>
      </c>
      <c r="R49" s="7">
        <f t="shared" si="13"/>
        <v>939.8646750035158</v>
      </c>
      <c r="S49" s="7">
        <f t="shared" si="13"/>
        <v>49.753046928384</v>
      </c>
    </row>
    <row r="50" spans="1:19" ht="12.75">
      <c r="A50">
        <v>15</v>
      </c>
      <c r="B50" s="1" t="s">
        <v>205</v>
      </c>
      <c r="C50" s="19">
        <v>37748</v>
      </c>
      <c r="D50" s="10">
        <v>0.517361111111111</v>
      </c>
      <c r="E50" s="4">
        <f t="shared" si="10"/>
        <v>9259</v>
      </c>
      <c r="F50" s="34">
        <v>552</v>
      </c>
      <c r="G50" s="7">
        <f t="shared" si="11"/>
        <v>15.630984</v>
      </c>
      <c r="H50" s="57">
        <v>63</v>
      </c>
      <c r="I50" s="57">
        <v>17.6</v>
      </c>
      <c r="J50" s="57">
        <v>116.30603124999999</v>
      </c>
      <c r="K50" s="39">
        <v>6.14</v>
      </c>
      <c r="L50" s="7">
        <f t="shared" si="12"/>
        <v>984.751992</v>
      </c>
      <c r="M50" s="7">
        <f t="shared" si="12"/>
        <v>275.10531840000004</v>
      </c>
      <c r="N50" s="7">
        <f t="shared" si="12"/>
        <v>1817.9777135722497</v>
      </c>
      <c r="O50" s="7">
        <f t="shared" si="12"/>
        <v>95.97424176</v>
      </c>
      <c r="P50" s="7">
        <f t="shared" si="13"/>
        <v>629.8987524480001</v>
      </c>
      <c r="Q50" s="7">
        <f t="shared" si="13"/>
        <v>161.54899244064</v>
      </c>
      <c r="R50" s="7">
        <f t="shared" si="13"/>
        <v>1090.6311346824598</v>
      </c>
      <c r="S50" s="7">
        <f t="shared" si="13"/>
        <v>58.44545887824</v>
      </c>
    </row>
    <row r="51" spans="1:19" ht="12.75">
      <c r="A51">
        <v>16</v>
      </c>
      <c r="B51" s="1" t="s">
        <v>206</v>
      </c>
      <c r="C51" s="19">
        <v>37755</v>
      </c>
      <c r="D51" s="10">
        <v>0.5208333333333334</v>
      </c>
      <c r="E51" s="4">
        <f t="shared" si="10"/>
        <v>9266</v>
      </c>
      <c r="F51" s="34">
        <v>606</v>
      </c>
      <c r="G51" s="7">
        <f t="shared" si="11"/>
        <v>17.160102</v>
      </c>
      <c r="H51" s="57">
        <v>64</v>
      </c>
      <c r="I51" s="57">
        <v>15.1</v>
      </c>
      <c r="J51" s="57">
        <v>104.23054166666665</v>
      </c>
      <c r="K51" s="39">
        <v>5.67</v>
      </c>
      <c r="L51" s="7">
        <f t="shared" si="12"/>
        <v>1098.246528</v>
      </c>
      <c r="M51" s="7">
        <f t="shared" si="12"/>
        <v>259.11754019999995</v>
      </c>
      <c r="N51" s="7">
        <f t="shared" si="12"/>
        <v>1788.6067265152496</v>
      </c>
      <c r="O51" s="7">
        <f t="shared" si="12"/>
        <v>97.29777834</v>
      </c>
      <c r="P51" s="7">
        <f t="shared" si="13"/>
        <v>893.7682477056</v>
      </c>
      <c r="Q51" s="7">
        <f t="shared" si="13"/>
        <v>171.50391760895997</v>
      </c>
      <c r="R51" s="7">
        <f t="shared" si="13"/>
        <v>1200.2726838252167</v>
      </c>
      <c r="S51" s="7">
        <f t="shared" si="13"/>
        <v>64.961042909184</v>
      </c>
    </row>
    <row r="52" spans="1:19" ht="12.75">
      <c r="A52">
        <v>17</v>
      </c>
      <c r="B52" s="1" t="s">
        <v>207</v>
      </c>
      <c r="C52" s="19">
        <v>37763</v>
      </c>
      <c r="D52" s="10">
        <v>0.5729166666666666</v>
      </c>
      <c r="E52" s="4">
        <f t="shared" si="10"/>
        <v>9274</v>
      </c>
      <c r="F52" s="34">
        <v>821</v>
      </c>
      <c r="G52" s="7">
        <f t="shared" si="11"/>
        <v>23.248257</v>
      </c>
      <c r="H52" s="57">
        <v>64</v>
      </c>
      <c r="I52" s="57">
        <v>10.2</v>
      </c>
      <c r="J52" s="57">
        <v>72.4529375</v>
      </c>
      <c r="K52" s="39">
        <v>3.9</v>
      </c>
      <c r="L52" s="7">
        <f t="shared" si="12"/>
        <v>1487.888448</v>
      </c>
      <c r="M52" s="7">
        <f t="shared" si="12"/>
        <v>237.13222139999996</v>
      </c>
      <c r="N52" s="7">
        <f t="shared" si="12"/>
        <v>1684.4045114049375</v>
      </c>
      <c r="O52" s="7">
        <f t="shared" si="12"/>
        <v>90.66820229999999</v>
      </c>
      <c r="P52" s="7">
        <f t="shared" si="13"/>
        <v>681.215952528</v>
      </c>
      <c r="Q52" s="7">
        <f t="shared" si="13"/>
        <v>101.7328321872</v>
      </c>
      <c r="R52" s="7">
        <f t="shared" si="13"/>
        <v>721.971688258359</v>
      </c>
      <c r="S52" s="7">
        <f t="shared" si="13"/>
        <v>38.3906481552</v>
      </c>
    </row>
    <row r="53" spans="1:19" ht="12.75">
      <c r="A53">
        <v>18</v>
      </c>
      <c r="B53" s="1" t="s">
        <v>208</v>
      </c>
      <c r="C53" s="19">
        <v>37768</v>
      </c>
      <c r="D53" s="10">
        <v>0.75</v>
      </c>
      <c r="E53" s="4">
        <f t="shared" si="10"/>
        <v>9279</v>
      </c>
      <c r="F53" s="34">
        <v>1110</v>
      </c>
      <c r="G53" s="7">
        <f t="shared" si="11"/>
        <v>31.43187</v>
      </c>
      <c r="H53" s="57">
        <v>53</v>
      </c>
      <c r="I53" s="57">
        <v>7.44</v>
      </c>
      <c r="J53" s="57">
        <v>52.75082291666667</v>
      </c>
      <c r="K53" s="39">
        <v>2.77</v>
      </c>
      <c r="L53" s="7">
        <f t="shared" si="12"/>
        <v>1665.88911</v>
      </c>
      <c r="M53" s="7">
        <f t="shared" si="12"/>
        <v>233.85311280000002</v>
      </c>
      <c r="N53" s="7">
        <f t="shared" si="12"/>
        <v>1658.0570083096877</v>
      </c>
      <c r="O53" s="7">
        <f t="shared" si="12"/>
        <v>87.0662799</v>
      </c>
      <c r="P53" s="7">
        <f t="shared" si="13"/>
        <v>139.49226043200002</v>
      </c>
      <c r="Q53" s="7">
        <f t="shared" si="13"/>
        <v>20.74511575296</v>
      </c>
      <c r="R53" s="7">
        <f t="shared" si="13"/>
        <v>149.06380628219853</v>
      </c>
      <c r="S53" s="7">
        <f t="shared" si="13"/>
        <v>7.98896873808</v>
      </c>
    </row>
    <row r="54" spans="1:19" ht="12.75">
      <c r="A54">
        <v>19</v>
      </c>
      <c r="B54" s="1" t="s">
        <v>209</v>
      </c>
      <c r="C54" s="19">
        <v>37769</v>
      </c>
      <c r="D54" s="10">
        <v>0.46875</v>
      </c>
      <c r="E54" s="4">
        <f t="shared" si="10"/>
        <v>9280</v>
      </c>
      <c r="F54" s="34">
        <v>1200</v>
      </c>
      <c r="G54" s="7">
        <f t="shared" si="11"/>
        <v>33.980399999999996</v>
      </c>
      <c r="H54" s="57">
        <v>46</v>
      </c>
      <c r="I54" s="57">
        <v>7.25</v>
      </c>
      <c r="J54" s="57">
        <v>52.75082291666667</v>
      </c>
      <c r="K54" s="39">
        <v>2.88</v>
      </c>
      <c r="L54" s="7">
        <f t="shared" si="12"/>
        <v>1563.0983999999999</v>
      </c>
      <c r="M54" s="7">
        <f t="shared" si="12"/>
        <v>246.35789999999997</v>
      </c>
      <c r="N54" s="7">
        <f t="shared" si="12"/>
        <v>1792.4940630375</v>
      </c>
      <c r="O54" s="7">
        <f t="shared" si="12"/>
        <v>97.86355199999998</v>
      </c>
      <c r="P54" s="7">
        <f t="shared" si="13"/>
        <v>671.77211976</v>
      </c>
      <c r="Q54" s="7">
        <f t="shared" si="13"/>
        <v>135.6859799064</v>
      </c>
      <c r="R54" s="7">
        <f t="shared" si="13"/>
        <v>1054.5080600494516</v>
      </c>
      <c r="S54" s="7">
        <f t="shared" si="13"/>
        <v>56.073062883599995</v>
      </c>
    </row>
    <row r="55" spans="1:19" ht="12.75">
      <c r="A55">
        <v>20</v>
      </c>
      <c r="B55" s="1" t="s">
        <v>210</v>
      </c>
      <c r="C55" s="19">
        <v>37776</v>
      </c>
      <c r="D55" s="10">
        <v>0.4895833333333333</v>
      </c>
      <c r="E55" s="4">
        <f t="shared" si="10"/>
        <v>9287</v>
      </c>
      <c r="F55" s="34">
        <v>775</v>
      </c>
      <c r="G55" s="7">
        <f t="shared" si="11"/>
        <v>21.945674999999998</v>
      </c>
      <c r="H55" s="57">
        <v>30</v>
      </c>
      <c r="I55" s="57">
        <v>9.22</v>
      </c>
      <c r="J55" s="57">
        <v>77.219578125</v>
      </c>
      <c r="K55" s="39">
        <v>3.99</v>
      </c>
      <c r="L55" s="7">
        <f t="shared" si="12"/>
        <v>658.3702499999999</v>
      </c>
      <c r="M55" s="7">
        <f t="shared" si="12"/>
        <v>202.3391235</v>
      </c>
      <c r="N55" s="7">
        <f t="shared" si="12"/>
        <v>1694.635765168359</v>
      </c>
      <c r="O55" s="7">
        <f t="shared" si="12"/>
        <v>87.56324325</v>
      </c>
      <c r="P55" s="7">
        <f t="shared" si="13"/>
        <v>354.76760894399996</v>
      </c>
      <c r="Q55" s="7">
        <f t="shared" si="13"/>
        <v>114.63626384784</v>
      </c>
      <c r="R55" s="7">
        <f t="shared" si="13"/>
        <v>1000.5642685974931</v>
      </c>
      <c r="S55" s="7">
        <f t="shared" si="13"/>
        <v>51.127895271599996</v>
      </c>
    </row>
    <row r="56" spans="1:19" ht="12.75">
      <c r="A56">
        <v>21</v>
      </c>
      <c r="B56" s="1" t="s">
        <v>211</v>
      </c>
      <c r="C56" s="19">
        <v>37783</v>
      </c>
      <c r="D56" s="10">
        <v>0.3090277777777778</v>
      </c>
      <c r="E56" s="4">
        <f t="shared" si="10"/>
        <v>9294</v>
      </c>
      <c r="F56" s="34">
        <v>606</v>
      </c>
      <c r="G56" s="7">
        <f t="shared" si="11"/>
        <v>17.160102</v>
      </c>
      <c r="H56" s="57">
        <v>30</v>
      </c>
      <c r="I56" s="57">
        <v>10.3</v>
      </c>
      <c r="J56" s="57">
        <v>94.06170833333334</v>
      </c>
      <c r="K56" s="39">
        <v>4.75</v>
      </c>
      <c r="L56" s="7">
        <f t="shared" si="12"/>
        <v>514.80306</v>
      </c>
      <c r="M56" s="7">
        <f t="shared" si="12"/>
        <v>176.7490506</v>
      </c>
      <c r="N56" s="7">
        <f t="shared" si="12"/>
        <v>1614.10850929425</v>
      </c>
      <c r="O56" s="7">
        <f t="shared" si="12"/>
        <v>81.51048449999999</v>
      </c>
      <c r="P56" s="7">
        <f t="shared" si="13"/>
        <v>339.5082345984</v>
      </c>
      <c r="Q56" s="7">
        <f t="shared" si="13"/>
        <v>121.68158328575998</v>
      </c>
      <c r="R56" s="7">
        <f t="shared" si="13"/>
        <v>1132.315821677851</v>
      </c>
      <c r="S56" s="7">
        <f t="shared" si="13"/>
        <v>56.85265617177599</v>
      </c>
    </row>
    <row r="57" spans="1:19" ht="12.75">
      <c r="A57">
        <v>22</v>
      </c>
      <c r="B57" s="1" t="s">
        <v>212</v>
      </c>
      <c r="C57" s="19">
        <v>37791</v>
      </c>
      <c r="D57" s="10">
        <v>0.4305555555555556</v>
      </c>
      <c r="E57" s="4">
        <f t="shared" si="10"/>
        <v>9302</v>
      </c>
      <c r="F57" s="34">
        <v>516</v>
      </c>
      <c r="G57" s="7">
        <f t="shared" si="11"/>
        <v>14.611571999999999</v>
      </c>
      <c r="H57" s="57">
        <v>32</v>
      </c>
      <c r="I57" s="57">
        <v>12</v>
      </c>
      <c r="J57" s="57">
        <v>113.76382291666667</v>
      </c>
      <c r="K57" s="39">
        <v>5.68</v>
      </c>
      <c r="L57" s="7">
        <f t="shared" si="12"/>
        <v>467.57030399999996</v>
      </c>
      <c r="M57" s="7">
        <f t="shared" si="12"/>
        <v>175.338864</v>
      </c>
      <c r="N57" s="7">
        <f t="shared" si="12"/>
        <v>1662.2682895421249</v>
      </c>
      <c r="O57" s="7">
        <f t="shared" si="12"/>
        <v>82.99372895999998</v>
      </c>
      <c r="P57" s="7">
        <f t="shared" si="13"/>
        <v>202.47968908799996</v>
      </c>
      <c r="Q57" s="7">
        <f t="shared" si="13"/>
        <v>76.0791253248</v>
      </c>
      <c r="R57" s="7">
        <f t="shared" si="13"/>
        <v>719.483792884119</v>
      </c>
      <c r="S57" s="7">
        <f t="shared" si="13"/>
        <v>36.13415930496</v>
      </c>
    </row>
    <row r="58" spans="1:19" ht="12.75">
      <c r="A58">
        <v>23</v>
      </c>
      <c r="B58" s="1" t="s">
        <v>213</v>
      </c>
      <c r="C58" s="19">
        <v>37796</v>
      </c>
      <c r="D58" s="1" t="s">
        <v>199</v>
      </c>
      <c r="E58" s="4">
        <f t="shared" si="10"/>
        <v>9307</v>
      </c>
      <c r="F58" s="34">
        <v>488</v>
      </c>
      <c r="G58" s="7">
        <f t="shared" si="11"/>
        <v>13.818696</v>
      </c>
      <c r="H58" s="57">
        <v>34</v>
      </c>
      <c r="I58" s="57">
        <v>12.8</v>
      </c>
      <c r="J58" s="57">
        <v>120.75489583333332</v>
      </c>
      <c r="K58" s="39">
        <v>6.1</v>
      </c>
      <c r="L58" s="7">
        <f t="shared" si="12"/>
        <v>469.83566399999995</v>
      </c>
      <c r="M58" s="7">
        <f t="shared" si="12"/>
        <v>176.8793088</v>
      </c>
      <c r="N58" s="7">
        <f t="shared" si="12"/>
        <v>1668.6751960324998</v>
      </c>
      <c r="O58" s="7">
        <f t="shared" si="12"/>
        <v>84.29404559999999</v>
      </c>
      <c r="P58" s="7">
        <f t="shared" si="13"/>
        <v>308.5524733103025</v>
      </c>
      <c r="Q58" s="7">
        <f t="shared" si="13"/>
        <v>93.14861448521901</v>
      </c>
      <c r="R58" s="7">
        <f t="shared" si="13"/>
        <v>850.7112435020564</v>
      </c>
      <c r="S58" s="7">
        <f t="shared" si="13"/>
        <v>43.426449405363904</v>
      </c>
    </row>
    <row r="59" spans="1:19" ht="12.75">
      <c r="A59">
        <v>24</v>
      </c>
      <c r="B59" s="1"/>
      <c r="C59" s="19">
        <v>37802</v>
      </c>
      <c r="D59" s="1"/>
      <c r="E59" s="4">
        <f t="shared" si="10"/>
        <v>9313</v>
      </c>
      <c r="F59" s="82">
        <v>427</v>
      </c>
      <c r="G59" s="7">
        <f t="shared" si="11"/>
        <v>12.091358999999999</v>
      </c>
      <c r="H59" s="57">
        <f>248.08*G59^-0.5722</f>
        <v>59.59358221112574</v>
      </c>
      <c r="I59" s="57">
        <f>52.612*G59^-0.501</f>
        <v>15.092624894336918</v>
      </c>
      <c r="J59" s="57">
        <f>999.53*G59^-0.8079</f>
        <v>133.43328790538123</v>
      </c>
      <c r="K59" s="39">
        <f>49.065*G59^-0.7879</f>
        <v>6.884773536531664</v>
      </c>
      <c r="L59" s="7">
        <f t="shared" si="12"/>
        <v>720.567396610735</v>
      </c>
      <c r="M59" s="7">
        <f t="shared" si="12"/>
        <v>182.49034584976474</v>
      </c>
      <c r="N59" s="7">
        <f t="shared" si="12"/>
        <v>1613.3897866143225</v>
      </c>
      <c r="O59" s="7">
        <f t="shared" si="12"/>
        <v>83.24626846390395</v>
      </c>
      <c r="P59" s="7">
        <f t="shared" si="13"/>
        <v>471.8896515862538</v>
      </c>
      <c r="Q59" s="7">
        <f t="shared" si="13"/>
        <v>125.06357328542852</v>
      </c>
      <c r="R59" s="7">
        <f t="shared" si="13"/>
        <v>1202.7186560830107</v>
      </c>
      <c r="S59" s="7">
        <f t="shared" si="13"/>
        <v>61.72260916169385</v>
      </c>
    </row>
    <row r="60" spans="1:19" ht="12.75">
      <c r="A60">
        <v>25</v>
      </c>
      <c r="B60" s="1" t="s">
        <v>214</v>
      </c>
      <c r="C60" s="19">
        <v>37811</v>
      </c>
      <c r="D60" s="1" t="s">
        <v>199</v>
      </c>
      <c r="E60" s="4">
        <f t="shared" si="10"/>
        <v>9322</v>
      </c>
      <c r="F60" s="34">
        <v>387</v>
      </c>
      <c r="G60" s="7">
        <f t="shared" si="11"/>
        <v>10.958679</v>
      </c>
      <c r="H60" s="57">
        <v>45</v>
      </c>
      <c r="I60" s="57">
        <v>12.7</v>
      </c>
      <c r="J60" s="57">
        <v>135.05481770833336</v>
      </c>
      <c r="K60" s="39">
        <v>6.89</v>
      </c>
      <c r="L60" s="7">
        <f t="shared" si="12"/>
        <v>493.140555</v>
      </c>
      <c r="M60" s="7">
        <f t="shared" si="12"/>
        <v>139.1752233</v>
      </c>
      <c r="N60" s="7">
        <f t="shared" si="12"/>
        <v>1480.022394669141</v>
      </c>
      <c r="O60" s="7">
        <f t="shared" si="12"/>
        <v>75.50529831</v>
      </c>
      <c r="P60" s="7">
        <f t="shared" si="13"/>
        <v>284.01103755360003</v>
      </c>
      <c r="Q60" s="7">
        <f t="shared" si="13"/>
        <v>81.32595733584</v>
      </c>
      <c r="R60" s="7">
        <f t="shared" si="13"/>
        <v>882.0370456321772</v>
      </c>
      <c r="S60" s="7">
        <f t="shared" si="13"/>
        <v>45.058226515343996</v>
      </c>
    </row>
    <row r="61" spans="1:19" ht="12.75">
      <c r="A61">
        <v>26</v>
      </c>
      <c r="B61" s="1" t="s">
        <v>215</v>
      </c>
      <c r="C61" s="19">
        <v>37818</v>
      </c>
      <c r="D61" s="10">
        <v>0.5208333333333334</v>
      </c>
      <c r="E61" s="4">
        <f t="shared" si="10"/>
        <v>9329</v>
      </c>
      <c r="F61" s="34">
        <v>358</v>
      </c>
      <c r="G61" s="7">
        <f t="shared" si="11"/>
        <v>10.137485999999999</v>
      </c>
      <c r="H61" s="57">
        <v>44</v>
      </c>
      <c r="I61" s="57">
        <v>12.8</v>
      </c>
      <c r="J61" s="57">
        <v>141.72811458333334</v>
      </c>
      <c r="K61" s="39">
        <v>7.25</v>
      </c>
      <c r="L61" s="7">
        <f t="shared" si="12"/>
        <v>446.049384</v>
      </c>
      <c r="M61" s="7">
        <f t="shared" si="12"/>
        <v>129.7598208</v>
      </c>
      <c r="N61" s="7">
        <f t="shared" si="12"/>
        <v>1436.7667773949374</v>
      </c>
      <c r="O61" s="7">
        <f t="shared" si="12"/>
        <v>73.49677349999999</v>
      </c>
      <c r="P61" s="7">
        <f t="shared" si="13"/>
        <v>347.0633008128</v>
      </c>
      <c r="Q61" s="7">
        <f t="shared" si="13"/>
        <v>87.2159975424</v>
      </c>
      <c r="R61" s="7">
        <f t="shared" si="13"/>
        <v>997.9072740845353</v>
      </c>
      <c r="S61" s="7">
        <f t="shared" si="13"/>
        <v>50.34081542169599</v>
      </c>
    </row>
    <row r="62" spans="1:19" ht="12.75">
      <c r="A62">
        <v>27</v>
      </c>
      <c r="B62" s="1" t="s">
        <v>216</v>
      </c>
      <c r="C62" s="19">
        <v>37826</v>
      </c>
      <c r="D62" s="1" t="s">
        <v>199</v>
      </c>
      <c r="E62" s="4">
        <f t="shared" si="10"/>
        <v>9337</v>
      </c>
      <c r="F62" s="34">
        <v>352</v>
      </c>
      <c r="G62" s="7">
        <f t="shared" si="11"/>
        <v>9.967583999999999</v>
      </c>
      <c r="H62" s="57">
        <v>56</v>
      </c>
      <c r="I62" s="57">
        <v>12.3</v>
      </c>
      <c r="J62" s="57">
        <v>145.54142708333336</v>
      </c>
      <c r="K62" s="39">
        <v>7.24</v>
      </c>
      <c r="L62" s="7">
        <f t="shared" si="12"/>
        <v>558.1847039999999</v>
      </c>
      <c r="M62" s="7">
        <f t="shared" si="12"/>
        <v>122.6012832</v>
      </c>
      <c r="N62" s="7">
        <f t="shared" si="12"/>
        <v>1450.696399933</v>
      </c>
      <c r="O62" s="7">
        <f t="shared" si="12"/>
        <v>72.16530816</v>
      </c>
      <c r="P62" s="7">
        <f t="shared" si="13"/>
        <v>299.6973416448</v>
      </c>
      <c r="Q62" s="7">
        <f t="shared" si="13"/>
        <v>65.36502365183999</v>
      </c>
      <c r="R62" s="7">
        <f t="shared" si="13"/>
        <v>743.0099535167761</v>
      </c>
      <c r="S62" s="7">
        <f t="shared" si="13"/>
        <v>37.53967563878399</v>
      </c>
    </row>
    <row r="63" spans="1:19" ht="12.75">
      <c r="A63">
        <v>28</v>
      </c>
      <c r="B63" s="1" t="s">
        <v>217</v>
      </c>
      <c r="C63" s="19">
        <v>37832</v>
      </c>
      <c r="D63" s="10">
        <v>0.4270833333333333</v>
      </c>
      <c r="E63" s="4">
        <f t="shared" si="10"/>
        <v>9343</v>
      </c>
      <c r="F63" s="34">
        <v>352</v>
      </c>
      <c r="G63" s="7">
        <f t="shared" si="11"/>
        <v>9.967583999999999</v>
      </c>
      <c r="H63" s="57">
        <v>60</v>
      </c>
      <c r="I63" s="57">
        <v>13</v>
      </c>
      <c r="J63" s="57">
        <v>142.04589062500003</v>
      </c>
      <c r="K63" s="39">
        <v>7.29</v>
      </c>
      <c r="L63" s="7">
        <f t="shared" si="12"/>
        <v>598.05504</v>
      </c>
      <c r="M63" s="7">
        <f t="shared" si="12"/>
        <v>129.578592</v>
      </c>
      <c r="N63" s="7">
        <f t="shared" si="12"/>
        <v>1415.8543466595002</v>
      </c>
      <c r="O63" s="7">
        <f t="shared" si="12"/>
        <v>72.66368736</v>
      </c>
      <c r="P63" s="7">
        <f t="shared" si="13"/>
        <v>568.3915100159999</v>
      </c>
      <c r="Q63" s="7">
        <f t="shared" si="13"/>
        <v>131.20370689535997</v>
      </c>
      <c r="R63" s="7">
        <f t="shared" si="13"/>
        <v>1393.7936255104748</v>
      </c>
      <c r="S63" s="7">
        <f t="shared" si="13"/>
        <v>70.859474915328</v>
      </c>
    </row>
    <row r="64" spans="1:19" ht="12.75">
      <c r="A64">
        <v>29</v>
      </c>
      <c r="B64" s="1" t="s">
        <v>218</v>
      </c>
      <c r="C64" s="19">
        <v>37843</v>
      </c>
      <c r="D64" s="1" t="s">
        <v>199</v>
      </c>
      <c r="E64" s="4">
        <f t="shared" si="10"/>
        <v>9354</v>
      </c>
      <c r="F64" s="34">
        <v>352</v>
      </c>
      <c r="G64" s="7">
        <f t="shared" si="11"/>
        <v>9.967583999999999</v>
      </c>
      <c r="H64" s="57">
        <v>60</v>
      </c>
      <c r="I64" s="57">
        <v>14.7</v>
      </c>
      <c r="J64" s="57">
        <v>152.2147239583333</v>
      </c>
      <c r="K64" s="39">
        <v>7.67</v>
      </c>
      <c r="L64" s="7">
        <f t="shared" si="12"/>
        <v>598.05504</v>
      </c>
      <c r="M64" s="7">
        <f t="shared" si="12"/>
        <v>146.52348479999998</v>
      </c>
      <c r="N64" s="7">
        <f t="shared" si="12"/>
        <v>1517.2130470914994</v>
      </c>
      <c r="O64" s="7">
        <f t="shared" si="12"/>
        <v>76.45136928</v>
      </c>
      <c r="P64" s="7">
        <f t="shared" si="13"/>
        <v>153.914901408</v>
      </c>
      <c r="Q64" s="7">
        <f t="shared" si="13"/>
        <v>35.9263215864</v>
      </c>
      <c r="R64" s="7">
        <f t="shared" si="13"/>
        <v>381.9704641435894</v>
      </c>
      <c r="S64" s="7">
        <f t="shared" si="13"/>
        <v>19.331623539647996</v>
      </c>
    </row>
    <row r="65" spans="1:19" ht="12.75">
      <c r="A65">
        <v>30</v>
      </c>
      <c r="B65" s="1" t="s">
        <v>219</v>
      </c>
      <c r="C65" s="19">
        <v>37846</v>
      </c>
      <c r="D65" s="10">
        <v>0.5520833333333334</v>
      </c>
      <c r="E65" s="4">
        <f t="shared" si="10"/>
        <v>9357</v>
      </c>
      <c r="F65" s="34">
        <v>347</v>
      </c>
      <c r="G65" s="7">
        <f t="shared" si="11"/>
        <v>9.825999</v>
      </c>
      <c r="H65" s="57">
        <v>60</v>
      </c>
      <c r="I65" s="57">
        <v>13.3</v>
      </c>
      <c r="J65" s="57">
        <v>145.54142708333336</v>
      </c>
      <c r="K65" s="39">
        <v>7.4</v>
      </c>
      <c r="L65" s="7">
        <f t="shared" si="12"/>
        <v>589.55994</v>
      </c>
      <c r="M65" s="7">
        <f t="shared" si="12"/>
        <v>130.6857867</v>
      </c>
      <c r="N65" s="7">
        <f t="shared" si="12"/>
        <v>1430.0899169794066</v>
      </c>
      <c r="O65" s="7">
        <f t="shared" si="12"/>
        <v>72.7123926</v>
      </c>
      <c r="P65" s="7">
        <f t="shared" si="13"/>
        <v>713.3372168832</v>
      </c>
      <c r="Q65" s="7">
        <f t="shared" si="13"/>
        <v>154.99653831647998</v>
      </c>
      <c r="R65" s="7">
        <f t="shared" si="13"/>
        <v>1706.075807819689</v>
      </c>
      <c r="S65" s="7">
        <f t="shared" si="13"/>
        <v>87.249369013632</v>
      </c>
    </row>
    <row r="66" spans="1:19" ht="12.75">
      <c r="A66">
        <v>31</v>
      </c>
      <c r="B66" s="1" t="s">
        <v>220</v>
      </c>
      <c r="C66" s="19">
        <v>37860</v>
      </c>
      <c r="D66" s="10">
        <v>0.5069444444444444</v>
      </c>
      <c r="E66" s="4">
        <f t="shared" si="10"/>
        <v>9371</v>
      </c>
      <c r="F66" s="34">
        <v>336</v>
      </c>
      <c r="G66" s="7">
        <f t="shared" si="11"/>
        <v>9.514512</v>
      </c>
      <c r="H66" s="57">
        <v>62</v>
      </c>
      <c r="I66" s="57">
        <v>13.2</v>
      </c>
      <c r="J66" s="57">
        <v>146.17697916666668</v>
      </c>
      <c r="K66" s="39">
        <v>7.52</v>
      </c>
      <c r="L66" s="7">
        <f t="shared" si="12"/>
        <v>589.8997439999999</v>
      </c>
      <c r="M66" s="7">
        <f t="shared" si="12"/>
        <v>125.5915584</v>
      </c>
      <c r="N66" s="7">
        <f t="shared" si="12"/>
        <v>1390.8026224050002</v>
      </c>
      <c r="O66" s="7">
        <f t="shared" si="12"/>
        <v>71.54913024</v>
      </c>
      <c r="P66" s="7">
        <f t="shared" si="13"/>
        <v>773.2957686048</v>
      </c>
      <c r="Q66" s="7">
        <f t="shared" si="13"/>
        <v>166.72279377599997</v>
      </c>
      <c r="R66" s="7">
        <f t="shared" si="13"/>
        <v>1714.3480599390368</v>
      </c>
      <c r="S66" s="7">
        <f t="shared" si="13"/>
        <v>88.03374538291199</v>
      </c>
    </row>
    <row r="67" spans="1:19" ht="12.75">
      <c r="A67">
        <v>32</v>
      </c>
      <c r="B67" s="1" t="s">
        <v>221</v>
      </c>
      <c r="C67" s="19">
        <v>37874</v>
      </c>
      <c r="D67" s="10">
        <v>0.46875</v>
      </c>
      <c r="E67" s="4">
        <f t="shared" si="10"/>
        <v>9385</v>
      </c>
      <c r="F67" s="34">
        <v>363</v>
      </c>
      <c r="G67" s="7">
        <f t="shared" si="11"/>
        <v>10.279071</v>
      </c>
      <c r="H67" s="57">
        <v>67</v>
      </c>
      <c r="I67" s="57">
        <v>14.6</v>
      </c>
      <c r="J67" s="57">
        <v>140.45701041666666</v>
      </c>
      <c r="K67" s="39">
        <v>7.2</v>
      </c>
      <c r="L67" s="7">
        <f t="shared" si="12"/>
        <v>688.697757</v>
      </c>
      <c r="M67" s="7">
        <f t="shared" si="12"/>
        <v>150.07443659999998</v>
      </c>
      <c r="N67" s="7">
        <f t="shared" si="12"/>
        <v>1443.767582520656</v>
      </c>
      <c r="O67" s="7">
        <f t="shared" si="12"/>
        <v>74.0093112</v>
      </c>
      <c r="P67" s="7">
        <f t="shared" si="13"/>
        <v>796.1248886976001</v>
      </c>
      <c r="Q67" s="7">
        <f t="shared" si="13"/>
        <v>176.02912825343995</v>
      </c>
      <c r="R67" s="7">
        <f t="shared" si="13"/>
        <v>1734.2885413635704</v>
      </c>
      <c r="S67" s="7">
        <f t="shared" si="13"/>
        <v>89.08648807766399</v>
      </c>
    </row>
    <row r="68" spans="1:19" ht="12.75">
      <c r="A68">
        <v>33</v>
      </c>
      <c r="B68" s="1" t="s">
        <v>222</v>
      </c>
      <c r="C68" s="19">
        <v>37888</v>
      </c>
      <c r="D68" s="1" t="s">
        <v>199</v>
      </c>
      <c r="E68" s="15">
        <f t="shared" si="10"/>
        <v>9399</v>
      </c>
      <c r="F68" s="34">
        <v>341</v>
      </c>
      <c r="G68" s="7">
        <f t="shared" si="11"/>
        <v>9.656096999999999</v>
      </c>
      <c r="H68" s="57">
        <v>65</v>
      </c>
      <c r="I68" s="57">
        <v>14.6</v>
      </c>
      <c r="J68" s="57">
        <v>147.44808333333336</v>
      </c>
      <c r="K68" s="39">
        <v>7.59</v>
      </c>
      <c r="L68" s="7">
        <f t="shared" si="12"/>
        <v>627.646305</v>
      </c>
      <c r="M68" s="7">
        <f t="shared" si="12"/>
        <v>140.9790162</v>
      </c>
      <c r="N68" s="7">
        <f t="shared" si="12"/>
        <v>1423.7729951307501</v>
      </c>
      <c r="O68" s="7">
        <f t="shared" si="12"/>
        <v>73.28977622999999</v>
      </c>
      <c r="P68" s="7">
        <f t="shared" si="13"/>
        <v>333.5951490347497</v>
      </c>
      <c r="Q68" s="7">
        <f t="shared" si="13"/>
        <v>79.19144224780771</v>
      </c>
      <c r="R68" s="7">
        <f t="shared" si="13"/>
        <v>770.8942043779491</v>
      </c>
      <c r="S68" s="7">
        <f t="shared" si="13"/>
        <v>39.64527626353036</v>
      </c>
    </row>
    <row r="69" spans="1:16" ht="12.75">
      <c r="A69">
        <v>34</v>
      </c>
      <c r="C69" s="19">
        <v>37894</v>
      </c>
      <c r="E69" s="15">
        <f t="shared" si="10"/>
        <v>9405</v>
      </c>
      <c r="F69" s="1">
        <v>347</v>
      </c>
      <c r="G69" s="7">
        <f t="shared" si="11"/>
        <v>9.825999</v>
      </c>
      <c r="H69" s="57">
        <f>248.08*G69^-0.5722</f>
        <v>67.10483248505567</v>
      </c>
      <c r="I69" s="57">
        <f>52.612*G69^-0.501</f>
        <v>16.745729705070726</v>
      </c>
      <c r="J69" s="57">
        <f>999.53*G69^-0.8079</f>
        <v>157.7809930353318</v>
      </c>
      <c r="K69" s="39">
        <f>49.065*G69^-0.7879</f>
        <v>8.107336311596448</v>
      </c>
      <c r="L69" s="7">
        <f t="shared" si="12"/>
        <v>659.3720168933245</v>
      </c>
      <c r="M69" s="7">
        <f t="shared" si="12"/>
        <v>164.54352333629524</v>
      </c>
      <c r="N69" s="7">
        <f t="shared" si="12"/>
        <v>1550.355879784177</v>
      </c>
      <c r="O69" s="7">
        <f t="shared" si="12"/>
        <v>79.66267849041039</v>
      </c>
      <c r="P69" s="7"/>
    </row>
    <row r="70" spans="2:20" ht="12.75">
      <c r="B70" s="17"/>
      <c r="C70" s="17"/>
      <c r="D70" s="17"/>
      <c r="E70" s="17"/>
      <c r="F70" s="13"/>
      <c r="G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2:19" ht="12.75">
      <c r="B71" s="35" t="s">
        <v>223</v>
      </c>
      <c r="C71"/>
      <c r="F71" s="38"/>
      <c r="G71" s="11"/>
      <c r="L71" s="11"/>
      <c r="M71" s="11"/>
      <c r="N71" s="11"/>
      <c r="O71" s="11"/>
      <c r="P71" s="11">
        <f>SUM(P36:P68)</f>
        <v>24149.7629041243</v>
      </c>
      <c r="Q71" s="11">
        <f>SUM(Q36:Q68)</f>
        <v>5888.89024612299</v>
      </c>
      <c r="R71" s="11">
        <f>SUM(R36:R68)</f>
        <v>50950.209522053694</v>
      </c>
      <c r="S71" s="11">
        <f>SUM(S36:S68)</f>
        <v>2643.6582025754283</v>
      </c>
    </row>
    <row r="73" spans="1:19" ht="12.75">
      <c r="A73">
        <v>1</v>
      </c>
      <c r="B73" s="1"/>
      <c r="C73" s="19">
        <v>37895</v>
      </c>
      <c r="D73" s="10">
        <v>0.0006944444444444445</v>
      </c>
      <c r="E73" s="4">
        <f>C73-28489</f>
        <v>9406</v>
      </c>
      <c r="F73" s="1">
        <v>341</v>
      </c>
      <c r="G73" s="38">
        <f aca="true" t="shared" si="14" ref="G73:G102">F73*0.028317</f>
        <v>9.656096999999999</v>
      </c>
      <c r="H73" s="57">
        <f>248.08*G73^-0.5722</f>
        <v>67.77792460416141</v>
      </c>
      <c r="I73" s="57">
        <f>52.612*G73^-0.501</f>
        <v>16.892705075804233</v>
      </c>
      <c r="J73" s="57">
        <f>999.53*G73^-0.8079</f>
        <v>160.02012487071718</v>
      </c>
      <c r="K73" s="39">
        <f>49.065*G73^-0.7879</f>
        <v>8.21952284650903</v>
      </c>
      <c r="L73" s="38">
        <f>(H73*$G73)</f>
        <v>654.4702144364692</v>
      </c>
      <c r="M73" s="38">
        <f>(I73*$G73)</f>
        <v>163.117598804358</v>
      </c>
      <c r="N73" s="38">
        <f>(J73*$G73)</f>
        <v>1545.1698477037573</v>
      </c>
      <c r="O73" s="38">
        <f>(K73*$G73)</f>
        <v>79.36850989960729</v>
      </c>
      <c r="P73" s="38">
        <f>(((L73+L74)/2)*(($E74-$E73)*24*60*60))/1000000</f>
        <v>1588.5693149378976</v>
      </c>
      <c r="Q73" s="38">
        <f>(((M73+M74)/2)*(($E74-$E73)*24*60*60))/1000000</f>
        <v>385.0981362166032</v>
      </c>
      <c r="R73" s="38">
        <f>(((N73+N74)/2)*(($E74-$E73)*24*60*60))/1000000</f>
        <v>3590.2091668032626</v>
      </c>
      <c r="S73" s="38">
        <f>(((O73+O74)/2)*(($E74-$E73)*24*60*60))/1000000</f>
        <v>170.85436889238994</v>
      </c>
    </row>
    <row r="74" spans="1:19" ht="12.75">
      <c r="A74">
        <v>2</v>
      </c>
      <c r="B74" s="100" t="s">
        <v>562</v>
      </c>
      <c r="C74" s="19">
        <v>37922</v>
      </c>
      <c r="D74" s="10">
        <v>0.5625</v>
      </c>
      <c r="E74" s="4">
        <f>C74-28489</f>
        <v>9433</v>
      </c>
      <c r="F74" s="1">
        <v>347</v>
      </c>
      <c r="G74" s="38">
        <f t="shared" si="14"/>
        <v>9.825999</v>
      </c>
      <c r="H74" s="57">
        <v>72</v>
      </c>
      <c r="I74" s="57">
        <v>17</v>
      </c>
      <c r="J74" s="57">
        <v>156</v>
      </c>
      <c r="K74" s="39">
        <v>6.83</v>
      </c>
      <c r="L74" s="38">
        <f aca="true" t="shared" si="15" ref="L74:L103">(H74*$G74)</f>
        <v>707.4719279999999</v>
      </c>
      <c r="M74" s="38">
        <f aca="true" t="shared" si="16" ref="M74:M103">(I74*$G74)</f>
        <v>167.041983</v>
      </c>
      <c r="N74" s="38">
        <f aca="true" t="shared" si="17" ref="N74:N103">(J74*$G74)</f>
        <v>1532.855844</v>
      </c>
      <c r="O74" s="38">
        <f aca="true" t="shared" si="18" ref="O74:O103">(K74*$G74)</f>
        <v>67.11157317</v>
      </c>
      <c r="P74" s="38">
        <f aca="true" t="shared" si="19" ref="P74:P102">(((L74+L75)/2)*(($E75-$E74)*24*60*60))/1000000</f>
        <v>2000.420618810686</v>
      </c>
      <c r="Q74" s="38">
        <f aca="true" t="shared" si="20" ref="Q74:Q102">(((M74+M75)/2)*(($E75-$E74)*24*60*60))/1000000</f>
        <v>484.9383937542411</v>
      </c>
      <c r="R74" s="38">
        <f aca="true" t="shared" si="21" ref="R74:R102">(((N74+N75)/2)*(($E75-$E74)*24*60*60))/1000000</f>
        <v>4521.004135974479</v>
      </c>
      <c r="S74" s="38">
        <f aca="true" t="shared" si="22" ref="S74:S102">(((O74+O75)/2)*(($E75-$E74)*24*60*60))/1000000</f>
        <v>215.1499460126392</v>
      </c>
    </row>
    <row r="75" spans="1:19" ht="12.75">
      <c r="A75">
        <v>3</v>
      </c>
      <c r="B75" s="100"/>
      <c r="C75" s="19">
        <v>37956</v>
      </c>
      <c r="D75" s="10"/>
      <c r="E75" s="4">
        <f>C75-28489</f>
        <v>9467</v>
      </c>
      <c r="F75" s="1">
        <v>341</v>
      </c>
      <c r="G75" s="38">
        <f t="shared" si="14"/>
        <v>9.656096999999999</v>
      </c>
      <c r="H75" s="57">
        <f>248.08*G75^-0.5722</f>
        <v>67.77792460416141</v>
      </c>
      <c r="I75" s="57">
        <f>52.612*G75^-0.501</f>
        <v>16.892705075804233</v>
      </c>
      <c r="J75" s="57">
        <f>999.53*G75^-0.8079</f>
        <v>160.02012487071718</v>
      </c>
      <c r="K75" s="39">
        <f>49.065*G75^-0.7879</f>
        <v>8.21952284650903</v>
      </c>
      <c r="L75" s="38">
        <f t="shared" si="15"/>
        <v>654.4702144364692</v>
      </c>
      <c r="M75" s="38">
        <f t="shared" si="16"/>
        <v>163.117598804358</v>
      </c>
      <c r="N75" s="38">
        <f t="shared" si="17"/>
        <v>1545.1698477037573</v>
      </c>
      <c r="O75" s="38">
        <f t="shared" si="18"/>
        <v>79.36850989960729</v>
      </c>
      <c r="P75" s="38">
        <f t="shared" si="19"/>
        <v>1774.5662797339508</v>
      </c>
      <c r="Q75" s="38">
        <f t="shared" si="20"/>
        <v>443.19616643627</v>
      </c>
      <c r="R75" s="38">
        <f t="shared" si="21"/>
        <v>4161.363728504786</v>
      </c>
      <c r="S75" s="38">
        <f t="shared" si="22"/>
        <v>213.8733308809467</v>
      </c>
    </row>
    <row r="76" spans="1:19" ht="12.75">
      <c r="A76">
        <v>4</v>
      </c>
      <c r="B76" s="100"/>
      <c r="C76" s="19">
        <v>37987</v>
      </c>
      <c r="D76" s="10"/>
      <c r="E76" s="4">
        <f>C76-28489</f>
        <v>9498</v>
      </c>
      <c r="F76" s="1">
        <v>361</v>
      </c>
      <c r="G76" s="38">
        <f t="shared" si="14"/>
        <v>10.222437</v>
      </c>
      <c r="H76" s="57">
        <f>248.08*G76^-0.5722</f>
        <v>65.60315123159198</v>
      </c>
      <c r="I76" s="57">
        <f>52.612*G76^-0.501</f>
        <v>16.417160183140737</v>
      </c>
      <c r="J76" s="57">
        <f>999.53*G76^-0.8079</f>
        <v>152.8188050144563</v>
      </c>
      <c r="K76" s="39">
        <f>49.065*G76^-0.7879</f>
        <v>7.858576003537963</v>
      </c>
      <c r="L76" s="38">
        <f t="shared" si="15"/>
        <v>670.6240804664213</v>
      </c>
      <c r="M76" s="38">
        <f t="shared" si="16"/>
        <v>167.82338569106463</v>
      </c>
      <c r="N76" s="38">
        <f t="shared" si="17"/>
        <v>1562.1806066755635</v>
      </c>
      <c r="O76" s="38">
        <f t="shared" si="18"/>
        <v>80.3337981058786</v>
      </c>
      <c r="P76" s="38">
        <f t="shared" si="19"/>
        <v>2654.971684801454</v>
      </c>
      <c r="Q76" s="38">
        <f t="shared" si="20"/>
        <v>649.5861740374157</v>
      </c>
      <c r="R76" s="38">
        <f t="shared" si="21"/>
        <v>5889.504115037191</v>
      </c>
      <c r="S76" s="38">
        <f t="shared" si="22"/>
        <v>304.171053112166</v>
      </c>
    </row>
    <row r="77" spans="1:19" ht="12.75">
      <c r="A77">
        <v>5</v>
      </c>
      <c r="B77" s="100" t="s">
        <v>563</v>
      </c>
      <c r="C77" s="19">
        <v>38031</v>
      </c>
      <c r="D77" s="10">
        <v>0.5</v>
      </c>
      <c r="E77" s="4">
        <f>C77-28489</f>
        <v>9542</v>
      </c>
      <c r="F77" s="1">
        <v>347</v>
      </c>
      <c r="G77" s="38">
        <f t="shared" si="14"/>
        <v>9.825999</v>
      </c>
      <c r="H77" s="57">
        <v>73.9</v>
      </c>
      <c r="I77" s="57">
        <v>17.7</v>
      </c>
      <c r="J77" s="57">
        <v>156.3458125</v>
      </c>
      <c r="K77" s="39">
        <v>8.11</v>
      </c>
      <c r="L77" s="38">
        <f t="shared" si="15"/>
        <v>726.1413261</v>
      </c>
      <c r="M77" s="38">
        <f t="shared" si="16"/>
        <v>173.9201823</v>
      </c>
      <c r="N77" s="38">
        <f t="shared" si="17"/>
        <v>1536.2537972791874</v>
      </c>
      <c r="O77" s="38">
        <f t="shared" si="18"/>
        <v>79.68885189</v>
      </c>
      <c r="P77" s="38">
        <f t="shared" si="19"/>
        <v>637.1492183567999</v>
      </c>
      <c r="Q77" s="38">
        <f t="shared" si="20"/>
        <v>152.813936448</v>
      </c>
      <c r="R77" s="38">
        <f t="shared" si="21"/>
        <v>1327.3232808492178</v>
      </c>
      <c r="S77" s="38">
        <f t="shared" si="22"/>
        <v>69.14830624272</v>
      </c>
    </row>
    <row r="78" spans="1:19" ht="12.75">
      <c r="A78">
        <v>6</v>
      </c>
      <c r="B78" t="s">
        <v>564</v>
      </c>
      <c r="C78" s="19">
        <v>38041</v>
      </c>
      <c r="D78" s="10">
        <v>0.5833333333333334</v>
      </c>
      <c r="E78" s="4">
        <f aca="true" t="shared" si="23" ref="E78:E102">C78-28489</f>
        <v>9552</v>
      </c>
      <c r="F78" s="1">
        <v>347</v>
      </c>
      <c r="G78" s="38">
        <f t="shared" si="14"/>
        <v>9.825999</v>
      </c>
      <c r="H78" s="48">
        <v>76.2</v>
      </c>
      <c r="I78" s="48">
        <v>18.3</v>
      </c>
      <c r="J78" s="57">
        <v>156.3458125</v>
      </c>
      <c r="K78" s="83">
        <v>8.18</v>
      </c>
      <c r="L78" s="38">
        <f t="shared" si="15"/>
        <v>748.7411238</v>
      </c>
      <c r="M78" s="38">
        <f t="shared" si="16"/>
        <v>179.8157817</v>
      </c>
      <c r="N78" s="38">
        <f t="shared" si="17"/>
        <v>1536.2537972791874</v>
      </c>
      <c r="O78" s="38">
        <f t="shared" si="18"/>
        <v>80.37667182</v>
      </c>
      <c r="P78" s="38">
        <f t="shared" si="19"/>
        <v>913.31722619424</v>
      </c>
      <c r="Q78" s="38">
        <f t="shared" si="20"/>
        <v>221.78498733216</v>
      </c>
      <c r="R78" s="38">
        <f t="shared" si="21"/>
        <v>1916.8985068981774</v>
      </c>
      <c r="S78" s="38">
        <f t="shared" si="22"/>
        <v>100.88929730073599</v>
      </c>
    </row>
    <row r="79" spans="1:19" ht="12.75">
      <c r="A79">
        <v>7</v>
      </c>
      <c r="B79" s="107" t="s">
        <v>565</v>
      </c>
      <c r="C79" s="19">
        <v>38055</v>
      </c>
      <c r="D79" s="10">
        <v>0.46875</v>
      </c>
      <c r="E79" s="4">
        <f t="shared" si="23"/>
        <v>9566</v>
      </c>
      <c r="F79" s="1">
        <v>375</v>
      </c>
      <c r="G79" s="38">
        <f t="shared" si="14"/>
        <v>10.618875</v>
      </c>
      <c r="H79" s="57">
        <v>71.7</v>
      </c>
      <c r="I79" s="57">
        <v>17.6</v>
      </c>
      <c r="J79" s="57">
        <v>153.80360416666664</v>
      </c>
      <c r="K79" s="39">
        <v>8.14</v>
      </c>
      <c r="L79" s="38">
        <f t="shared" si="15"/>
        <v>761.3733374999999</v>
      </c>
      <c r="M79" s="38">
        <f t="shared" si="16"/>
        <v>186.8922</v>
      </c>
      <c r="N79" s="38">
        <f t="shared" si="17"/>
        <v>1633.2212471953121</v>
      </c>
      <c r="O79" s="38">
        <f t="shared" si="18"/>
        <v>86.4376425</v>
      </c>
      <c r="P79" s="38">
        <f t="shared" si="19"/>
        <v>757.23501409776</v>
      </c>
      <c r="Q79" s="38">
        <f t="shared" si="20"/>
        <v>196.17580838592</v>
      </c>
      <c r="R79" s="38">
        <f t="shared" si="21"/>
        <v>1605.7498719188518</v>
      </c>
      <c r="S79" s="38">
        <f t="shared" si="22"/>
        <v>86.66113566844798</v>
      </c>
    </row>
    <row r="80" spans="1:19" ht="12.75">
      <c r="A80">
        <v>8</v>
      </c>
      <c r="B80" s="107" t="s">
        <v>566</v>
      </c>
      <c r="C80" s="19">
        <v>38066</v>
      </c>
      <c r="D80" s="10">
        <v>0.3854166666666667</v>
      </c>
      <c r="E80" s="4">
        <f t="shared" si="23"/>
        <v>9577</v>
      </c>
      <c r="F80" s="1">
        <v>436</v>
      </c>
      <c r="G80" s="38">
        <f t="shared" si="14"/>
        <v>12.346212</v>
      </c>
      <c r="H80" s="57">
        <v>67.4</v>
      </c>
      <c r="I80" s="57">
        <v>18.3</v>
      </c>
      <c r="J80" s="57">
        <v>141.41033854166668</v>
      </c>
      <c r="K80" s="39">
        <v>7.77</v>
      </c>
      <c r="L80" s="38">
        <f t="shared" si="15"/>
        <v>832.1346888</v>
      </c>
      <c r="M80" s="38">
        <f t="shared" si="16"/>
        <v>225.9356796</v>
      </c>
      <c r="N80" s="38">
        <f t="shared" si="17"/>
        <v>1745.8820186271876</v>
      </c>
      <c r="O80" s="38">
        <f t="shared" si="18"/>
        <v>95.93006723999999</v>
      </c>
      <c r="P80" s="38">
        <f t="shared" si="19"/>
        <v>1274.24803698432</v>
      </c>
      <c r="Q80" s="38">
        <f t="shared" si="20"/>
        <v>360.88750616832</v>
      </c>
      <c r="R80" s="38">
        <f t="shared" si="21"/>
        <v>2718.7782847079075</v>
      </c>
      <c r="S80" s="38">
        <f t="shared" si="22"/>
        <v>147.31175396390398</v>
      </c>
    </row>
    <row r="81" spans="1:19" ht="12.75">
      <c r="A81">
        <v>9</v>
      </c>
      <c r="B81" s="107" t="s">
        <v>567</v>
      </c>
      <c r="C81" s="19">
        <v>38084</v>
      </c>
      <c r="D81" s="10">
        <v>0.375</v>
      </c>
      <c r="E81" s="4">
        <f t="shared" si="23"/>
        <v>9595</v>
      </c>
      <c r="F81" s="1">
        <v>516</v>
      </c>
      <c r="G81" s="38">
        <f t="shared" si="14"/>
        <v>14.611571999999999</v>
      </c>
      <c r="H81" s="57">
        <v>55.2</v>
      </c>
      <c r="I81" s="57">
        <v>16.3</v>
      </c>
      <c r="J81" s="57">
        <v>119.80156770833335</v>
      </c>
      <c r="K81" s="39">
        <v>6.4</v>
      </c>
      <c r="L81" s="38">
        <f t="shared" si="15"/>
        <v>806.5587744</v>
      </c>
      <c r="M81" s="38">
        <f t="shared" si="16"/>
        <v>238.1686236</v>
      </c>
      <c r="N81" s="38">
        <f t="shared" si="17"/>
        <v>1750.4892322831877</v>
      </c>
      <c r="O81" s="38">
        <f t="shared" si="18"/>
        <v>93.5140608</v>
      </c>
      <c r="P81" s="38">
        <f t="shared" si="19"/>
        <v>200.32497833184</v>
      </c>
      <c r="Q81" s="38">
        <f t="shared" si="20"/>
        <v>58.503076044480004</v>
      </c>
      <c r="R81" s="38">
        <f t="shared" si="21"/>
        <v>442.3773412974411</v>
      </c>
      <c r="S81" s="38">
        <f t="shared" si="22"/>
        <v>23.241810691584</v>
      </c>
    </row>
    <row r="82" spans="1:19" ht="12.75">
      <c r="A82">
        <v>10</v>
      </c>
      <c r="B82" s="107" t="s">
        <v>568</v>
      </c>
      <c r="C82" s="19">
        <v>38087</v>
      </c>
      <c r="D82" s="10">
        <v>0.7708333333333334</v>
      </c>
      <c r="E82" s="4">
        <f t="shared" si="23"/>
        <v>9598</v>
      </c>
      <c r="F82" s="1">
        <v>462</v>
      </c>
      <c r="G82" s="38">
        <f t="shared" si="14"/>
        <v>13.082453999999998</v>
      </c>
      <c r="H82" s="57">
        <v>56.5</v>
      </c>
      <c r="I82" s="57">
        <v>16.3</v>
      </c>
      <c r="J82" s="57">
        <v>127.11041666666667</v>
      </c>
      <c r="K82" s="39">
        <v>6.56</v>
      </c>
      <c r="L82" s="38">
        <f t="shared" si="15"/>
        <v>739.158651</v>
      </c>
      <c r="M82" s="38">
        <f t="shared" si="16"/>
        <v>213.2440002</v>
      </c>
      <c r="N82" s="38">
        <f t="shared" si="17"/>
        <v>1662.9161789624998</v>
      </c>
      <c r="O82" s="38">
        <f t="shared" si="18"/>
        <v>85.82089823999999</v>
      </c>
      <c r="P82" s="38">
        <f t="shared" si="19"/>
        <v>450.2080593964799</v>
      </c>
      <c r="Q82" s="38">
        <f t="shared" si="20"/>
        <v>125.01383723135997</v>
      </c>
      <c r="R82" s="38">
        <f t="shared" si="21"/>
        <v>1013.2746928242938</v>
      </c>
      <c r="S82" s="38">
        <f t="shared" si="22"/>
        <v>52.30009266451199</v>
      </c>
    </row>
    <row r="83" spans="1:19" ht="12.75">
      <c r="A83">
        <v>11</v>
      </c>
      <c r="B83" s="107" t="s">
        <v>569</v>
      </c>
      <c r="C83" s="19">
        <v>38094</v>
      </c>
      <c r="D83" s="10">
        <v>0.4479166666666667</v>
      </c>
      <c r="E83" s="4">
        <f t="shared" si="23"/>
        <v>9605</v>
      </c>
      <c r="F83" s="1">
        <v>462</v>
      </c>
      <c r="G83" s="38">
        <f t="shared" si="14"/>
        <v>13.082453999999998</v>
      </c>
      <c r="H83" s="57">
        <v>57.3</v>
      </c>
      <c r="I83" s="57">
        <v>15.3</v>
      </c>
      <c r="J83" s="57">
        <v>129.01707291666668</v>
      </c>
      <c r="K83" s="39">
        <v>6.66</v>
      </c>
      <c r="L83" s="38">
        <f t="shared" si="15"/>
        <v>749.6246141999999</v>
      </c>
      <c r="M83" s="38">
        <f t="shared" si="16"/>
        <v>200.16154619999998</v>
      </c>
      <c r="N83" s="38">
        <f t="shared" si="17"/>
        <v>1687.8599216469374</v>
      </c>
      <c r="O83" s="38">
        <f t="shared" si="18"/>
        <v>87.12914364</v>
      </c>
      <c r="P83" s="38">
        <f t="shared" si="19"/>
        <v>462.99955961951997</v>
      </c>
      <c r="Q83" s="38">
        <f t="shared" si="20"/>
        <v>124.97787237600001</v>
      </c>
      <c r="R83" s="38">
        <f t="shared" si="21"/>
        <v>1041.9228080586672</v>
      </c>
      <c r="S83" s="38">
        <f t="shared" si="22"/>
        <v>53.23997421792</v>
      </c>
    </row>
    <row r="84" spans="1:19" ht="12.75">
      <c r="A84">
        <v>12</v>
      </c>
      <c r="B84" s="107" t="s">
        <v>570</v>
      </c>
      <c r="C84" s="19">
        <v>38101</v>
      </c>
      <c r="D84" s="10">
        <v>0.5104166666666666</v>
      </c>
      <c r="E84" s="4">
        <f t="shared" si="23"/>
        <v>9612</v>
      </c>
      <c r="F84" s="1">
        <v>448</v>
      </c>
      <c r="G84" s="38">
        <f t="shared" si="14"/>
        <v>12.686015999999999</v>
      </c>
      <c r="H84" s="57">
        <v>61.6</v>
      </c>
      <c r="I84" s="57">
        <v>16.8</v>
      </c>
      <c r="J84" s="57">
        <v>138.55035416666666</v>
      </c>
      <c r="K84" s="39">
        <v>7.01</v>
      </c>
      <c r="L84" s="38">
        <f t="shared" si="15"/>
        <v>781.4585855999999</v>
      </c>
      <c r="M84" s="38">
        <f t="shared" si="16"/>
        <v>213.12506879999998</v>
      </c>
      <c r="N84" s="38">
        <f t="shared" si="17"/>
        <v>1757.6520097639998</v>
      </c>
      <c r="O84" s="38">
        <f t="shared" si="18"/>
        <v>88.92897215999999</v>
      </c>
      <c r="P84" s="38">
        <f t="shared" si="19"/>
        <v>461.54897711999996</v>
      </c>
      <c r="Q84" s="38">
        <f t="shared" si="20"/>
        <v>125.45911639295998</v>
      </c>
      <c r="R84" s="38">
        <f t="shared" si="21"/>
        <v>1032.1376045648599</v>
      </c>
      <c r="S84" s="38">
        <f t="shared" si="22"/>
        <v>53.301970778112</v>
      </c>
    </row>
    <row r="85" spans="1:19" ht="12.75">
      <c r="A85">
        <v>13</v>
      </c>
      <c r="B85" s="107" t="s">
        <v>571</v>
      </c>
      <c r="C85" s="19">
        <v>38108</v>
      </c>
      <c r="D85" s="10">
        <v>0.5208333333333334</v>
      </c>
      <c r="E85" s="4">
        <f t="shared" si="23"/>
        <v>9619</v>
      </c>
      <c r="F85" s="1">
        <v>488</v>
      </c>
      <c r="G85" s="38">
        <f t="shared" si="14"/>
        <v>13.818696</v>
      </c>
      <c r="H85" s="57">
        <v>53.9</v>
      </c>
      <c r="I85" s="57">
        <v>14.6</v>
      </c>
      <c r="J85" s="57">
        <v>119.80156770833335</v>
      </c>
      <c r="K85" s="39">
        <v>6.32</v>
      </c>
      <c r="L85" s="38">
        <f t="shared" si="15"/>
        <v>744.8277144</v>
      </c>
      <c r="M85" s="38">
        <f t="shared" si="16"/>
        <v>201.7529616</v>
      </c>
      <c r="N85" s="38">
        <f t="shared" si="17"/>
        <v>1655.5014444848753</v>
      </c>
      <c r="O85" s="38">
        <f t="shared" si="18"/>
        <v>87.33415872</v>
      </c>
      <c r="P85" s="38">
        <f t="shared" si="19"/>
        <v>405.58680587376</v>
      </c>
      <c r="Q85" s="38">
        <f t="shared" si="20"/>
        <v>114.22943282923201</v>
      </c>
      <c r="R85" s="38">
        <f t="shared" si="21"/>
        <v>1081.7792806876446</v>
      </c>
      <c r="S85" s="38">
        <f t="shared" si="22"/>
        <v>49.127735529936004</v>
      </c>
    </row>
    <row r="86" spans="1:19" ht="12.75">
      <c r="A86">
        <v>14</v>
      </c>
      <c r="B86" s="107" t="s">
        <v>572</v>
      </c>
      <c r="C86" s="19">
        <v>38115</v>
      </c>
      <c r="D86" s="10">
        <v>0.607638888888889</v>
      </c>
      <c r="E86" s="4">
        <f t="shared" si="23"/>
        <v>9626</v>
      </c>
      <c r="F86" s="1">
        <v>739</v>
      </c>
      <c r="G86" s="38">
        <f t="shared" si="14"/>
        <v>20.926263</v>
      </c>
      <c r="H86" s="57">
        <v>28.5</v>
      </c>
      <c r="I86" s="57">
        <v>8.41</v>
      </c>
      <c r="J86" s="57">
        <v>91.83727604166667</v>
      </c>
      <c r="K86" s="39">
        <v>3.59</v>
      </c>
      <c r="L86" s="38">
        <f t="shared" si="15"/>
        <v>596.3984955</v>
      </c>
      <c r="M86" s="38">
        <f t="shared" si="16"/>
        <v>175.98987183</v>
      </c>
      <c r="N86" s="38">
        <f t="shared" si="17"/>
        <v>1921.8109916515155</v>
      </c>
      <c r="O86" s="38">
        <f t="shared" si="18"/>
        <v>75.12528416999999</v>
      </c>
      <c r="P86" s="38">
        <f t="shared" si="19"/>
        <v>1036.9713717</v>
      </c>
      <c r="Q86" s="38">
        <f t="shared" si="20"/>
        <v>345.88814304744</v>
      </c>
      <c r="R86" s="38">
        <f t="shared" si="21"/>
        <v>2496.22399273892</v>
      </c>
      <c r="S86" s="38">
        <f t="shared" si="22"/>
        <v>122.73869314151999</v>
      </c>
    </row>
    <row r="87" spans="1:19" ht="12.75">
      <c r="A87">
        <v>15</v>
      </c>
      <c r="B87" t="s">
        <v>573</v>
      </c>
      <c r="C87" s="19">
        <v>38130</v>
      </c>
      <c r="D87" s="10">
        <v>0.5354166666666667</v>
      </c>
      <c r="E87" s="4">
        <f t="shared" si="23"/>
        <v>9641</v>
      </c>
      <c r="F87" s="1">
        <v>909</v>
      </c>
      <c r="G87" s="38">
        <f t="shared" si="14"/>
        <v>25.740153</v>
      </c>
      <c r="H87" s="48">
        <v>39</v>
      </c>
      <c r="I87" s="48">
        <v>13.9</v>
      </c>
      <c r="J87" s="57">
        <v>74.99514583333332</v>
      </c>
      <c r="K87" s="83">
        <v>4.44</v>
      </c>
      <c r="L87" s="38">
        <f t="shared" si="15"/>
        <v>1003.865967</v>
      </c>
      <c r="M87" s="38">
        <f t="shared" si="16"/>
        <v>357.7881267</v>
      </c>
      <c r="N87" s="38">
        <f t="shared" si="17"/>
        <v>1930.3865280073123</v>
      </c>
      <c r="O87" s="38">
        <f t="shared" si="18"/>
        <v>114.28627932</v>
      </c>
      <c r="P87" s="38">
        <f t="shared" si="19"/>
        <v>230.12369593920002</v>
      </c>
      <c r="Q87" s="38">
        <f t="shared" si="20"/>
        <v>74.01273642432</v>
      </c>
      <c r="R87" s="38">
        <f t="shared" si="21"/>
        <v>468.7824633584763</v>
      </c>
      <c r="S87" s="38">
        <f t="shared" si="22"/>
        <v>26.396405591472</v>
      </c>
    </row>
    <row r="88" spans="1:19" ht="12.75">
      <c r="A88">
        <v>16</v>
      </c>
      <c r="B88" t="s">
        <v>574</v>
      </c>
      <c r="C88" s="19">
        <v>38133</v>
      </c>
      <c r="D88" s="10">
        <v>0.7916666666666666</v>
      </c>
      <c r="E88" s="4">
        <f t="shared" si="23"/>
        <v>9644</v>
      </c>
      <c r="F88" s="1">
        <v>575</v>
      </c>
      <c r="G88" s="38">
        <f t="shared" si="14"/>
        <v>16.282275</v>
      </c>
      <c r="H88" s="48">
        <v>47.4</v>
      </c>
      <c r="I88" s="48">
        <v>13.1</v>
      </c>
      <c r="J88" s="57">
        <v>103.59498958333333</v>
      </c>
      <c r="K88" s="83">
        <v>5.49</v>
      </c>
      <c r="L88" s="38">
        <f t="shared" si="15"/>
        <v>771.7798349999999</v>
      </c>
      <c r="M88" s="38">
        <f t="shared" si="16"/>
        <v>213.29780249999996</v>
      </c>
      <c r="N88" s="38">
        <f t="shared" si="17"/>
        <v>1686.7621090179684</v>
      </c>
      <c r="O88" s="38">
        <f t="shared" si="18"/>
        <v>89.38968975</v>
      </c>
      <c r="P88" s="38">
        <f t="shared" si="19"/>
        <v>646.5037506336</v>
      </c>
      <c r="Q88" s="38">
        <f t="shared" si="20"/>
        <v>171.14989620959997</v>
      </c>
      <c r="R88" s="38">
        <f t="shared" si="21"/>
        <v>1428.3940304277182</v>
      </c>
      <c r="S88" s="38">
        <f t="shared" si="22"/>
        <v>75.04654252176</v>
      </c>
    </row>
    <row r="89" spans="1:19" ht="12.75">
      <c r="A89">
        <v>17</v>
      </c>
      <c r="B89" t="s">
        <v>575</v>
      </c>
      <c r="C89" s="19">
        <v>38143</v>
      </c>
      <c r="D89" s="10">
        <v>0.5729166666666666</v>
      </c>
      <c r="E89" s="4">
        <f t="shared" si="23"/>
        <v>9654</v>
      </c>
      <c r="F89" s="1">
        <v>598</v>
      </c>
      <c r="G89" s="38">
        <f t="shared" si="14"/>
        <v>16.933566</v>
      </c>
      <c r="H89" s="48">
        <v>42.8</v>
      </c>
      <c r="I89" s="48">
        <v>10.8</v>
      </c>
      <c r="J89" s="57">
        <v>95.65058854166668</v>
      </c>
      <c r="K89" s="83">
        <v>4.98</v>
      </c>
      <c r="L89" s="38">
        <f t="shared" si="15"/>
        <v>724.7566247999999</v>
      </c>
      <c r="M89" s="38">
        <f t="shared" si="16"/>
        <v>182.8825128</v>
      </c>
      <c r="N89" s="38">
        <f t="shared" si="17"/>
        <v>1619.7055540091565</v>
      </c>
      <c r="O89" s="38">
        <f t="shared" si="18"/>
        <v>84.32915868</v>
      </c>
      <c r="P89" s="38">
        <f t="shared" si="19"/>
        <v>485.65827480239994</v>
      </c>
      <c r="Q89" s="38">
        <f t="shared" si="20"/>
        <v>134.72177926031998</v>
      </c>
      <c r="R89" s="38">
        <f t="shared" si="21"/>
        <v>1058.1026801315766</v>
      </c>
      <c r="S89" s="38">
        <f t="shared" si="22"/>
        <v>55.915331303664</v>
      </c>
    </row>
    <row r="90" spans="1:19" ht="12.75">
      <c r="A90">
        <v>18</v>
      </c>
      <c r="B90" t="s">
        <v>576</v>
      </c>
      <c r="C90" s="19">
        <v>38150</v>
      </c>
      <c r="D90" s="10">
        <v>0.625</v>
      </c>
      <c r="E90" s="4">
        <f t="shared" si="23"/>
        <v>9661</v>
      </c>
      <c r="F90" s="1">
        <v>687</v>
      </c>
      <c r="G90" s="38">
        <f t="shared" si="14"/>
        <v>19.453778999999997</v>
      </c>
      <c r="H90" s="48">
        <v>45.3</v>
      </c>
      <c r="I90" s="48">
        <v>13.5</v>
      </c>
      <c r="J90" s="57">
        <v>96.60391666666668</v>
      </c>
      <c r="K90" s="83">
        <v>5.17</v>
      </c>
      <c r="L90" s="38">
        <f t="shared" si="15"/>
        <v>881.2561886999998</v>
      </c>
      <c r="M90" s="38">
        <f t="shared" si="16"/>
        <v>262.6260165</v>
      </c>
      <c r="N90" s="38">
        <f t="shared" si="17"/>
        <v>1879.31124536775</v>
      </c>
      <c r="O90" s="38">
        <f t="shared" si="18"/>
        <v>100.57603742999999</v>
      </c>
      <c r="P90" s="38">
        <f t="shared" si="19"/>
        <v>412.2299061129599</v>
      </c>
      <c r="Q90" s="38">
        <f t="shared" si="20"/>
        <v>111.78317431872</v>
      </c>
      <c r="R90" s="38">
        <f t="shared" si="21"/>
        <v>909.7580311059941</v>
      </c>
      <c r="S90" s="38">
        <f t="shared" si="22"/>
        <v>48.07400196671999</v>
      </c>
    </row>
    <row r="91" spans="1:19" ht="12.75">
      <c r="A91">
        <v>19</v>
      </c>
      <c r="B91" t="s">
        <v>577</v>
      </c>
      <c r="C91" s="19">
        <v>38156</v>
      </c>
      <c r="D91" s="10">
        <v>0.5833333333333334</v>
      </c>
      <c r="E91" s="4">
        <f t="shared" si="23"/>
        <v>9667</v>
      </c>
      <c r="F91" s="1">
        <v>509</v>
      </c>
      <c r="G91" s="38">
        <f t="shared" si="14"/>
        <v>14.413352999999999</v>
      </c>
      <c r="H91" s="48">
        <v>49.2</v>
      </c>
      <c r="I91" s="48">
        <v>11.7</v>
      </c>
      <c r="J91" s="57">
        <v>113.12827083333333</v>
      </c>
      <c r="K91" s="83">
        <v>5.89</v>
      </c>
      <c r="L91" s="38">
        <f t="shared" si="15"/>
        <v>709.1369675999999</v>
      </c>
      <c r="M91" s="38">
        <f t="shared" si="16"/>
        <v>168.63623009999998</v>
      </c>
      <c r="N91" s="38">
        <f t="shared" si="17"/>
        <v>1630.5577018004374</v>
      </c>
      <c r="O91" s="38">
        <f t="shared" si="18"/>
        <v>84.89464917</v>
      </c>
      <c r="P91" s="38">
        <f t="shared" si="19"/>
        <v>527.86425586176</v>
      </c>
      <c r="Q91" s="38">
        <f t="shared" si="20"/>
        <v>124.43252773247997</v>
      </c>
      <c r="R91" s="38">
        <f t="shared" si="21"/>
        <v>1154.0475877718375</v>
      </c>
      <c r="S91" s="38">
        <f t="shared" si="22"/>
        <v>60.900586273151994</v>
      </c>
    </row>
    <row r="92" spans="1:19" ht="12.75">
      <c r="A92">
        <v>20</v>
      </c>
      <c r="B92" t="s">
        <v>578</v>
      </c>
      <c r="C92" s="19">
        <v>38164</v>
      </c>
      <c r="D92" s="10">
        <v>0.5868055555555556</v>
      </c>
      <c r="E92" s="4">
        <f t="shared" si="23"/>
        <v>9675</v>
      </c>
      <c r="F92" s="1">
        <v>516</v>
      </c>
      <c r="G92" s="38">
        <f t="shared" si="14"/>
        <v>14.611571999999999</v>
      </c>
      <c r="H92" s="48">
        <v>56</v>
      </c>
      <c r="I92" s="48">
        <v>13.1</v>
      </c>
      <c r="J92" s="57">
        <v>116.94158333333334</v>
      </c>
      <c r="K92" s="83">
        <v>6.25</v>
      </c>
      <c r="L92" s="38">
        <f t="shared" si="15"/>
        <v>818.248032</v>
      </c>
      <c r="M92" s="38">
        <f t="shared" si="16"/>
        <v>191.41159319999997</v>
      </c>
      <c r="N92" s="38">
        <f t="shared" si="17"/>
        <v>1708.700364669</v>
      </c>
      <c r="O92" s="38">
        <f t="shared" si="18"/>
        <v>91.32232499999999</v>
      </c>
      <c r="P92" s="38">
        <f t="shared" si="19"/>
        <v>454.25924346095996</v>
      </c>
      <c r="Q92" s="38">
        <f t="shared" si="20"/>
        <v>105.27170055695998</v>
      </c>
      <c r="R92" s="38">
        <f t="shared" si="21"/>
        <v>1037.3567425796327</v>
      </c>
      <c r="S92" s="38">
        <f t="shared" si="22"/>
        <v>51.898056959951994</v>
      </c>
    </row>
    <row r="93" spans="1:19" ht="12.75">
      <c r="A93">
        <v>21</v>
      </c>
      <c r="B93" t="s">
        <v>579</v>
      </c>
      <c r="C93" s="19">
        <v>38171</v>
      </c>
      <c r="D93" s="10">
        <v>0.6666666666666666</v>
      </c>
      <c r="E93" s="4">
        <f t="shared" si="23"/>
        <v>9682</v>
      </c>
      <c r="F93" s="1">
        <v>429</v>
      </c>
      <c r="G93" s="38">
        <f t="shared" si="14"/>
        <v>12.147993</v>
      </c>
      <c r="H93" s="48">
        <v>56.3</v>
      </c>
      <c r="I93" s="48">
        <v>12.9</v>
      </c>
      <c r="J93" s="57">
        <v>141.72811458333334</v>
      </c>
      <c r="K93" s="83">
        <v>6.61</v>
      </c>
      <c r="L93" s="38">
        <f t="shared" si="15"/>
        <v>683.9320058999999</v>
      </c>
      <c r="M93" s="38">
        <f t="shared" si="16"/>
        <v>156.7091097</v>
      </c>
      <c r="N93" s="38">
        <f t="shared" si="17"/>
        <v>1721.7121438615313</v>
      </c>
      <c r="O93" s="38">
        <f t="shared" si="18"/>
        <v>80.29823373</v>
      </c>
      <c r="P93" s="38">
        <f t="shared" si="19"/>
        <v>238.04477183807995</v>
      </c>
      <c r="Q93" s="38">
        <f t="shared" si="20"/>
        <v>54.83245886783999</v>
      </c>
      <c r="R93" s="38">
        <f t="shared" si="21"/>
        <v>569.1200612688801</v>
      </c>
      <c r="S93" s="38">
        <f t="shared" si="22"/>
        <v>27.832540984128002</v>
      </c>
    </row>
    <row r="94" spans="1:19" ht="12.75">
      <c r="A94">
        <v>22</v>
      </c>
      <c r="B94" t="s">
        <v>580</v>
      </c>
      <c r="C94" s="19">
        <v>38175</v>
      </c>
      <c r="D94" s="10">
        <v>0.6875</v>
      </c>
      <c r="E94" s="4">
        <f t="shared" si="23"/>
        <v>9686</v>
      </c>
      <c r="F94" s="1">
        <v>411</v>
      </c>
      <c r="G94" s="38">
        <f t="shared" si="14"/>
        <v>11.638287</v>
      </c>
      <c r="H94" s="48">
        <v>59.6</v>
      </c>
      <c r="I94" s="48">
        <v>13.8</v>
      </c>
      <c r="J94" s="57">
        <v>135.05481770833336</v>
      </c>
      <c r="K94" s="83">
        <v>6.94</v>
      </c>
      <c r="L94" s="38">
        <f t="shared" si="15"/>
        <v>693.6419052</v>
      </c>
      <c r="M94" s="38">
        <f t="shared" si="16"/>
        <v>160.6083606</v>
      </c>
      <c r="N94" s="38">
        <f t="shared" si="17"/>
        <v>1571.8067292222659</v>
      </c>
      <c r="O94" s="38">
        <f t="shared" si="18"/>
        <v>80.76971178000001</v>
      </c>
      <c r="P94" s="38">
        <f t="shared" si="19"/>
        <v>176.36431091904</v>
      </c>
      <c r="Q94" s="38">
        <f t="shared" si="20"/>
        <v>40.094941913279996</v>
      </c>
      <c r="R94" s="38">
        <f t="shared" si="21"/>
        <v>401.8973398902952</v>
      </c>
      <c r="S94" s="38">
        <f t="shared" si="22"/>
        <v>20.619018566208002</v>
      </c>
    </row>
    <row r="95" spans="1:19" ht="12.75">
      <c r="A95">
        <v>23</v>
      </c>
      <c r="B95" t="s">
        <v>581</v>
      </c>
      <c r="C95" s="19">
        <v>38178</v>
      </c>
      <c r="D95" s="10">
        <v>0.6041666666666666</v>
      </c>
      <c r="E95" s="4">
        <f t="shared" si="23"/>
        <v>9689</v>
      </c>
      <c r="F95" s="1">
        <v>398</v>
      </c>
      <c r="G95" s="38">
        <f t="shared" si="14"/>
        <v>11.270166</v>
      </c>
      <c r="H95" s="48">
        <v>59.2</v>
      </c>
      <c r="I95" s="48">
        <v>13.2</v>
      </c>
      <c r="J95" s="57">
        <v>135.69036979166668</v>
      </c>
      <c r="K95" s="83">
        <v>6.95</v>
      </c>
      <c r="L95" s="38">
        <f t="shared" si="15"/>
        <v>667.1938272</v>
      </c>
      <c r="M95" s="38">
        <f t="shared" si="16"/>
        <v>148.76619119999998</v>
      </c>
      <c r="N95" s="38">
        <f t="shared" si="17"/>
        <v>1529.252992153469</v>
      </c>
      <c r="O95" s="38">
        <f t="shared" si="18"/>
        <v>78.3276537</v>
      </c>
      <c r="P95" s="38">
        <f t="shared" si="19"/>
        <v>398.16348846624004</v>
      </c>
      <c r="Q95" s="38">
        <f t="shared" si="20"/>
        <v>87.39973636127999</v>
      </c>
      <c r="R95" s="38">
        <f t="shared" si="21"/>
        <v>916.5437657392338</v>
      </c>
      <c r="S95" s="38">
        <f t="shared" si="22"/>
        <v>46.85021824896</v>
      </c>
    </row>
    <row r="96" spans="1:19" ht="12.75">
      <c r="A96">
        <v>24</v>
      </c>
      <c r="B96" t="s">
        <v>582</v>
      </c>
      <c r="C96" s="19">
        <v>38185</v>
      </c>
      <c r="D96" s="10">
        <v>0.4236111111111111</v>
      </c>
      <c r="E96" s="4">
        <f t="shared" si="23"/>
        <v>9696</v>
      </c>
      <c r="F96" s="1">
        <v>381</v>
      </c>
      <c r="G96" s="38">
        <f t="shared" si="14"/>
        <v>10.788777</v>
      </c>
      <c r="H96" s="48">
        <v>60.2</v>
      </c>
      <c r="I96" s="48">
        <v>13</v>
      </c>
      <c r="J96" s="57">
        <v>139.18590625</v>
      </c>
      <c r="K96" s="83">
        <v>7.1</v>
      </c>
      <c r="L96" s="38">
        <f t="shared" si="15"/>
        <v>649.4843754</v>
      </c>
      <c r="M96" s="38">
        <f t="shared" si="16"/>
        <v>140.254101</v>
      </c>
      <c r="N96" s="38">
        <f t="shared" si="17"/>
        <v>1501.6457040741561</v>
      </c>
      <c r="O96" s="38">
        <f t="shared" si="18"/>
        <v>76.6003167</v>
      </c>
      <c r="P96" s="38">
        <f t="shared" si="19"/>
        <v>400.54915720512</v>
      </c>
      <c r="Q96" s="38">
        <f t="shared" si="20"/>
        <v>89.10378546047998</v>
      </c>
      <c r="R96" s="38">
        <f t="shared" si="21"/>
        <v>928.4568972453211</v>
      </c>
      <c r="S96" s="38">
        <f t="shared" si="22"/>
        <v>47.02062315887999</v>
      </c>
    </row>
    <row r="97" spans="1:19" ht="12.75">
      <c r="A97">
        <v>25</v>
      </c>
      <c r="B97" t="s">
        <v>583</v>
      </c>
      <c r="C97" s="19">
        <v>38192</v>
      </c>
      <c r="D97" s="10">
        <v>0.5208333333333334</v>
      </c>
      <c r="E97" s="4">
        <f t="shared" si="23"/>
        <v>9703</v>
      </c>
      <c r="F97" s="1">
        <v>398</v>
      </c>
      <c r="G97" s="38">
        <f t="shared" si="14"/>
        <v>11.270166</v>
      </c>
      <c r="H97" s="48">
        <v>59.9</v>
      </c>
      <c r="I97" s="48">
        <v>13.7</v>
      </c>
      <c r="J97" s="57">
        <v>139.18590625</v>
      </c>
      <c r="K97" s="83">
        <v>7</v>
      </c>
      <c r="L97" s="38">
        <f t="shared" si="15"/>
        <v>675.0829434</v>
      </c>
      <c r="M97" s="38">
        <f t="shared" si="16"/>
        <v>154.4012742</v>
      </c>
      <c r="N97" s="38">
        <f t="shared" si="17"/>
        <v>1568.6482682979374</v>
      </c>
      <c r="O97" s="38">
        <f t="shared" si="18"/>
        <v>78.891162</v>
      </c>
      <c r="P97" s="38">
        <f t="shared" si="19"/>
        <v>1277.16388151616</v>
      </c>
      <c r="Q97" s="38">
        <f t="shared" si="20"/>
        <v>277.82826299711996</v>
      </c>
      <c r="R97" s="38">
        <f t="shared" si="21"/>
        <v>2929.860657866082</v>
      </c>
      <c r="S97" s="38">
        <f t="shared" si="22"/>
        <v>149.95497510575998</v>
      </c>
    </row>
    <row r="98" spans="1:19" ht="12.75">
      <c r="A98">
        <v>26</v>
      </c>
      <c r="B98" t="s">
        <v>584</v>
      </c>
      <c r="C98" s="19">
        <v>38214</v>
      </c>
      <c r="D98" s="1" t="s">
        <v>199</v>
      </c>
      <c r="E98" s="4">
        <f t="shared" si="23"/>
        <v>9725</v>
      </c>
      <c r="F98" s="1">
        <v>369</v>
      </c>
      <c r="G98" s="38">
        <f t="shared" si="14"/>
        <v>10.448972999999999</v>
      </c>
      <c r="H98" s="48">
        <v>64</v>
      </c>
      <c r="I98" s="48">
        <v>13.2</v>
      </c>
      <c r="J98" s="57">
        <v>144.905875</v>
      </c>
      <c r="K98" s="83">
        <v>7.55</v>
      </c>
      <c r="L98" s="38">
        <f t="shared" si="15"/>
        <v>668.7342719999999</v>
      </c>
      <c r="M98" s="38">
        <f t="shared" si="16"/>
        <v>137.92644359999997</v>
      </c>
      <c r="N98" s="38">
        <f t="shared" si="17"/>
        <v>1514.1175754163748</v>
      </c>
      <c r="O98" s="38">
        <f t="shared" si="18"/>
        <v>78.88974615</v>
      </c>
      <c r="P98" s="38">
        <f t="shared" si="19"/>
        <v>350.35127150112</v>
      </c>
      <c r="Q98" s="38">
        <f t="shared" si="20"/>
        <v>74.34155795903999</v>
      </c>
      <c r="R98" s="38">
        <f t="shared" si="21"/>
        <v>790.5722933338092</v>
      </c>
      <c r="S98" s="38">
        <f t="shared" si="22"/>
        <v>41.14195959024</v>
      </c>
    </row>
    <row r="99" spans="1:19" ht="12.75">
      <c r="A99">
        <v>27</v>
      </c>
      <c r="B99" t="s">
        <v>585</v>
      </c>
      <c r="C99" s="19">
        <v>38220</v>
      </c>
      <c r="D99" s="10">
        <v>0.5208333333333334</v>
      </c>
      <c r="E99" s="4">
        <f t="shared" si="23"/>
        <v>9731</v>
      </c>
      <c r="F99" s="1">
        <v>381</v>
      </c>
      <c r="G99" s="38">
        <f t="shared" si="14"/>
        <v>10.788777</v>
      </c>
      <c r="H99" s="48">
        <v>63.3</v>
      </c>
      <c r="I99" s="48">
        <v>13.8</v>
      </c>
      <c r="J99" s="57">
        <v>142.36366666666666</v>
      </c>
      <c r="K99" s="83">
        <v>7.4</v>
      </c>
      <c r="L99" s="38">
        <f t="shared" si="15"/>
        <v>682.9295840999999</v>
      </c>
      <c r="M99" s="38">
        <f t="shared" si="16"/>
        <v>148.8851226</v>
      </c>
      <c r="N99" s="38">
        <f t="shared" si="17"/>
        <v>1535.9298525689999</v>
      </c>
      <c r="O99" s="38">
        <f t="shared" si="18"/>
        <v>79.8369498</v>
      </c>
      <c r="P99" s="38">
        <f t="shared" si="19"/>
        <v>186.61686361488</v>
      </c>
      <c r="Q99" s="38">
        <f t="shared" si="20"/>
        <v>46.77229439567999</v>
      </c>
      <c r="R99" s="38">
        <f t="shared" si="21"/>
        <v>388.9781656922495</v>
      </c>
      <c r="S99" s="38">
        <f t="shared" si="22"/>
        <v>20.561401399968</v>
      </c>
    </row>
    <row r="100" spans="1:19" ht="12.75">
      <c r="A100">
        <v>28</v>
      </c>
      <c r="B100" t="s">
        <v>586</v>
      </c>
      <c r="C100" s="19">
        <v>38223</v>
      </c>
      <c r="D100" s="10">
        <v>0.53125</v>
      </c>
      <c r="E100" s="4">
        <f t="shared" si="23"/>
        <v>9734</v>
      </c>
      <c r="F100" s="1">
        <v>423</v>
      </c>
      <c r="G100" s="38">
        <f t="shared" si="14"/>
        <v>11.978091</v>
      </c>
      <c r="H100" s="48">
        <v>63.2</v>
      </c>
      <c r="I100" s="48">
        <v>17.7</v>
      </c>
      <c r="J100" s="57">
        <v>122.34377604166667</v>
      </c>
      <c r="K100" s="83">
        <v>6.58</v>
      </c>
      <c r="L100" s="38">
        <f t="shared" si="15"/>
        <v>757.0153511999999</v>
      </c>
      <c r="M100" s="38">
        <f t="shared" si="16"/>
        <v>212.01221069999997</v>
      </c>
      <c r="N100" s="38">
        <f t="shared" si="17"/>
        <v>1465.444882710703</v>
      </c>
      <c r="O100" s="38">
        <f t="shared" si="18"/>
        <v>78.81583877999999</v>
      </c>
      <c r="P100" s="38">
        <f t="shared" si="19"/>
        <v>254.2935466944</v>
      </c>
      <c r="Q100" s="38">
        <f t="shared" si="20"/>
        <v>69.81879390335999</v>
      </c>
      <c r="R100" s="38">
        <f t="shared" si="21"/>
        <v>521.6416879207275</v>
      </c>
      <c r="S100" s="38">
        <f t="shared" si="22"/>
        <v>27.636716016576</v>
      </c>
    </row>
    <row r="101" spans="1:19" ht="12.75">
      <c r="A101">
        <v>29</v>
      </c>
      <c r="B101" t="s">
        <v>587</v>
      </c>
      <c r="C101" s="19">
        <v>38227</v>
      </c>
      <c r="D101" s="10">
        <v>0.5416666666666666</v>
      </c>
      <c r="E101" s="4">
        <f t="shared" si="23"/>
        <v>9738</v>
      </c>
      <c r="F101" s="1">
        <v>411</v>
      </c>
      <c r="G101" s="38">
        <f t="shared" si="14"/>
        <v>11.638287</v>
      </c>
      <c r="H101" s="48">
        <v>61.4</v>
      </c>
      <c r="I101" s="48">
        <v>16.5</v>
      </c>
      <c r="J101" s="57">
        <v>133.4659375</v>
      </c>
      <c r="K101" s="83">
        <v>6.97</v>
      </c>
      <c r="L101" s="38">
        <f t="shared" si="15"/>
        <v>714.5908218</v>
      </c>
      <c r="M101" s="38">
        <f t="shared" si="16"/>
        <v>192.0317355</v>
      </c>
      <c r="N101" s="38">
        <f t="shared" si="17"/>
        <v>1553.3148853490625</v>
      </c>
      <c r="O101" s="38">
        <f t="shared" si="18"/>
        <v>81.11886039</v>
      </c>
      <c r="P101" s="38">
        <f t="shared" si="19"/>
        <v>843.8536769846397</v>
      </c>
      <c r="Q101" s="38">
        <f t="shared" si="20"/>
        <v>206.6951615904</v>
      </c>
      <c r="R101" s="38">
        <f t="shared" si="21"/>
        <v>1861.9097993890382</v>
      </c>
      <c r="S101" s="38">
        <f t="shared" si="22"/>
        <v>97.22790376387198</v>
      </c>
    </row>
    <row r="102" spans="1:19" ht="12.75">
      <c r="A102">
        <v>30</v>
      </c>
      <c r="B102" t="s">
        <v>588</v>
      </c>
      <c r="C102" s="19">
        <v>38241</v>
      </c>
      <c r="D102" s="10">
        <v>0.6041666666666666</v>
      </c>
      <c r="E102" s="4">
        <f t="shared" si="23"/>
        <v>9752</v>
      </c>
      <c r="F102" s="1">
        <v>375</v>
      </c>
      <c r="G102" s="38">
        <f t="shared" si="14"/>
        <v>10.618875</v>
      </c>
      <c r="H102" s="48">
        <v>64.1</v>
      </c>
      <c r="I102" s="48">
        <v>14.1</v>
      </c>
      <c r="J102" s="57">
        <v>143.63477083333333</v>
      </c>
      <c r="K102" s="83">
        <v>7.5</v>
      </c>
      <c r="L102" s="38">
        <f t="shared" si="15"/>
        <v>680.6698874999998</v>
      </c>
      <c r="M102" s="38">
        <f t="shared" si="16"/>
        <v>149.7261375</v>
      </c>
      <c r="N102" s="38">
        <f t="shared" si="17"/>
        <v>1525.2396771328124</v>
      </c>
      <c r="O102" s="38">
        <f t="shared" si="18"/>
        <v>79.64156249999999</v>
      </c>
      <c r="P102" s="38">
        <f t="shared" si="19"/>
        <v>1127.641548109874</v>
      </c>
      <c r="Q102" s="38">
        <f t="shared" si="20"/>
        <v>266.05959183578136</v>
      </c>
      <c r="R102" s="38">
        <f t="shared" si="21"/>
        <v>2553.3292076734792</v>
      </c>
      <c r="S102" s="38">
        <f t="shared" si="22"/>
        <v>132.3973180437315</v>
      </c>
    </row>
    <row r="103" spans="1:19" ht="12.75">
      <c r="A103">
        <v>31</v>
      </c>
      <c r="C103" s="19">
        <v>38260</v>
      </c>
      <c r="D103" s="1"/>
      <c r="E103" s="15">
        <f>C103-28489</f>
        <v>9771</v>
      </c>
      <c r="F103" s="1">
        <v>390</v>
      </c>
      <c r="G103" s="38">
        <f>F103*0.028317</f>
        <v>11.043629999999999</v>
      </c>
      <c r="H103" s="57">
        <f>248.08*G103^-0.5722</f>
        <v>62.76581232398222</v>
      </c>
      <c r="I103" s="57">
        <f>52.612*G103^-0.501</f>
        <v>15.793768780118851</v>
      </c>
      <c r="J103" s="57">
        <f>999.53*G103^-0.8079</f>
        <v>143.57068475671397</v>
      </c>
      <c r="K103" s="39">
        <f>49.065*G103^-0.7879</f>
        <v>7.394417677376891</v>
      </c>
      <c r="L103" s="38">
        <f t="shared" si="15"/>
        <v>693.1624079554996</v>
      </c>
      <c r="M103" s="38">
        <f t="shared" si="16"/>
        <v>174.42053871318393</v>
      </c>
      <c r="N103" s="38">
        <f t="shared" si="17"/>
        <v>1585.5415212997889</v>
      </c>
      <c r="O103" s="38">
        <f t="shared" si="18"/>
        <v>81.66121289440974</v>
      </c>
      <c r="P103" s="38"/>
      <c r="Q103" s="38"/>
      <c r="R103" s="38"/>
      <c r="S103" s="38"/>
    </row>
    <row r="104" spans="3:19" ht="12.75">
      <c r="C104" s="51"/>
      <c r="D104" s="13"/>
      <c r="E104" s="13"/>
      <c r="F104" s="13"/>
      <c r="G104" s="13"/>
      <c r="L104" s="13"/>
      <c r="M104" s="38"/>
      <c r="N104" s="38"/>
      <c r="O104" s="38"/>
      <c r="P104" s="13"/>
      <c r="Q104" s="38"/>
      <c r="R104" s="38"/>
      <c r="S104" s="38"/>
    </row>
    <row r="105" spans="2:19" ht="12.75">
      <c r="B105" s="35" t="s">
        <v>224</v>
      </c>
      <c r="D105" s="1"/>
      <c r="E105" s="1"/>
      <c r="F105" s="38"/>
      <c r="G105" s="38"/>
      <c r="L105" s="38"/>
      <c r="M105" s="38"/>
      <c r="N105" s="38"/>
      <c r="O105" s="38"/>
      <c r="P105" s="38">
        <f>SUM(P73:P102)</f>
        <v>22627.798789619148</v>
      </c>
      <c r="Q105" s="38">
        <f>SUM(Q73:Q103)</f>
        <v>5722.870986487062</v>
      </c>
      <c r="R105" s="38">
        <f>SUM(R73:R103)</f>
        <v>50757.29822226005</v>
      </c>
      <c r="S105" s="38">
        <f>SUM(S73:S103)</f>
        <v>2591.483068592577</v>
      </c>
    </row>
    <row r="108" spans="1:3" ht="12.75">
      <c r="A108" t="s">
        <v>590</v>
      </c>
      <c r="B108" s="49"/>
      <c r="C108" t="s">
        <v>589</v>
      </c>
    </row>
    <row r="109" spans="1:3" ht="12.75">
      <c r="A109" t="s">
        <v>592</v>
      </c>
      <c r="B109" s="49"/>
      <c r="C109" t="s">
        <v>591</v>
      </c>
    </row>
    <row r="110" spans="1:3" ht="12.75">
      <c r="A110" t="s">
        <v>594</v>
      </c>
      <c r="B110" s="49"/>
      <c r="C110" t="s">
        <v>593</v>
      </c>
    </row>
    <row r="111" spans="1:3" ht="12.75">
      <c r="A111" t="s">
        <v>596</v>
      </c>
      <c r="B111" s="49"/>
      <c r="C111" t="s">
        <v>595</v>
      </c>
    </row>
  </sheetData>
  <dataValidations count="1">
    <dataValidation type="textLength" operator="greaterThanOrEqual" allowBlank="1" showInputMessage="1" showErrorMessage="1" sqref="L3:O33 L35:O35">
      <formula1>0</formula1>
    </dataValidation>
  </dataValidation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17"/>
  <sheetViews>
    <sheetView workbookViewId="0" topLeftCell="A1">
      <pane xSplit="2" ySplit="2" topLeftCell="F6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109" sqref="P109:S109"/>
    </sheetView>
  </sheetViews>
  <sheetFormatPr defaultColWidth="9.140625" defaultRowHeight="12.75"/>
  <cols>
    <col min="2" max="2" width="16.28125" style="0" customWidth="1"/>
    <col min="3" max="3" width="10.00390625" style="0" customWidth="1"/>
    <col min="4" max="5" width="8.8515625" style="0" customWidth="1"/>
    <col min="6" max="6" width="9.8515625" style="1" customWidth="1"/>
    <col min="7" max="7" width="10.28125" style="0" customWidth="1"/>
    <col min="8" max="8" width="8.8515625" style="5" customWidth="1"/>
    <col min="9" max="9" width="12.140625" style="116" customWidth="1"/>
    <col min="10" max="10" width="10.28125" style="5" customWidth="1"/>
    <col min="11" max="11" width="8.8515625" style="23" customWidth="1"/>
    <col min="12" max="15" width="10.57421875" style="0" customWidth="1"/>
    <col min="16" max="17" width="8.8515625" style="0" customWidth="1"/>
    <col min="18" max="18" width="10.28125" style="0" customWidth="1"/>
    <col min="19" max="16384" width="8.8515625" style="0" customWidth="1"/>
  </cols>
  <sheetData>
    <row r="1" spans="2:20" s="77" customFormat="1" ht="13.5" thickBot="1">
      <c r="B1" s="67" t="s">
        <v>186</v>
      </c>
      <c r="C1" s="68"/>
      <c r="D1" s="69"/>
      <c r="E1" s="69"/>
      <c r="F1" s="69"/>
      <c r="G1" s="70"/>
      <c r="H1" s="109"/>
      <c r="I1" s="110"/>
      <c r="J1" s="110"/>
      <c r="K1" s="71"/>
      <c r="L1" s="74"/>
      <c r="M1" s="74"/>
      <c r="N1" s="74"/>
      <c r="O1" s="74"/>
      <c r="P1" s="75"/>
      <c r="Q1" s="75"/>
      <c r="R1" s="75"/>
      <c r="S1" s="75"/>
      <c r="T1" s="76"/>
    </row>
    <row r="2" spans="2:19" s="77" customFormat="1" ht="27" thickBot="1" thickTop="1">
      <c r="B2" s="78" t="s">
        <v>0</v>
      </c>
      <c r="C2" s="79" t="s">
        <v>1</v>
      </c>
      <c r="D2" s="79" t="s">
        <v>163</v>
      </c>
      <c r="E2" s="79" t="s">
        <v>29</v>
      </c>
      <c r="F2" s="79" t="s">
        <v>162</v>
      </c>
      <c r="G2" s="80" t="s">
        <v>161</v>
      </c>
      <c r="H2" s="111" t="s">
        <v>2</v>
      </c>
      <c r="I2" s="115" t="s">
        <v>158</v>
      </c>
      <c r="J2" s="111" t="s">
        <v>159</v>
      </c>
      <c r="K2" s="113" t="s">
        <v>160</v>
      </c>
      <c r="L2" s="80" t="s">
        <v>176</v>
      </c>
      <c r="M2" s="80" t="s">
        <v>177</v>
      </c>
      <c r="N2" s="80" t="s">
        <v>178</v>
      </c>
      <c r="O2" s="80" t="s">
        <v>179</v>
      </c>
      <c r="P2" s="81" t="s">
        <v>180</v>
      </c>
      <c r="Q2" s="81" t="s">
        <v>181</v>
      </c>
      <c r="R2" s="81" t="s">
        <v>182</v>
      </c>
      <c r="S2" s="81" t="s">
        <v>183</v>
      </c>
    </row>
    <row r="3" spans="1:19" ht="12.75">
      <c r="A3">
        <v>1</v>
      </c>
      <c r="C3" s="2">
        <v>37165</v>
      </c>
      <c r="E3" s="5">
        <f>C3-28489</f>
        <v>8676</v>
      </c>
      <c r="F3" s="26">
        <v>910</v>
      </c>
      <c r="G3" s="11">
        <f>F3*0.028317</f>
        <v>25.768469999999997</v>
      </c>
      <c r="H3" s="5">
        <f>145.67*G3^-0.7013</f>
        <v>14.920166231516195</v>
      </c>
      <c r="I3" s="116">
        <f>284.57*G3^-0.62</f>
        <v>37.958947433140565</v>
      </c>
      <c r="J3" s="5">
        <f>253.19*G3^-0.3301</f>
        <v>86.62558708872093</v>
      </c>
      <c r="K3" s="23">
        <f>6.0646*G3^-0.5375</f>
        <v>1.057650115794499</v>
      </c>
      <c r="L3" s="11">
        <f>H3*$G3</f>
        <v>384.4698559318381</v>
      </c>
      <c r="M3" s="11">
        <f>I3*$G3</f>
        <v>978.1439981624595</v>
      </c>
      <c r="N3" s="11">
        <f>J3*$G3</f>
        <v>2232.2088421280923</v>
      </c>
      <c r="O3" s="11">
        <f>K3*$G3</f>
        <v>27.254025279347072</v>
      </c>
      <c r="P3" s="11">
        <f>(((L3+L4)/2)*(($E4-$E3)*24*60*60))/1000000</f>
        <v>66.2498026674083</v>
      </c>
      <c r="Q3" s="11">
        <f>(((M3+M4)/2)*(($E4-$E3)*24*60*60))/1000000</f>
        <v>168.41983323766098</v>
      </c>
      <c r="R3" s="11">
        <f>(((N3+N4)/2)*(($E4-$E3)*24*60*60))/1000000</f>
        <v>383.3045792959263</v>
      </c>
      <c r="S3" s="11">
        <f>(((O3+O4)/2)*(($E4-$E3)*24*60*60))/1000000</f>
        <v>4.689047153347387</v>
      </c>
    </row>
    <row r="4" spans="1:19" ht="12.75">
      <c r="A4">
        <v>2</v>
      </c>
      <c r="B4" s="1"/>
      <c r="C4" s="8">
        <v>37167</v>
      </c>
      <c r="D4" s="22"/>
      <c r="E4" s="5">
        <f>C4-28489</f>
        <v>8678</v>
      </c>
      <c r="F4" s="1">
        <v>893</v>
      </c>
      <c r="G4" s="11">
        <f aca="true" t="shared" si="0" ref="G4:G31">F4*0.028317</f>
        <v>25.287080999999997</v>
      </c>
      <c r="H4" s="5">
        <f>145.67*G4^-0.7013</f>
        <v>15.11879791635641</v>
      </c>
      <c r="I4" s="116">
        <f>284.57*G4^-0.62</f>
        <v>38.40536704388424</v>
      </c>
      <c r="J4" s="5">
        <f>253.19*G4^-0.3301</f>
        <v>87.1665160393467</v>
      </c>
      <c r="K4" s="23">
        <f>6.0646*G4^-0.5375</f>
        <v>1.0684251697664018</v>
      </c>
      <c r="L4" s="11">
        <f aca="true" t="shared" si="1" ref="L4:L31">H4*$G4</f>
        <v>382.31026753353575</v>
      </c>
      <c r="M4" s="11">
        <f aca="true" t="shared" si="2" ref="M4:M31">I4*$G4</f>
        <v>971.1596272734312</v>
      </c>
      <c r="N4" s="11">
        <f aca="true" t="shared" si="3" ref="N4:N31">J4*$G4</f>
        <v>2204.186751574759</v>
      </c>
      <c r="O4" s="11">
        <f aca="true" t="shared" si="4" ref="O4:O31">K4*$G4</f>
        <v>27.01735381032175</v>
      </c>
      <c r="P4" s="11">
        <f aca="true" t="shared" si="5" ref="P4:P30">(((L4+L5)/2)*(($E5-$E4)*24*60*60))/1000000</f>
        <v>968.683861208281</v>
      </c>
      <c r="Q4" s="11">
        <f aca="true" t="shared" si="6" ref="Q4:Q30">(((M4+M5)/2)*(($E5-$E4)*24*60*60))/1000000</f>
        <v>2468.2393368535286</v>
      </c>
      <c r="R4" s="11">
        <f aca="true" t="shared" si="7" ref="R4:R30">(((N4+N5)/2)*(($E5-$E4)*24*60*60))/1000000</f>
        <v>5663.981970379468</v>
      </c>
      <c r="S4" s="11">
        <f aca="true" t="shared" si="8" ref="S4:S30">(((O4+O5)/2)*(($E5-$E4)*24*60*60))/1000000</f>
        <v>68.8800905389627</v>
      </c>
    </row>
    <row r="5" spans="1:19" ht="12.75">
      <c r="A5">
        <v>3</v>
      </c>
      <c r="B5" s="1"/>
      <c r="C5" s="8">
        <v>37196</v>
      </c>
      <c r="D5" s="22"/>
      <c r="E5" s="5">
        <f>C5-28489</f>
        <v>8707</v>
      </c>
      <c r="F5" s="1">
        <v>962</v>
      </c>
      <c r="G5" s="11">
        <f t="shared" si="0"/>
        <v>27.240954</v>
      </c>
      <c r="H5" s="5">
        <f>145.67*G5^-0.7013</f>
        <v>14.34989463430044</v>
      </c>
      <c r="I5" s="116">
        <f>284.57*G5^-0.62</f>
        <v>36.67340882717391</v>
      </c>
      <c r="J5" s="5">
        <f>253.19*G5^-0.3301</f>
        <v>85.05104681357896</v>
      </c>
      <c r="K5" s="23">
        <f>6.0646*G5^-0.5375</f>
        <v>1.026526507509341</v>
      </c>
      <c r="L5" s="11">
        <f t="shared" si="1"/>
        <v>390.9048196378251</v>
      </c>
      <c r="M5" s="11">
        <f t="shared" si="2"/>
        <v>999.0186428842384</v>
      </c>
      <c r="N5" s="11">
        <f t="shared" si="3"/>
        <v>2316.871653900551</v>
      </c>
      <c r="O5" s="11">
        <f t="shared" si="4"/>
        <v>27.963561370842612</v>
      </c>
      <c r="P5" s="11">
        <f t="shared" si="5"/>
        <v>1259.21172157007</v>
      </c>
      <c r="Q5" s="11">
        <f t="shared" si="6"/>
        <v>3324.9929719019624</v>
      </c>
      <c r="R5" s="11">
        <f t="shared" si="7"/>
        <v>7005.38861693309</v>
      </c>
      <c r="S5" s="11">
        <f t="shared" si="8"/>
        <v>91.98363701269683</v>
      </c>
    </row>
    <row r="6" spans="1:19" ht="12.75">
      <c r="A6">
        <v>4</v>
      </c>
      <c r="B6" s="1" t="s">
        <v>54</v>
      </c>
      <c r="C6" s="8">
        <v>37238</v>
      </c>
      <c r="D6" s="22">
        <v>0.513888888888889</v>
      </c>
      <c r="E6" s="5">
        <f>C6-28489</f>
        <v>8749</v>
      </c>
      <c r="F6" s="1">
        <v>669</v>
      </c>
      <c r="G6" s="11">
        <f t="shared" si="0"/>
        <v>18.944073</v>
      </c>
      <c r="H6" s="5">
        <v>16</v>
      </c>
      <c r="I6" s="57">
        <v>44</v>
      </c>
      <c r="J6" s="57">
        <v>81.50955468750001</v>
      </c>
      <c r="K6" s="39">
        <v>1.2</v>
      </c>
      <c r="L6" s="11">
        <f t="shared" si="1"/>
        <v>303.105168</v>
      </c>
      <c r="M6" s="11">
        <f t="shared" si="2"/>
        <v>833.539212</v>
      </c>
      <c r="N6" s="11">
        <f t="shared" si="3"/>
        <v>1544.1229541974924</v>
      </c>
      <c r="O6" s="11">
        <f t="shared" si="4"/>
        <v>22.732887599999998</v>
      </c>
      <c r="P6" s="11">
        <f t="shared" si="5"/>
        <v>954.4375334736001</v>
      </c>
      <c r="Q6" s="11">
        <f t="shared" si="6"/>
        <v>2535.357158136</v>
      </c>
      <c r="R6" s="11">
        <f t="shared" si="7"/>
        <v>5018.665349184853</v>
      </c>
      <c r="S6" s="11">
        <f t="shared" si="8"/>
        <v>62.648209118880004</v>
      </c>
    </row>
    <row r="7" spans="1:19" ht="12.75">
      <c r="A7">
        <v>5</v>
      </c>
      <c r="B7" s="1" t="s">
        <v>55</v>
      </c>
      <c r="C7" s="8">
        <v>37271</v>
      </c>
      <c r="D7" s="22">
        <v>0.4298611111111111</v>
      </c>
      <c r="E7" s="5">
        <f aca="true" t="shared" si="9" ref="E7:E31">C7-28489</f>
        <v>8782</v>
      </c>
      <c r="F7" s="1">
        <v>681</v>
      </c>
      <c r="G7" s="11">
        <f t="shared" si="0"/>
        <v>19.283877</v>
      </c>
      <c r="H7" s="5">
        <v>19</v>
      </c>
      <c r="I7" s="57">
        <v>49</v>
      </c>
      <c r="J7" s="57">
        <v>102.4827734375</v>
      </c>
      <c r="K7" s="39">
        <v>1.1</v>
      </c>
      <c r="L7" s="11">
        <f t="shared" si="1"/>
        <v>366.393663</v>
      </c>
      <c r="M7" s="11">
        <f t="shared" si="2"/>
        <v>944.909973</v>
      </c>
      <c r="N7" s="11">
        <f t="shared" si="3"/>
        <v>1976.2651975876172</v>
      </c>
      <c r="O7" s="11">
        <f t="shared" si="4"/>
        <v>21.212264700000002</v>
      </c>
      <c r="P7" s="11">
        <f t="shared" si="5"/>
        <v>913.9917507263999</v>
      </c>
      <c r="Q7" s="11">
        <f t="shared" si="6"/>
        <v>2405.0285960544</v>
      </c>
      <c r="R7" s="11">
        <f t="shared" si="7"/>
        <v>4785.3365265771445</v>
      </c>
      <c r="S7" s="11">
        <f t="shared" si="8"/>
        <v>55.30991067216</v>
      </c>
    </row>
    <row r="8" spans="1:19" ht="12.75">
      <c r="A8">
        <v>6</v>
      </c>
      <c r="B8" s="1" t="s">
        <v>56</v>
      </c>
      <c r="C8" s="8">
        <v>37300</v>
      </c>
      <c r="D8" s="22">
        <v>0.44166666666666665</v>
      </c>
      <c r="E8" s="5">
        <f t="shared" si="9"/>
        <v>8811</v>
      </c>
      <c r="F8" s="1">
        <v>675</v>
      </c>
      <c r="G8" s="11">
        <f t="shared" si="0"/>
        <v>19.113975</v>
      </c>
      <c r="H8" s="5">
        <v>19</v>
      </c>
      <c r="I8" s="57">
        <v>51</v>
      </c>
      <c r="J8" s="57">
        <v>96.44502864583333</v>
      </c>
      <c r="K8" s="39">
        <v>1.2</v>
      </c>
      <c r="L8" s="11">
        <f t="shared" si="1"/>
        <v>363.165525</v>
      </c>
      <c r="M8" s="11">
        <f t="shared" si="2"/>
        <v>974.812725</v>
      </c>
      <c r="N8" s="11">
        <f t="shared" si="3"/>
        <v>1843.447866410742</v>
      </c>
      <c r="O8" s="11">
        <f t="shared" si="4"/>
        <v>22.93677</v>
      </c>
      <c r="P8" s="11">
        <f t="shared" si="5"/>
        <v>667.0196210160001</v>
      </c>
      <c r="Q8" s="11">
        <f t="shared" si="6"/>
        <v>1803.252158568</v>
      </c>
      <c r="R8" s="11">
        <f t="shared" si="7"/>
        <v>3522.7344833209972</v>
      </c>
      <c r="S8" s="11">
        <f t="shared" si="8"/>
        <v>43.3119615264</v>
      </c>
    </row>
    <row r="9" spans="1:19" ht="12.75">
      <c r="A9">
        <v>7</v>
      </c>
      <c r="B9" s="1" t="s">
        <v>57</v>
      </c>
      <c r="C9" s="8">
        <v>37321</v>
      </c>
      <c r="D9" s="22">
        <v>0.7013888888888888</v>
      </c>
      <c r="E9" s="5">
        <f t="shared" si="9"/>
        <v>8832</v>
      </c>
      <c r="F9" s="1">
        <v>730</v>
      </c>
      <c r="G9" s="11">
        <f t="shared" si="0"/>
        <v>20.671409999999998</v>
      </c>
      <c r="H9" s="5">
        <v>18</v>
      </c>
      <c r="I9" s="57">
        <v>49</v>
      </c>
      <c r="J9" s="57">
        <v>98.66946093749998</v>
      </c>
      <c r="K9" s="39">
        <v>1.2</v>
      </c>
      <c r="L9" s="11">
        <f t="shared" si="1"/>
        <v>372.08538</v>
      </c>
      <c r="M9" s="11">
        <f t="shared" si="2"/>
        <v>1012.8990899999999</v>
      </c>
      <c r="N9" s="11">
        <f t="shared" si="3"/>
        <v>2039.6368815180463</v>
      </c>
      <c r="O9" s="11">
        <f t="shared" si="4"/>
        <v>24.805691999999997</v>
      </c>
      <c r="P9" s="11">
        <f t="shared" si="5"/>
        <v>450.38274583680004</v>
      </c>
      <c r="Q9" s="11">
        <f t="shared" si="6"/>
        <v>1209.1041849599999</v>
      </c>
      <c r="R9" s="11">
        <f t="shared" si="7"/>
        <v>2429.8706569069827</v>
      </c>
      <c r="S9" s="11">
        <f t="shared" si="8"/>
        <v>28.258100640000002</v>
      </c>
    </row>
    <row r="10" spans="1:19" ht="12.75">
      <c r="A10">
        <v>8</v>
      </c>
      <c r="B10" s="1" t="s">
        <v>58</v>
      </c>
      <c r="C10" s="8">
        <v>37335</v>
      </c>
      <c r="D10" s="22">
        <v>0.7652777777777778</v>
      </c>
      <c r="E10" s="5">
        <f t="shared" si="9"/>
        <v>8846</v>
      </c>
      <c r="F10" s="1">
        <v>774</v>
      </c>
      <c r="G10" s="11">
        <f t="shared" si="0"/>
        <v>21.917358</v>
      </c>
      <c r="H10" s="5">
        <v>17</v>
      </c>
      <c r="I10" s="57">
        <v>45</v>
      </c>
      <c r="J10" s="57">
        <v>90.24839583333333</v>
      </c>
      <c r="K10" s="39">
        <v>1</v>
      </c>
      <c r="L10" s="11">
        <f t="shared" si="1"/>
        <v>372.595086</v>
      </c>
      <c r="M10" s="11">
        <f t="shared" si="2"/>
        <v>986.28111</v>
      </c>
      <c r="N10" s="11">
        <f t="shared" si="3"/>
        <v>1978.006400404875</v>
      </c>
      <c r="O10" s="11">
        <f t="shared" si="4"/>
        <v>21.917358</v>
      </c>
      <c r="P10" s="11">
        <f t="shared" si="5"/>
        <v>1006.0152952608001</v>
      </c>
      <c r="Q10" s="11">
        <f t="shared" si="6"/>
        <v>2961.1431234720003</v>
      </c>
      <c r="R10" s="11">
        <f t="shared" si="7"/>
        <v>6821.865093812001</v>
      </c>
      <c r="S10" s="11">
        <f t="shared" si="8"/>
        <v>70.05709165248001</v>
      </c>
    </row>
    <row r="11" spans="1:19" ht="12.75">
      <c r="A11">
        <v>9</v>
      </c>
      <c r="B11" s="1" t="s">
        <v>59</v>
      </c>
      <c r="C11" s="8">
        <v>37364</v>
      </c>
      <c r="D11" s="22">
        <v>0.5638888888888889</v>
      </c>
      <c r="E11" s="5">
        <f t="shared" si="9"/>
        <v>8875</v>
      </c>
      <c r="F11" s="1">
        <v>1520</v>
      </c>
      <c r="G11" s="11">
        <f t="shared" si="0"/>
        <v>43.04184</v>
      </c>
      <c r="H11" s="5">
        <v>10</v>
      </c>
      <c r="I11" s="57">
        <v>32</v>
      </c>
      <c r="J11" s="57">
        <v>80.5562265625</v>
      </c>
      <c r="K11" s="39">
        <v>0.79</v>
      </c>
      <c r="L11" s="11">
        <f t="shared" si="1"/>
        <v>430.4184</v>
      </c>
      <c r="M11" s="11">
        <f t="shared" si="2"/>
        <v>1377.33888</v>
      </c>
      <c r="N11" s="11">
        <f t="shared" si="3"/>
        <v>3467.288214706875</v>
      </c>
      <c r="O11" s="11">
        <f t="shared" si="4"/>
        <v>34.0030536</v>
      </c>
      <c r="P11" s="11">
        <f t="shared" si="5"/>
        <v>216.376313472</v>
      </c>
      <c r="Q11" s="11">
        <f t="shared" si="6"/>
        <v>671.441830272</v>
      </c>
      <c r="R11" s="11">
        <f t="shared" si="7"/>
        <v>1625.917373796285</v>
      </c>
      <c r="S11" s="11">
        <f t="shared" si="8"/>
        <v>15.975735546239997</v>
      </c>
    </row>
    <row r="12" spans="1:19" ht="12.75">
      <c r="A12">
        <v>10</v>
      </c>
      <c r="B12" s="1" t="s">
        <v>60</v>
      </c>
      <c r="C12" s="8">
        <v>37370</v>
      </c>
      <c r="D12" s="22">
        <v>0.6951388888888889</v>
      </c>
      <c r="E12" s="5">
        <f t="shared" si="9"/>
        <v>8881</v>
      </c>
      <c r="F12" s="1">
        <v>1190</v>
      </c>
      <c r="G12" s="11">
        <f t="shared" si="0"/>
        <v>33.69723</v>
      </c>
      <c r="H12" s="5">
        <v>12</v>
      </c>
      <c r="I12" s="57">
        <v>36</v>
      </c>
      <c r="J12" s="57">
        <v>83.25732291666667</v>
      </c>
      <c r="K12" s="39">
        <v>0.82</v>
      </c>
      <c r="L12" s="11">
        <f t="shared" si="1"/>
        <v>404.36676</v>
      </c>
      <c r="M12" s="11">
        <f t="shared" si="2"/>
        <v>1213.1002799999999</v>
      </c>
      <c r="N12" s="11">
        <f t="shared" si="3"/>
        <v>2805.5411595071873</v>
      </c>
      <c r="O12" s="11">
        <f t="shared" si="4"/>
        <v>27.631728599999995</v>
      </c>
      <c r="P12" s="11">
        <f t="shared" si="5"/>
        <v>245.28031355519997</v>
      </c>
      <c r="Q12" s="11">
        <f t="shared" si="6"/>
        <v>776.8408757760001</v>
      </c>
      <c r="R12" s="11">
        <f t="shared" si="7"/>
        <v>2067.5188027238846</v>
      </c>
      <c r="S12" s="11">
        <f t="shared" si="8"/>
        <v>17.14153510944</v>
      </c>
    </row>
    <row r="13" spans="1:19" ht="12.75">
      <c r="A13">
        <v>11</v>
      </c>
      <c r="B13" s="1" t="s">
        <v>61</v>
      </c>
      <c r="C13" s="8">
        <v>37377</v>
      </c>
      <c r="D13" s="22">
        <v>0.6145833333333334</v>
      </c>
      <c r="E13" s="5">
        <f t="shared" si="9"/>
        <v>8888</v>
      </c>
      <c r="F13" s="1">
        <v>2280</v>
      </c>
      <c r="G13" s="11">
        <f t="shared" si="0"/>
        <v>64.56276</v>
      </c>
      <c r="H13" s="5">
        <v>6.3</v>
      </c>
      <c r="I13" s="57">
        <v>21</v>
      </c>
      <c r="J13" s="57">
        <v>62.442992187499996</v>
      </c>
      <c r="K13" s="39">
        <v>0.45</v>
      </c>
      <c r="L13" s="11">
        <f t="shared" si="1"/>
        <v>406.745388</v>
      </c>
      <c r="M13" s="11">
        <f t="shared" si="2"/>
        <v>1355.8179599999999</v>
      </c>
      <c r="N13" s="11">
        <f t="shared" si="3"/>
        <v>4031.491918283437</v>
      </c>
      <c r="O13" s="11">
        <f t="shared" si="4"/>
        <v>29.053242</v>
      </c>
      <c r="P13" s="11">
        <f t="shared" si="5"/>
        <v>254.1173923008</v>
      </c>
      <c r="Q13" s="11">
        <f t="shared" si="6"/>
        <v>827.1916732799999</v>
      </c>
      <c r="R13" s="11">
        <f t="shared" si="7"/>
        <v>2516.451748332448</v>
      </c>
      <c r="S13" s="11">
        <f t="shared" si="8"/>
        <v>18.12286187712</v>
      </c>
    </row>
    <row r="14" spans="1:19" ht="12.75">
      <c r="A14">
        <v>12</v>
      </c>
      <c r="B14" s="1" t="s">
        <v>62</v>
      </c>
      <c r="C14" s="8">
        <v>37384</v>
      </c>
      <c r="D14" s="22">
        <v>0.7458333333333332</v>
      </c>
      <c r="E14" s="5">
        <f t="shared" si="9"/>
        <v>8895</v>
      </c>
      <c r="F14" s="1">
        <v>2320</v>
      </c>
      <c r="G14" s="11">
        <f t="shared" si="0"/>
        <v>65.69543999999999</v>
      </c>
      <c r="H14" s="5">
        <v>6.6</v>
      </c>
      <c r="I14" s="57">
        <v>21</v>
      </c>
      <c r="J14" s="57">
        <v>65.30297656249999</v>
      </c>
      <c r="K14" s="39">
        <v>0.47</v>
      </c>
      <c r="L14" s="11">
        <f t="shared" si="1"/>
        <v>433.58990399999993</v>
      </c>
      <c r="M14" s="11">
        <f t="shared" si="2"/>
        <v>1379.60424</v>
      </c>
      <c r="N14" s="11">
        <f t="shared" si="3"/>
        <v>4290.107778583124</v>
      </c>
      <c r="O14" s="11">
        <f t="shared" si="4"/>
        <v>30.876856799999995</v>
      </c>
      <c r="P14" s="11">
        <f t="shared" si="5"/>
        <v>224.90512202879998</v>
      </c>
      <c r="Q14" s="11">
        <f t="shared" si="6"/>
        <v>770.1616883519999</v>
      </c>
      <c r="R14" s="11">
        <f t="shared" si="7"/>
        <v>2846.1484207940375</v>
      </c>
      <c r="S14" s="11">
        <f t="shared" si="8"/>
        <v>18.12995698464</v>
      </c>
    </row>
    <row r="15" spans="1:19" ht="12.75">
      <c r="A15">
        <v>13</v>
      </c>
      <c r="B15" s="1" t="s">
        <v>63</v>
      </c>
      <c r="C15" s="8">
        <v>37390</v>
      </c>
      <c r="D15" s="22">
        <v>0.83125</v>
      </c>
      <c r="E15" s="5">
        <f t="shared" si="9"/>
        <v>8901</v>
      </c>
      <c r="F15" s="1">
        <v>5110</v>
      </c>
      <c r="G15" s="11">
        <f t="shared" si="0"/>
        <v>144.69987</v>
      </c>
      <c r="H15" s="5">
        <v>3</v>
      </c>
      <c r="I15" s="57">
        <v>11</v>
      </c>
      <c r="J15" s="57">
        <v>46.236414062499996</v>
      </c>
      <c r="K15" s="39">
        <v>0.27</v>
      </c>
      <c r="L15" s="11">
        <f t="shared" si="1"/>
        <v>434.09961</v>
      </c>
      <c r="M15" s="11">
        <f t="shared" si="2"/>
        <v>1591.69857</v>
      </c>
      <c r="N15" s="11">
        <f t="shared" si="3"/>
        <v>6690.4031041099215</v>
      </c>
      <c r="O15" s="11">
        <f t="shared" si="4"/>
        <v>39.068964900000005</v>
      </c>
      <c r="P15" s="11">
        <f t="shared" si="5"/>
        <v>368.5370107104</v>
      </c>
      <c r="Q15" s="11">
        <f t="shared" si="6"/>
        <v>1334.6557824096</v>
      </c>
      <c r="R15" s="11">
        <f t="shared" si="7"/>
        <v>6158.678097176758</v>
      </c>
      <c r="S15" s="11">
        <f t="shared" si="8"/>
        <v>33.501262767840004</v>
      </c>
    </row>
    <row r="16" spans="1:19" ht="12.75">
      <c r="A16">
        <v>14</v>
      </c>
      <c r="B16" s="1" t="s">
        <v>64</v>
      </c>
      <c r="C16" s="8">
        <v>37399</v>
      </c>
      <c r="D16" s="22">
        <v>0.3298611111111111</v>
      </c>
      <c r="E16" s="5">
        <f t="shared" si="9"/>
        <v>8910</v>
      </c>
      <c r="F16" s="1">
        <v>7560</v>
      </c>
      <c r="G16" s="11">
        <f t="shared" si="0"/>
        <v>214.07652</v>
      </c>
      <c r="H16" s="5">
        <v>2.4</v>
      </c>
      <c r="I16" s="57">
        <v>8.6</v>
      </c>
      <c r="J16" s="57">
        <v>42.74087760416667</v>
      </c>
      <c r="K16" s="39">
        <v>0.22</v>
      </c>
      <c r="L16" s="11">
        <f t="shared" si="1"/>
        <v>513.783648</v>
      </c>
      <c r="M16" s="11">
        <f t="shared" si="2"/>
        <v>1841.0580719999998</v>
      </c>
      <c r="N16" s="11">
        <f t="shared" si="3"/>
        <v>9149.818339245938</v>
      </c>
      <c r="O16" s="11">
        <f t="shared" si="4"/>
        <v>47.0968344</v>
      </c>
      <c r="P16" s="11">
        <f t="shared" si="5"/>
        <v>411.57495429119996</v>
      </c>
      <c r="Q16" s="11">
        <f t="shared" si="6"/>
        <v>1302.0647730048001</v>
      </c>
      <c r="R16" s="11">
        <f t="shared" si="7"/>
        <v>7207.798308806371</v>
      </c>
      <c r="S16" s="11">
        <f t="shared" si="8"/>
        <v>36.36903182975999</v>
      </c>
    </row>
    <row r="17" spans="1:19" ht="12.75">
      <c r="A17">
        <v>15</v>
      </c>
      <c r="B17" s="1" t="s">
        <v>65</v>
      </c>
      <c r="C17" s="8">
        <v>37406</v>
      </c>
      <c r="D17" s="22">
        <v>0.4618055555555556</v>
      </c>
      <c r="E17" s="5">
        <f t="shared" si="9"/>
        <v>8917</v>
      </c>
      <c r="F17" s="1">
        <v>13600</v>
      </c>
      <c r="G17" s="11">
        <f t="shared" si="0"/>
        <v>385.1112</v>
      </c>
      <c r="H17" s="5">
        <v>2.2</v>
      </c>
      <c r="I17" s="57">
        <v>6.4</v>
      </c>
      <c r="J17" s="57">
        <v>38.133125</v>
      </c>
      <c r="K17" s="39">
        <v>0.19</v>
      </c>
      <c r="L17" s="11">
        <f t="shared" si="1"/>
        <v>847.2446400000001</v>
      </c>
      <c r="M17" s="11">
        <f t="shared" si="2"/>
        <v>2464.7116800000003</v>
      </c>
      <c r="N17" s="11">
        <f t="shared" si="3"/>
        <v>14685.4935285</v>
      </c>
      <c r="O17" s="11">
        <f t="shared" si="4"/>
        <v>73.171128</v>
      </c>
      <c r="P17" s="11">
        <f t="shared" si="5"/>
        <v>416.6051408640001</v>
      </c>
      <c r="Q17" s="11">
        <f t="shared" si="6"/>
        <v>1238.8057729920001</v>
      </c>
      <c r="R17" s="11">
        <f t="shared" si="7"/>
        <v>9867.459534618509</v>
      </c>
      <c r="S17" s="11">
        <f t="shared" si="8"/>
        <v>37.770437894400004</v>
      </c>
    </row>
    <row r="18" spans="1:19" ht="12.75">
      <c r="A18">
        <v>16</v>
      </c>
      <c r="B18" s="1" t="s">
        <v>66</v>
      </c>
      <c r="C18" s="8">
        <v>37412</v>
      </c>
      <c r="D18" s="22">
        <v>0.3645833333333333</v>
      </c>
      <c r="E18" s="5">
        <f t="shared" si="9"/>
        <v>8923</v>
      </c>
      <c r="F18" s="1">
        <v>12200</v>
      </c>
      <c r="G18" s="11">
        <f t="shared" si="0"/>
        <v>345.4674</v>
      </c>
      <c r="H18" s="5">
        <v>2.2</v>
      </c>
      <c r="I18" s="57">
        <v>6.7</v>
      </c>
      <c r="J18" s="57">
        <v>67.686296875</v>
      </c>
      <c r="K18" s="39">
        <v>0.21</v>
      </c>
      <c r="L18" s="11">
        <f t="shared" si="1"/>
        <v>760.0282800000001</v>
      </c>
      <c r="M18" s="11">
        <f t="shared" si="2"/>
        <v>2314.63158</v>
      </c>
      <c r="N18" s="11">
        <f t="shared" si="3"/>
        <v>23383.408997034374</v>
      </c>
      <c r="O18" s="11">
        <f t="shared" si="4"/>
        <v>72.548154</v>
      </c>
      <c r="P18" s="11">
        <f t="shared" si="5"/>
        <v>523.3400238528</v>
      </c>
      <c r="Q18" s="11">
        <f t="shared" si="6"/>
        <v>1464.6087931104003</v>
      </c>
      <c r="R18" s="11">
        <f t="shared" si="7"/>
        <v>10605.571444117251</v>
      </c>
      <c r="S18" s="11">
        <f t="shared" si="8"/>
        <v>49.74453279936</v>
      </c>
    </row>
    <row r="19" spans="1:19" ht="12.75">
      <c r="A19">
        <v>17</v>
      </c>
      <c r="B19" s="1" t="s">
        <v>67</v>
      </c>
      <c r="C19" s="8">
        <v>37419</v>
      </c>
      <c r="D19" s="22">
        <v>0.3506944444444444</v>
      </c>
      <c r="E19" s="5">
        <f t="shared" si="9"/>
        <v>8930</v>
      </c>
      <c r="F19" s="1">
        <v>9020</v>
      </c>
      <c r="G19" s="11">
        <f t="shared" si="0"/>
        <v>255.41933999999998</v>
      </c>
      <c r="H19" s="5">
        <v>3.8</v>
      </c>
      <c r="I19" s="57">
        <v>9.9</v>
      </c>
      <c r="J19" s="57">
        <v>45.75975</v>
      </c>
      <c r="K19" s="39">
        <v>0.36</v>
      </c>
      <c r="L19" s="11">
        <f t="shared" si="1"/>
        <v>970.5934919999999</v>
      </c>
      <c r="M19" s="11">
        <f t="shared" si="2"/>
        <v>2528.651466</v>
      </c>
      <c r="N19" s="11">
        <f t="shared" si="3"/>
        <v>11687.925143564999</v>
      </c>
      <c r="O19" s="11">
        <f t="shared" si="4"/>
        <v>91.9509624</v>
      </c>
      <c r="P19" s="11">
        <f t="shared" si="5"/>
        <v>576.4310008127999</v>
      </c>
      <c r="Q19" s="11">
        <f t="shared" si="6"/>
        <v>1562.9127310944</v>
      </c>
      <c r="R19" s="11">
        <f t="shared" si="7"/>
        <v>7355.447124594472</v>
      </c>
      <c r="S19" s="11">
        <f t="shared" si="8"/>
        <v>61.15052978496001</v>
      </c>
    </row>
    <row r="20" spans="1:19" ht="12.75">
      <c r="A20">
        <v>18</v>
      </c>
      <c r="B20" s="1" t="s">
        <v>68</v>
      </c>
      <c r="C20" s="8">
        <v>37426</v>
      </c>
      <c r="D20" s="22">
        <v>0.7083333333333334</v>
      </c>
      <c r="E20" s="5">
        <f t="shared" si="9"/>
        <v>8937</v>
      </c>
      <c r="F20" s="1">
        <v>11800</v>
      </c>
      <c r="G20" s="11">
        <f t="shared" si="0"/>
        <v>334.1406</v>
      </c>
      <c r="H20" s="5">
        <v>2.8</v>
      </c>
      <c r="I20" s="57">
        <v>7.9</v>
      </c>
      <c r="J20" s="57">
        <v>37.81534895833334</v>
      </c>
      <c r="K20" s="39">
        <v>0.33</v>
      </c>
      <c r="L20" s="11">
        <f t="shared" si="1"/>
        <v>935.59368</v>
      </c>
      <c r="M20" s="11">
        <f t="shared" si="2"/>
        <v>2639.71074</v>
      </c>
      <c r="N20" s="11">
        <f t="shared" si="3"/>
        <v>12635.643390146877</v>
      </c>
      <c r="O20" s="11">
        <f t="shared" si="4"/>
        <v>110.26639800000001</v>
      </c>
      <c r="P20" s="11">
        <f t="shared" si="5"/>
        <v>796.9126902912</v>
      </c>
      <c r="Q20" s="11">
        <f t="shared" si="6"/>
        <v>1640.853710496</v>
      </c>
      <c r="R20" s="11">
        <f t="shared" si="7"/>
        <v>9042.333484405726</v>
      </c>
      <c r="S20" s="11">
        <f t="shared" si="8"/>
        <v>68.73397642944</v>
      </c>
    </row>
    <row r="21" spans="1:19" ht="12.75">
      <c r="A21">
        <v>19</v>
      </c>
      <c r="B21" s="1" t="s">
        <v>69</v>
      </c>
      <c r="C21" s="8">
        <v>37433</v>
      </c>
      <c r="D21" s="22">
        <v>0.5590277777777778</v>
      </c>
      <c r="E21" s="5">
        <f t="shared" si="9"/>
        <v>8944</v>
      </c>
      <c r="F21" s="1">
        <v>9840</v>
      </c>
      <c r="G21" s="11">
        <f t="shared" si="0"/>
        <v>278.63928</v>
      </c>
      <c r="H21" s="5">
        <v>6.1</v>
      </c>
      <c r="I21" s="57">
        <v>10</v>
      </c>
      <c r="J21" s="57">
        <v>61.966328125</v>
      </c>
      <c r="K21" s="39">
        <v>0.42</v>
      </c>
      <c r="L21" s="11">
        <f t="shared" si="1"/>
        <v>1699.699608</v>
      </c>
      <c r="M21" s="11">
        <f t="shared" si="2"/>
        <v>2786.3927999999996</v>
      </c>
      <c r="N21" s="11">
        <f t="shared" si="3"/>
        <v>17266.253052993747</v>
      </c>
      <c r="O21" s="11">
        <f t="shared" si="4"/>
        <v>117.0284976</v>
      </c>
      <c r="P21" s="11">
        <f t="shared" si="5"/>
        <v>423.25001200982257</v>
      </c>
      <c r="Q21" s="11">
        <f t="shared" si="6"/>
        <v>876.749740726576</v>
      </c>
      <c r="R21" s="11">
        <f t="shared" si="7"/>
        <v>4708.161527279059</v>
      </c>
      <c r="S21" s="11">
        <f t="shared" si="8"/>
        <v>33.46624987016783</v>
      </c>
    </row>
    <row r="22" spans="1:19" ht="12.75">
      <c r="A22">
        <v>20</v>
      </c>
      <c r="B22" s="1"/>
      <c r="C22" s="8">
        <v>37437</v>
      </c>
      <c r="D22" s="22"/>
      <c r="E22" s="5">
        <f t="shared" si="9"/>
        <v>8948</v>
      </c>
      <c r="F22" s="1">
        <v>8510</v>
      </c>
      <c r="G22" s="11">
        <f t="shared" si="0"/>
        <v>240.97767</v>
      </c>
      <c r="H22" s="5">
        <f>145.67*G22^-0.7013</f>
        <v>3.110926781835071</v>
      </c>
      <c r="I22" s="116">
        <f>284.57*G22^-0.62</f>
        <v>9.492126062125653</v>
      </c>
      <c r="J22" s="5">
        <f>253.19*G22^-0.3301</f>
        <v>41.41484180556241</v>
      </c>
      <c r="K22" s="23">
        <f>6.0646*G22^-0.5375</f>
        <v>0.3180457753176763</v>
      </c>
      <c r="L22" s="11">
        <f t="shared" si="1"/>
        <v>749.6638874272137</v>
      </c>
      <c r="M22" s="11">
        <f t="shared" si="2"/>
        <v>2287.390421797315</v>
      </c>
      <c r="N22" s="11">
        <f t="shared" si="3"/>
        <v>9980.052081723023</v>
      </c>
      <c r="O22" s="11">
        <f t="shared" si="4"/>
        <v>76.64192988939715</v>
      </c>
      <c r="P22" s="11">
        <f t="shared" si="5"/>
        <v>206.99604398656686</v>
      </c>
      <c r="Q22" s="11">
        <f t="shared" si="6"/>
        <v>591.1374196249319</v>
      </c>
      <c r="R22" s="11">
        <f t="shared" si="7"/>
        <v>2617.22776576093</v>
      </c>
      <c r="S22" s="11">
        <f t="shared" si="8"/>
        <v>21.45255747846587</v>
      </c>
    </row>
    <row r="23" spans="1:19" ht="12.75">
      <c r="A23">
        <v>21</v>
      </c>
      <c r="B23" s="1" t="s">
        <v>70</v>
      </c>
      <c r="C23" s="8">
        <v>37440</v>
      </c>
      <c r="D23" s="22">
        <v>0.38680555555555557</v>
      </c>
      <c r="E23" s="5">
        <f t="shared" si="9"/>
        <v>8951</v>
      </c>
      <c r="F23" s="1">
        <v>7300</v>
      </c>
      <c r="G23" s="11">
        <f t="shared" si="0"/>
        <v>206.7141</v>
      </c>
      <c r="H23" s="5">
        <v>4.1</v>
      </c>
      <c r="I23" s="57">
        <v>11</v>
      </c>
      <c r="J23" s="57">
        <v>49.414174479166675</v>
      </c>
      <c r="K23" s="39">
        <v>0.43</v>
      </c>
      <c r="L23" s="11">
        <f t="shared" si="1"/>
        <v>847.5278099999999</v>
      </c>
      <c r="M23" s="11">
        <f t="shared" si="2"/>
        <v>2273.8551</v>
      </c>
      <c r="N23" s="11">
        <f t="shared" si="3"/>
        <v>10214.606604703908</v>
      </c>
      <c r="O23" s="11">
        <f t="shared" si="4"/>
        <v>88.887063</v>
      </c>
      <c r="P23" s="11">
        <f t="shared" si="5"/>
        <v>579.5283822335999</v>
      </c>
      <c r="Q23" s="11">
        <f t="shared" si="6"/>
        <v>1451.2186126080003</v>
      </c>
      <c r="R23" s="11">
        <f t="shared" si="7"/>
        <v>4855.734247326831</v>
      </c>
      <c r="S23" s="11">
        <f t="shared" si="8"/>
        <v>58.35799332863999</v>
      </c>
    </row>
    <row r="24" spans="1:19" ht="12.75">
      <c r="A24">
        <v>22</v>
      </c>
      <c r="B24" s="1" t="s">
        <v>71</v>
      </c>
      <c r="C24" s="8">
        <v>37448</v>
      </c>
      <c r="D24" s="22">
        <v>0.5</v>
      </c>
      <c r="E24" s="5">
        <f t="shared" si="9"/>
        <v>8959</v>
      </c>
      <c r="F24" s="1">
        <v>5230</v>
      </c>
      <c r="G24" s="11">
        <f t="shared" si="0"/>
        <v>148.09790999999998</v>
      </c>
      <c r="H24" s="5">
        <v>5.6</v>
      </c>
      <c r="I24" s="57">
        <v>13</v>
      </c>
      <c r="J24" s="57">
        <v>25.898747395833333</v>
      </c>
      <c r="K24" s="39">
        <v>0.54</v>
      </c>
      <c r="L24" s="11">
        <f t="shared" si="1"/>
        <v>829.3482959999999</v>
      </c>
      <c r="M24" s="11">
        <f t="shared" si="2"/>
        <v>1925.2728299999999</v>
      </c>
      <c r="N24" s="11">
        <f t="shared" si="3"/>
        <v>3835.550360940859</v>
      </c>
      <c r="O24" s="11">
        <f t="shared" si="4"/>
        <v>79.9728714</v>
      </c>
      <c r="P24" s="11">
        <f t="shared" si="5"/>
        <v>402.80638003199994</v>
      </c>
      <c r="Q24" s="11">
        <f t="shared" si="6"/>
        <v>1002.1717042559998</v>
      </c>
      <c r="R24" s="11">
        <f t="shared" si="7"/>
        <v>2843.5244686415185</v>
      </c>
      <c r="S24" s="11">
        <f t="shared" si="8"/>
        <v>40.5191804112</v>
      </c>
    </row>
    <row r="25" spans="1:19" ht="12.75">
      <c r="A25">
        <v>23</v>
      </c>
      <c r="B25" s="1" t="s">
        <v>72</v>
      </c>
      <c r="C25" s="8">
        <v>37454</v>
      </c>
      <c r="D25" s="22">
        <v>0.37916666666666665</v>
      </c>
      <c r="E25" s="5">
        <f t="shared" si="9"/>
        <v>8965</v>
      </c>
      <c r="F25" s="1">
        <v>4570</v>
      </c>
      <c r="G25" s="11">
        <f t="shared" si="0"/>
        <v>129.40868999999998</v>
      </c>
      <c r="H25" s="5">
        <v>5.6</v>
      </c>
      <c r="I25" s="57">
        <v>15</v>
      </c>
      <c r="J25" s="57">
        <v>55.13414322916667</v>
      </c>
      <c r="K25" s="39">
        <v>0.59</v>
      </c>
      <c r="L25" s="11">
        <f t="shared" si="1"/>
        <v>724.6886639999998</v>
      </c>
      <c r="M25" s="11">
        <f t="shared" si="2"/>
        <v>1941.1303499999997</v>
      </c>
      <c r="N25" s="11">
        <f t="shared" si="3"/>
        <v>7134.837249558827</v>
      </c>
      <c r="O25" s="11">
        <f t="shared" si="4"/>
        <v>76.35112709999999</v>
      </c>
      <c r="P25" s="11">
        <f t="shared" si="5"/>
        <v>467.0635882751999</v>
      </c>
      <c r="Q25" s="11">
        <f t="shared" si="6"/>
        <v>1194.9139699199998</v>
      </c>
      <c r="R25" s="11">
        <f t="shared" si="7"/>
        <v>4508.6106452359945</v>
      </c>
      <c r="S25" s="11">
        <f t="shared" si="8"/>
        <v>48.04806812544</v>
      </c>
    </row>
    <row r="26" spans="1:19" ht="12.75">
      <c r="A26">
        <v>24</v>
      </c>
      <c r="B26" s="1" t="s">
        <v>73</v>
      </c>
      <c r="C26" s="8">
        <v>37462</v>
      </c>
      <c r="D26" s="22">
        <v>0.638888888888889</v>
      </c>
      <c r="E26" s="5">
        <f t="shared" si="9"/>
        <v>8973</v>
      </c>
      <c r="F26" s="1">
        <v>3570</v>
      </c>
      <c r="G26" s="11">
        <f t="shared" si="0"/>
        <v>101.09169</v>
      </c>
      <c r="H26" s="5">
        <v>6.2</v>
      </c>
      <c r="I26" s="57">
        <v>15</v>
      </c>
      <c r="J26" s="57">
        <v>58.47079166666667</v>
      </c>
      <c r="K26" s="39">
        <v>0.62</v>
      </c>
      <c r="L26" s="11">
        <f t="shared" si="1"/>
        <v>626.7684780000001</v>
      </c>
      <c r="M26" s="11">
        <f t="shared" si="2"/>
        <v>1516.37535</v>
      </c>
      <c r="N26" s="11">
        <f t="shared" si="3"/>
        <v>5910.91114522125</v>
      </c>
      <c r="O26" s="11">
        <f t="shared" si="4"/>
        <v>62.6768478</v>
      </c>
      <c r="P26" s="11">
        <f t="shared" si="5"/>
        <v>1010.979423936</v>
      </c>
      <c r="Q26" s="11">
        <f t="shared" si="6"/>
        <v>2455.1518608</v>
      </c>
      <c r="R26" s="11">
        <f t="shared" si="7"/>
        <v>8909.308828614332</v>
      </c>
      <c r="S26" s="11">
        <f t="shared" si="8"/>
        <v>96.51792816</v>
      </c>
    </row>
    <row r="27" spans="1:19" ht="12.75">
      <c r="A27">
        <v>25</v>
      </c>
      <c r="B27" s="1" t="s">
        <v>74</v>
      </c>
      <c r="C27" s="8">
        <v>37482</v>
      </c>
      <c r="D27" s="22">
        <v>0.5</v>
      </c>
      <c r="E27" s="5">
        <f t="shared" si="9"/>
        <v>8993</v>
      </c>
      <c r="F27" s="1">
        <v>2340</v>
      </c>
      <c r="G27" s="11">
        <f t="shared" si="0"/>
        <v>66.26178</v>
      </c>
      <c r="H27" s="5">
        <v>8.2</v>
      </c>
      <c r="I27" s="57">
        <v>20</v>
      </c>
      <c r="J27" s="57">
        <v>66.41519270833334</v>
      </c>
      <c r="K27" s="39">
        <v>0.74</v>
      </c>
      <c r="L27" s="11">
        <f t="shared" si="1"/>
        <v>543.346596</v>
      </c>
      <c r="M27" s="11">
        <f t="shared" si="2"/>
        <v>1325.2356</v>
      </c>
      <c r="N27" s="11">
        <f t="shared" si="3"/>
        <v>4400.788887897188</v>
      </c>
      <c r="O27" s="11">
        <f t="shared" si="4"/>
        <v>49.0337172</v>
      </c>
      <c r="P27" s="11">
        <f t="shared" si="5"/>
        <v>621.67821408</v>
      </c>
      <c r="Q27" s="11">
        <f t="shared" si="6"/>
        <v>1557.792020736</v>
      </c>
      <c r="R27" s="11">
        <f t="shared" si="7"/>
        <v>4934.724925458951</v>
      </c>
      <c r="S27" s="11">
        <f t="shared" si="8"/>
        <v>54.550122520319995</v>
      </c>
    </row>
    <row r="28" spans="1:19" ht="12.75">
      <c r="A28">
        <v>26</v>
      </c>
      <c r="B28" s="1" t="s">
        <v>75</v>
      </c>
      <c r="C28" s="8">
        <v>37496</v>
      </c>
      <c r="D28" s="22">
        <v>0.6013888888888889</v>
      </c>
      <c r="E28" s="5">
        <f t="shared" si="9"/>
        <v>9007</v>
      </c>
      <c r="F28" s="1">
        <v>1840</v>
      </c>
      <c r="G28" s="11">
        <f t="shared" si="0"/>
        <v>52.10328</v>
      </c>
      <c r="H28" s="5">
        <v>9.3</v>
      </c>
      <c r="I28" s="57">
        <v>24</v>
      </c>
      <c r="J28" s="57">
        <v>72.13516145833333</v>
      </c>
      <c r="K28" s="39">
        <v>0.79</v>
      </c>
      <c r="L28" s="11">
        <f t="shared" si="1"/>
        <v>484.56050400000004</v>
      </c>
      <c r="M28" s="11">
        <f t="shared" si="2"/>
        <v>1250.47872</v>
      </c>
      <c r="N28" s="11">
        <f t="shared" si="3"/>
        <v>3758.4785153087496</v>
      </c>
      <c r="O28" s="11">
        <f t="shared" si="4"/>
        <v>41.161591200000004</v>
      </c>
      <c r="P28" s="11">
        <f t="shared" si="5"/>
        <v>545.6578068864</v>
      </c>
      <c r="Q28" s="11">
        <f t="shared" si="6"/>
        <v>1413.4432815359999</v>
      </c>
      <c r="R28" s="11">
        <f t="shared" si="7"/>
        <v>4109.9409608601245</v>
      </c>
      <c r="S28" s="11">
        <f t="shared" si="8"/>
        <v>45.272168472960004</v>
      </c>
    </row>
    <row r="29" spans="1:19" ht="12.75">
      <c r="A29">
        <v>27</v>
      </c>
      <c r="B29" s="1" t="s">
        <v>76</v>
      </c>
      <c r="C29" s="8">
        <v>37509</v>
      </c>
      <c r="D29" s="22">
        <v>0.4888888888888889</v>
      </c>
      <c r="E29" s="5">
        <f t="shared" si="9"/>
        <v>9020</v>
      </c>
      <c r="F29" s="1">
        <v>1720</v>
      </c>
      <c r="G29" s="11">
        <f t="shared" si="0"/>
        <v>48.705239999999996</v>
      </c>
      <c r="H29" s="5">
        <v>10</v>
      </c>
      <c r="I29" s="57">
        <v>26</v>
      </c>
      <c r="J29" s="57">
        <v>73.08848958333334</v>
      </c>
      <c r="K29" s="39">
        <v>0.81</v>
      </c>
      <c r="L29" s="11">
        <f t="shared" si="1"/>
        <v>487.0524</v>
      </c>
      <c r="M29" s="11">
        <f t="shared" si="2"/>
        <v>1266.3362399999999</v>
      </c>
      <c r="N29" s="11">
        <f t="shared" si="3"/>
        <v>3559.7924263937502</v>
      </c>
      <c r="O29" s="11">
        <f t="shared" si="4"/>
        <v>39.4512444</v>
      </c>
      <c r="P29" s="11">
        <f t="shared" si="5"/>
        <v>402.35054434785843</v>
      </c>
      <c r="Q29" s="11">
        <f t="shared" si="6"/>
        <v>1055.0007477919203</v>
      </c>
      <c r="R29" s="11">
        <f t="shared" si="7"/>
        <v>2871.734823127396</v>
      </c>
      <c r="S29" s="11">
        <f t="shared" si="8"/>
        <v>31.7727167658782</v>
      </c>
    </row>
    <row r="30" spans="1:19" ht="12.75">
      <c r="A30">
        <v>28</v>
      </c>
      <c r="B30" s="1"/>
      <c r="C30" s="8">
        <v>37519</v>
      </c>
      <c r="D30" s="22"/>
      <c r="E30" s="5">
        <f t="shared" si="9"/>
        <v>9030</v>
      </c>
      <c r="F30" s="1">
        <f>(F29+F31)/2</f>
        <v>1477</v>
      </c>
      <c r="G30" s="11">
        <f t="shared" si="0"/>
        <v>41.824208999999996</v>
      </c>
      <c r="H30" s="5">
        <f>145.67*G30^-0.7013</f>
        <v>10.623383237330989</v>
      </c>
      <c r="I30" s="116">
        <f>284.57*G30^-0.62</f>
        <v>28.112787993897147</v>
      </c>
      <c r="J30" s="5">
        <f>253.19*G30^-0.3301</f>
        <v>73.82666547025788</v>
      </c>
      <c r="K30" s="23">
        <f>6.0646*G30^-0.5375</f>
        <v>0.8152386355129851</v>
      </c>
      <c r="L30" s="11">
        <f t="shared" si="1"/>
        <v>444.3146008052278</v>
      </c>
      <c r="M30" s="11">
        <f t="shared" si="2"/>
        <v>1175.795120629445</v>
      </c>
      <c r="N30" s="11">
        <f t="shared" si="3"/>
        <v>3087.7418864011483</v>
      </c>
      <c r="O30" s="11">
        <f t="shared" si="4"/>
        <v>34.09671107656991</v>
      </c>
      <c r="P30" s="11">
        <f t="shared" si="5"/>
        <v>373.85375768382175</v>
      </c>
      <c r="Q30" s="11">
        <f t="shared" si="6"/>
        <v>982.3499288349627</v>
      </c>
      <c r="R30" s="11">
        <f t="shared" si="7"/>
        <v>2516.479696559959</v>
      </c>
      <c r="S30" s="11">
        <f t="shared" si="8"/>
        <v>28.28451378723234</v>
      </c>
    </row>
    <row r="31" spans="1:16" ht="12.75">
      <c r="A31">
        <v>29</v>
      </c>
      <c r="B31" s="1"/>
      <c r="C31" s="8">
        <v>37529</v>
      </c>
      <c r="D31" s="22"/>
      <c r="E31" s="5">
        <f t="shared" si="9"/>
        <v>9040</v>
      </c>
      <c r="F31" s="1">
        <f>(F29+F39)/2</f>
        <v>1234</v>
      </c>
      <c r="G31" s="11">
        <f t="shared" si="0"/>
        <v>34.943177999999996</v>
      </c>
      <c r="H31" s="5">
        <f>145.67*G31^-0.7013</f>
        <v>12.05063878435644</v>
      </c>
      <c r="I31" s="116">
        <f>284.57*G31^-0.62</f>
        <v>31.427108546624062</v>
      </c>
      <c r="J31" s="5">
        <f>253.19*G31^-0.3301</f>
        <v>78.33982920433095</v>
      </c>
      <c r="K31" s="23">
        <f>6.0646*G31^-0.5375</f>
        <v>0.8979349407758334</v>
      </c>
      <c r="L31" s="11">
        <f t="shared" si="1"/>
        <v>421.0876160554707</v>
      </c>
      <c r="M31" s="11">
        <f t="shared" si="2"/>
        <v>1098.1630479700057</v>
      </c>
      <c r="N31" s="11">
        <f t="shared" si="3"/>
        <v>2737.4425963765348</v>
      </c>
      <c r="O31" s="11">
        <f t="shared" si="4"/>
        <v>31.376700467949398</v>
      </c>
      <c r="P31" s="11"/>
    </row>
    <row r="32" spans="3:15" ht="12.75">
      <c r="C32" s="2"/>
      <c r="D32" s="22"/>
      <c r="E32" s="5"/>
      <c r="G32" s="11"/>
      <c r="L32" s="11"/>
      <c r="M32" s="11"/>
      <c r="N32" s="11"/>
      <c r="O32" s="11"/>
    </row>
    <row r="33" spans="2:19" ht="12.75">
      <c r="B33" s="35" t="s">
        <v>190</v>
      </c>
      <c r="P33" s="27">
        <f>SUM(P3:P30)</f>
        <v>15354.23644740983</v>
      </c>
      <c r="Q33" s="27">
        <f>SUM(Q3:Q30)</f>
        <v>41045.004280805144</v>
      </c>
      <c r="R33" s="27">
        <f>SUM(R3:R30)</f>
        <v>137799.9195046413</v>
      </c>
      <c r="S33" s="27">
        <f>SUM(S3:S30)</f>
        <v>1240.019408258431</v>
      </c>
    </row>
    <row r="35" spans="1:19" ht="12.75">
      <c r="A35">
        <v>1</v>
      </c>
      <c r="C35" s="19">
        <v>37530</v>
      </c>
      <c r="E35" s="5">
        <f aca="true" t="shared" si="10" ref="E35:E68">C35-28489</f>
        <v>9041</v>
      </c>
      <c r="F35" s="1">
        <v>1350</v>
      </c>
      <c r="G35" s="7">
        <f>F35*0.028317</f>
        <v>38.22795</v>
      </c>
      <c r="H35" s="5">
        <f>145.67*G35^-0.7013</f>
        <v>11.314785321998173</v>
      </c>
      <c r="I35" s="116">
        <f>284.57*G35^-0.62</f>
        <v>29.72438570573689</v>
      </c>
      <c r="J35" s="5">
        <f>253.19*G35^-0.3301</f>
        <v>76.05058823985775</v>
      </c>
      <c r="K35" s="23">
        <f>6.0646*G35^-0.5375</f>
        <v>0.8556031387314645</v>
      </c>
      <c r="L35" s="7">
        <f>(H35*$G35)</f>
        <v>432.54104755008007</v>
      </c>
      <c r="M35" s="7">
        <f>(I35*$G35)</f>
        <v>1136.3023305396246</v>
      </c>
      <c r="N35" s="7">
        <f>(J35*$G35)</f>
        <v>2907.25808470387</v>
      </c>
      <c r="O35" s="7">
        <f>(K35*$G35)</f>
        <v>32.70795400726949</v>
      </c>
      <c r="P35" s="7">
        <f>(((L35+L36)/2)*(($E36-$E35)*24*60*60))/1000000</f>
        <v>578.0792223706154</v>
      </c>
      <c r="Q35" s="7">
        <f>(((M35+M36)/2)*(($E36-$E35)*24*60*60))/1000000</f>
        <v>1521.4439454609883</v>
      </c>
      <c r="R35" s="7">
        <f>(((N35+N36)/2)*(($E36-$E35)*24*60*60))/1000000</f>
        <v>3811.976986784195</v>
      </c>
      <c r="S35" s="7">
        <f>(((O35+O36)/2)*(($E36-$E35)*24*60*60))/1000000</f>
        <v>43.31566541302467</v>
      </c>
    </row>
    <row r="36" spans="1:19" ht="12.75">
      <c r="A36">
        <v>2</v>
      </c>
      <c r="B36" s="1" t="s">
        <v>225</v>
      </c>
      <c r="C36" s="21">
        <v>37546</v>
      </c>
      <c r="D36" s="10">
        <v>0.5520833333333334</v>
      </c>
      <c r="E36" s="5">
        <f t="shared" si="10"/>
        <v>9057</v>
      </c>
      <c r="F36" s="1">
        <v>1150</v>
      </c>
      <c r="G36" s="7">
        <f aca="true" t="shared" si="11" ref="G36:G68">F36*0.028317</f>
        <v>32.56455</v>
      </c>
      <c r="H36" s="5">
        <v>12.4</v>
      </c>
      <c r="I36" s="116">
        <v>32.7</v>
      </c>
      <c r="J36" s="5">
        <v>80.07956250000001</v>
      </c>
      <c r="K36" s="23">
        <v>0.92</v>
      </c>
      <c r="L36" s="7">
        <f aca="true" t="shared" si="12" ref="L36:O68">(H36*$G36)</f>
        <v>403.80042</v>
      </c>
      <c r="M36" s="7">
        <f t="shared" si="12"/>
        <v>1064.860785</v>
      </c>
      <c r="N36" s="7">
        <f t="shared" si="12"/>
        <v>2607.754917009375</v>
      </c>
      <c r="O36" s="7">
        <f t="shared" si="12"/>
        <v>29.959386</v>
      </c>
      <c r="P36" s="7">
        <f aca="true" t="shared" si="13" ref="P36:S67">(((L36+L37)/2)*(($E37-$E36)*24*60*60))/1000000</f>
        <v>1143.7748815046398</v>
      </c>
      <c r="Q36" s="7">
        <f t="shared" si="13"/>
        <v>2981.62523092896</v>
      </c>
      <c r="R36" s="7">
        <f t="shared" si="13"/>
        <v>6969.618090218896</v>
      </c>
      <c r="S36" s="7">
        <f t="shared" si="13"/>
        <v>82.21492537632001</v>
      </c>
    </row>
    <row r="37" spans="1:19" ht="12.75">
      <c r="A37">
        <v>3</v>
      </c>
      <c r="B37" s="1" t="s">
        <v>226</v>
      </c>
      <c r="C37" s="21">
        <v>37579</v>
      </c>
      <c r="D37" s="10">
        <v>0.625</v>
      </c>
      <c r="E37" s="5">
        <f t="shared" si="10"/>
        <v>9090</v>
      </c>
      <c r="F37" s="34">
        <v>932</v>
      </c>
      <c r="G37" s="7">
        <f t="shared" si="11"/>
        <v>26.391444</v>
      </c>
      <c r="H37" s="5">
        <v>15.1</v>
      </c>
      <c r="I37" s="116">
        <v>38.9</v>
      </c>
      <c r="J37" s="5">
        <v>86.43508333333334</v>
      </c>
      <c r="K37" s="23">
        <v>1.05</v>
      </c>
      <c r="L37" s="7">
        <f t="shared" si="12"/>
        <v>398.5108044</v>
      </c>
      <c r="M37" s="7">
        <f t="shared" si="12"/>
        <v>1026.6271715999999</v>
      </c>
      <c r="N37" s="7">
        <f t="shared" si="12"/>
        <v>2281.1466614270003</v>
      </c>
      <c r="O37" s="7">
        <f t="shared" si="12"/>
        <v>27.7110162</v>
      </c>
      <c r="P37" s="7">
        <f t="shared" si="13"/>
        <v>892.9103116176493</v>
      </c>
      <c r="Q37" s="7">
        <f t="shared" si="13"/>
        <v>2222.7524820297936</v>
      </c>
      <c r="R37" s="7">
        <f t="shared" si="13"/>
        <v>5033.360782100429</v>
      </c>
      <c r="S37" s="7">
        <f t="shared" si="13"/>
        <v>62.638228840795264</v>
      </c>
    </row>
    <row r="38" spans="1:19" ht="12.75">
      <c r="A38">
        <v>4</v>
      </c>
      <c r="B38" s="1"/>
      <c r="C38" s="21">
        <v>37605</v>
      </c>
      <c r="D38" s="10"/>
      <c r="E38" s="5">
        <f t="shared" si="10"/>
        <v>9116</v>
      </c>
      <c r="F38" s="82">
        <v>875</v>
      </c>
      <c r="G38" s="7">
        <f t="shared" si="11"/>
        <v>24.777375</v>
      </c>
      <c r="H38" s="5">
        <f>2142.5*F38^-0.7229</f>
        <v>16.00085571542971</v>
      </c>
      <c r="I38" s="116">
        <v>38.435028993323506</v>
      </c>
      <c r="J38" s="5">
        <v>88.79559845041254</v>
      </c>
      <c r="K38" s="23">
        <v>1.1323490758191461</v>
      </c>
      <c r="L38" s="7">
        <f t="shared" si="12"/>
        <v>396.4592023820952</v>
      </c>
      <c r="M38" s="7">
        <f t="shared" si="12"/>
        <v>952.319126503449</v>
      </c>
      <c r="N38" s="7">
        <f t="shared" si="12"/>
        <v>2200.1218411552904</v>
      </c>
      <c r="O38" s="7">
        <f t="shared" si="12"/>
        <v>28.056637682474413</v>
      </c>
      <c r="P38" s="7">
        <f t="shared" si="13"/>
        <v>947.7910248658887</v>
      </c>
      <c r="Q38" s="7">
        <f t="shared" si="13"/>
        <v>2395.1327079369607</v>
      </c>
      <c r="R38" s="7">
        <f t="shared" si="13"/>
        <v>5108.955139753399</v>
      </c>
      <c r="S38" s="7">
        <f t="shared" si="13"/>
        <v>65.40005611087594</v>
      </c>
    </row>
    <row r="39" spans="1:19" ht="12.75">
      <c r="A39">
        <v>5</v>
      </c>
      <c r="B39" s="1" t="s">
        <v>227</v>
      </c>
      <c r="C39" s="21">
        <v>37634</v>
      </c>
      <c r="D39" s="10">
        <v>0.6666666666666666</v>
      </c>
      <c r="E39" s="5">
        <f t="shared" si="10"/>
        <v>9145</v>
      </c>
      <c r="F39" s="34">
        <v>748</v>
      </c>
      <c r="G39" s="7">
        <f t="shared" si="11"/>
        <v>21.181116</v>
      </c>
      <c r="H39" s="5">
        <v>17</v>
      </c>
      <c r="I39" s="116">
        <v>45.3</v>
      </c>
      <c r="J39" s="5">
        <v>88.65951562500001</v>
      </c>
      <c r="K39" s="23">
        <v>1.14</v>
      </c>
      <c r="L39" s="7">
        <f t="shared" si="12"/>
        <v>360.07897199999996</v>
      </c>
      <c r="M39" s="7">
        <f t="shared" si="12"/>
        <v>959.5045547999999</v>
      </c>
      <c r="N39" s="7">
        <f t="shared" si="12"/>
        <v>1877.9074849569377</v>
      </c>
      <c r="O39" s="7">
        <f t="shared" si="12"/>
        <v>24.146472239999998</v>
      </c>
      <c r="P39" s="7">
        <f t="shared" si="13"/>
        <v>1158.6643316236798</v>
      </c>
      <c r="Q39" s="7">
        <f t="shared" si="13"/>
        <v>3097.2434331916797</v>
      </c>
      <c r="R39" s="7">
        <f t="shared" si="13"/>
        <v>6071.783297693948</v>
      </c>
      <c r="S39" s="7">
        <f t="shared" si="13"/>
        <v>79.42273144243198</v>
      </c>
    </row>
    <row r="40" spans="1:19" ht="12.75">
      <c r="A40">
        <v>6</v>
      </c>
      <c r="B40" s="1" t="s">
        <v>228</v>
      </c>
      <c r="C40" s="21">
        <v>37670</v>
      </c>
      <c r="D40" s="10">
        <v>0.4444444444444444</v>
      </c>
      <c r="E40" s="5">
        <f t="shared" si="10"/>
        <v>9181</v>
      </c>
      <c r="F40" s="34">
        <v>834</v>
      </c>
      <c r="G40" s="7">
        <f t="shared" si="11"/>
        <v>23.616377999999997</v>
      </c>
      <c r="H40" s="5">
        <v>16.3</v>
      </c>
      <c r="I40" s="116">
        <v>43.7</v>
      </c>
      <c r="J40" s="5">
        <v>85.79953125</v>
      </c>
      <c r="K40" s="23">
        <v>1.14</v>
      </c>
      <c r="L40" s="7">
        <f t="shared" si="12"/>
        <v>384.94696139999996</v>
      </c>
      <c r="M40" s="7">
        <f t="shared" si="12"/>
        <v>1032.0357185999999</v>
      </c>
      <c r="N40" s="7">
        <f t="shared" si="12"/>
        <v>2026.2741622228123</v>
      </c>
      <c r="O40" s="7">
        <f t="shared" si="12"/>
        <v>26.922670919999995</v>
      </c>
      <c r="P40" s="7">
        <f t="shared" si="13"/>
        <v>484.9603853471999</v>
      </c>
      <c r="Q40" s="7">
        <f t="shared" si="13"/>
        <v>1311.5758869647998</v>
      </c>
      <c r="R40" s="7">
        <f t="shared" si="13"/>
        <v>2580.9193372174423</v>
      </c>
      <c r="S40" s="7">
        <f t="shared" si="13"/>
        <v>33.79338547055999</v>
      </c>
    </row>
    <row r="41" spans="1:19" ht="12.75">
      <c r="A41">
        <v>7</v>
      </c>
      <c r="B41" s="1" t="s">
        <v>229</v>
      </c>
      <c r="C41" s="21">
        <v>37685</v>
      </c>
      <c r="D41" s="10">
        <v>0.6666666666666666</v>
      </c>
      <c r="E41" s="5">
        <f t="shared" si="10"/>
        <v>9196</v>
      </c>
      <c r="F41" s="34">
        <v>755</v>
      </c>
      <c r="G41" s="7">
        <f t="shared" si="11"/>
        <v>21.379334999999998</v>
      </c>
      <c r="H41" s="5">
        <v>17</v>
      </c>
      <c r="I41" s="116">
        <v>46.4</v>
      </c>
      <c r="J41" s="5">
        <v>91.5195</v>
      </c>
      <c r="K41" s="23">
        <v>1.18</v>
      </c>
      <c r="L41" s="7">
        <f t="shared" si="12"/>
        <v>363.44869499999993</v>
      </c>
      <c r="M41" s="7">
        <f t="shared" si="12"/>
        <v>992.0011439999998</v>
      </c>
      <c r="N41" s="7">
        <f t="shared" si="12"/>
        <v>1956.6260495324996</v>
      </c>
      <c r="O41" s="7">
        <f t="shared" si="12"/>
        <v>25.227615299999997</v>
      </c>
      <c r="P41" s="7">
        <f t="shared" si="13"/>
        <v>165.398577588</v>
      </c>
      <c r="Q41" s="7">
        <f t="shared" si="13"/>
        <v>454.9413524184001</v>
      </c>
      <c r="R41" s="7">
        <f t="shared" si="13"/>
        <v>861.0878003801196</v>
      </c>
      <c r="S41" s="7">
        <f t="shared" si="13"/>
        <v>11.452726831679998</v>
      </c>
    </row>
    <row r="42" spans="1:19" ht="12.75">
      <c r="A42">
        <v>8</v>
      </c>
      <c r="B42" s="1" t="s">
        <v>230</v>
      </c>
      <c r="C42" s="21">
        <v>37690</v>
      </c>
      <c r="D42" s="10">
        <v>0.7777777777777778</v>
      </c>
      <c r="E42" s="5">
        <f t="shared" si="10"/>
        <v>9201</v>
      </c>
      <c r="F42" s="34">
        <v>861</v>
      </c>
      <c r="G42" s="7">
        <f t="shared" si="11"/>
        <v>24.380937</v>
      </c>
      <c r="H42" s="5">
        <v>16.5</v>
      </c>
      <c r="I42" s="116">
        <v>45.7</v>
      </c>
      <c r="J42" s="5">
        <v>83.25732291666667</v>
      </c>
      <c r="K42" s="23">
        <v>1.14</v>
      </c>
      <c r="L42" s="7">
        <f t="shared" si="12"/>
        <v>402.2854605</v>
      </c>
      <c r="M42" s="7">
        <f t="shared" si="12"/>
        <v>1114.2088209</v>
      </c>
      <c r="N42" s="7">
        <f t="shared" si="12"/>
        <v>2029.8915448199061</v>
      </c>
      <c r="O42" s="7">
        <f t="shared" si="12"/>
        <v>27.794268179999996</v>
      </c>
      <c r="P42" s="7">
        <f t="shared" si="13"/>
        <v>1114.9294772232</v>
      </c>
      <c r="Q42" s="7">
        <f t="shared" si="13"/>
        <v>3070.58112009648</v>
      </c>
      <c r="R42" s="7">
        <f t="shared" si="13"/>
        <v>6509.353558647974</v>
      </c>
      <c r="S42" s="7">
        <f t="shared" si="13"/>
        <v>80.233359709536</v>
      </c>
    </row>
    <row r="43" spans="1:19" ht="12.75">
      <c r="A43">
        <v>9</v>
      </c>
      <c r="B43" s="1" t="s">
        <v>231</v>
      </c>
      <c r="C43" s="21">
        <v>37721</v>
      </c>
      <c r="D43" s="10">
        <v>0.5701388888888889</v>
      </c>
      <c r="E43" s="5">
        <f t="shared" si="10"/>
        <v>9232</v>
      </c>
      <c r="F43" s="34">
        <v>1070</v>
      </c>
      <c r="G43" s="7">
        <f t="shared" si="11"/>
        <v>30.29919</v>
      </c>
      <c r="H43" s="5">
        <v>14.2</v>
      </c>
      <c r="I43" s="116">
        <v>38.9</v>
      </c>
      <c r="J43" s="5">
        <v>93.42615625</v>
      </c>
      <c r="K43" s="23">
        <v>1.06</v>
      </c>
      <c r="L43" s="7">
        <f t="shared" si="12"/>
        <v>430.248498</v>
      </c>
      <c r="M43" s="7">
        <f t="shared" si="12"/>
        <v>1178.638491</v>
      </c>
      <c r="N43" s="7">
        <f t="shared" si="12"/>
        <v>2830.7368591884374</v>
      </c>
      <c r="O43" s="7">
        <f t="shared" si="12"/>
        <v>32.1171414</v>
      </c>
      <c r="P43" s="7">
        <f t="shared" si="13"/>
        <v>445.77043663103996</v>
      </c>
      <c r="Q43" s="7">
        <f t="shared" si="13"/>
        <v>1319.3817285311998</v>
      </c>
      <c r="R43" s="7">
        <f t="shared" si="13"/>
        <v>3826.725171195078</v>
      </c>
      <c r="S43" s="7">
        <f t="shared" si="13"/>
        <v>34.69947963264</v>
      </c>
    </row>
    <row r="44" spans="1:19" ht="12.75">
      <c r="A44">
        <v>10</v>
      </c>
      <c r="B44" s="1" t="s">
        <v>232</v>
      </c>
      <c r="C44" s="21">
        <v>37733</v>
      </c>
      <c r="D44" s="10">
        <v>0.78125</v>
      </c>
      <c r="E44" s="5">
        <f t="shared" si="10"/>
        <v>9244</v>
      </c>
      <c r="F44" s="34">
        <v>2320</v>
      </c>
      <c r="G44" s="7">
        <f t="shared" si="11"/>
        <v>65.69543999999999</v>
      </c>
      <c r="H44" s="5">
        <v>6.54</v>
      </c>
      <c r="I44" s="116">
        <v>20.8</v>
      </c>
      <c r="J44" s="5">
        <v>69.27517708333333</v>
      </c>
      <c r="K44" s="23">
        <v>0.53</v>
      </c>
      <c r="L44" s="7">
        <f t="shared" si="12"/>
        <v>429.64817759999994</v>
      </c>
      <c r="M44" s="7">
        <f t="shared" si="12"/>
        <v>1366.4651519999998</v>
      </c>
      <c r="N44" s="7">
        <f t="shared" si="12"/>
        <v>4551.063239567499</v>
      </c>
      <c r="O44" s="7">
        <f t="shared" si="12"/>
        <v>34.8185832</v>
      </c>
      <c r="P44" s="7">
        <f t="shared" si="13"/>
        <v>362.4188639588536</v>
      </c>
      <c r="Q44" s="7">
        <f t="shared" si="13"/>
        <v>1065.9065357880359</v>
      </c>
      <c r="R44" s="7">
        <f t="shared" si="13"/>
        <v>3351.534258204204</v>
      </c>
      <c r="S44" s="7">
        <f t="shared" si="13"/>
        <v>29.576981398286623</v>
      </c>
    </row>
    <row r="45" spans="1:19" ht="12.75">
      <c r="A45">
        <v>11</v>
      </c>
      <c r="B45" s="1"/>
      <c r="C45" s="21">
        <v>37742</v>
      </c>
      <c r="D45" s="10"/>
      <c r="E45" s="5">
        <f t="shared" si="10"/>
        <v>9253</v>
      </c>
      <c r="F45" s="1">
        <v>2230</v>
      </c>
      <c r="G45" s="7">
        <f t="shared" si="11"/>
        <v>63.14691</v>
      </c>
      <c r="H45" s="5">
        <f>145.67*G45^-0.7013</f>
        <v>7.9576198779130785</v>
      </c>
      <c r="I45" s="116">
        <f>284.57*G45^-0.62</f>
        <v>21.77563405451551</v>
      </c>
      <c r="J45" s="5">
        <f>253.19*G45^-0.3301</f>
        <v>64.43922658799798</v>
      </c>
      <c r="K45" s="23">
        <f>6.0646*G45^-0.5375</f>
        <v>0.6533003724217784</v>
      </c>
      <c r="L45" s="7">
        <f t="shared" si="12"/>
        <v>502.49910624478815</v>
      </c>
      <c r="M45" s="7">
        <f t="shared" si="12"/>
        <v>1375.0640038334259</v>
      </c>
      <c r="N45" s="7">
        <f t="shared" si="12"/>
        <v>4069.1380418219155</v>
      </c>
      <c r="O45" s="7">
        <f t="shared" si="12"/>
        <v>41.25389982028452</v>
      </c>
      <c r="P45" s="7">
        <f t="shared" si="13"/>
        <v>244.8802399738491</v>
      </c>
      <c r="Q45" s="7">
        <f t="shared" si="13"/>
        <v>875.191278945624</v>
      </c>
      <c r="R45" s="7">
        <f t="shared" si="13"/>
        <v>2054.4813365785844</v>
      </c>
      <c r="S45" s="7">
        <f t="shared" si="13"/>
        <v>20.399117920777748</v>
      </c>
    </row>
    <row r="46" spans="1:19" ht="12.75">
      <c r="A46">
        <v>12</v>
      </c>
      <c r="B46" s="1" t="s">
        <v>233</v>
      </c>
      <c r="C46" s="21">
        <v>37748</v>
      </c>
      <c r="D46" s="10">
        <v>0.4284722222222222</v>
      </c>
      <c r="E46" s="5">
        <f t="shared" si="10"/>
        <v>9259</v>
      </c>
      <c r="F46" s="34">
        <v>2280</v>
      </c>
      <c r="G46" s="7">
        <f t="shared" si="11"/>
        <v>64.56276</v>
      </c>
      <c r="H46" s="5">
        <v>6.85</v>
      </c>
      <c r="I46" s="116">
        <v>31</v>
      </c>
      <c r="J46" s="5">
        <v>59.74189583333334</v>
      </c>
      <c r="K46" s="23">
        <v>0.58</v>
      </c>
      <c r="L46" s="7">
        <f t="shared" si="12"/>
        <v>442.25490599999995</v>
      </c>
      <c r="M46" s="7">
        <f t="shared" si="12"/>
        <v>2001.44556</v>
      </c>
      <c r="N46" s="7">
        <f t="shared" si="12"/>
        <v>3857.1016826325003</v>
      </c>
      <c r="O46" s="7">
        <f t="shared" si="12"/>
        <v>37.4464008</v>
      </c>
      <c r="P46" s="7">
        <f t="shared" si="13"/>
        <v>292.07315929680004</v>
      </c>
      <c r="Q46" s="7">
        <f t="shared" si="13"/>
        <v>1128.525782832</v>
      </c>
      <c r="R46" s="7">
        <f t="shared" si="13"/>
        <v>2897.846109203441</v>
      </c>
      <c r="S46" s="7">
        <f t="shared" si="13"/>
        <v>25.619821607520002</v>
      </c>
    </row>
    <row r="47" spans="1:19" ht="12.75">
      <c r="A47">
        <v>13</v>
      </c>
      <c r="B47" s="1" t="s">
        <v>234</v>
      </c>
      <c r="C47" s="21">
        <v>37755</v>
      </c>
      <c r="D47" s="10">
        <v>0.5</v>
      </c>
      <c r="E47" s="5">
        <f t="shared" si="10"/>
        <v>9266</v>
      </c>
      <c r="F47" s="34">
        <v>3150</v>
      </c>
      <c r="G47" s="7">
        <f t="shared" si="11"/>
        <v>89.19855</v>
      </c>
      <c r="H47" s="5">
        <v>5.87</v>
      </c>
      <c r="I47" s="116">
        <v>19.4</v>
      </c>
      <c r="J47" s="5">
        <v>64.19076041666666</v>
      </c>
      <c r="K47" s="23">
        <v>0.53</v>
      </c>
      <c r="L47" s="7">
        <f t="shared" si="12"/>
        <v>523.5954885</v>
      </c>
      <c r="M47" s="7">
        <f t="shared" si="12"/>
        <v>1730.4518699999999</v>
      </c>
      <c r="N47" s="7">
        <f t="shared" si="12"/>
        <v>5725.722752564062</v>
      </c>
      <c r="O47" s="7">
        <f t="shared" si="12"/>
        <v>47.275231500000004</v>
      </c>
      <c r="P47" s="7">
        <f t="shared" si="13"/>
        <v>317.5465525646399</v>
      </c>
      <c r="Q47" s="7">
        <f t="shared" si="13"/>
        <v>1112.4957330144</v>
      </c>
      <c r="R47" s="7">
        <f t="shared" si="13"/>
        <v>3710.0506528162664</v>
      </c>
      <c r="S47" s="7">
        <f t="shared" si="13"/>
        <v>29.757492586080005</v>
      </c>
    </row>
    <row r="48" spans="1:19" ht="12.75">
      <c r="A48">
        <v>14</v>
      </c>
      <c r="B48" s="1" t="s">
        <v>235</v>
      </c>
      <c r="C48" s="21">
        <v>37762</v>
      </c>
      <c r="D48" s="10">
        <v>0.5590277777777778</v>
      </c>
      <c r="E48" s="5">
        <f t="shared" si="10"/>
        <v>9273</v>
      </c>
      <c r="F48" s="34">
        <v>4880</v>
      </c>
      <c r="G48" s="7">
        <f t="shared" si="11"/>
        <v>138.18696</v>
      </c>
      <c r="H48" s="5">
        <v>3.81</v>
      </c>
      <c r="I48" s="116">
        <v>14.1</v>
      </c>
      <c r="J48" s="5">
        <v>47.34863020833334</v>
      </c>
      <c r="K48" s="23">
        <v>0.37</v>
      </c>
      <c r="L48" s="7">
        <f t="shared" si="12"/>
        <v>526.4923176</v>
      </c>
      <c r="M48" s="7">
        <f t="shared" si="12"/>
        <v>1948.436136</v>
      </c>
      <c r="N48" s="7">
        <f t="shared" si="12"/>
        <v>6542.963268653751</v>
      </c>
      <c r="O48" s="7">
        <f t="shared" si="12"/>
        <v>51.1291752</v>
      </c>
      <c r="P48" s="7">
        <f t="shared" si="13"/>
        <v>364.49353340064</v>
      </c>
      <c r="Q48" s="7">
        <f t="shared" si="13"/>
        <v>2140.5768126624</v>
      </c>
      <c r="R48" s="7">
        <f t="shared" si="13"/>
        <v>6161.521683842784</v>
      </c>
      <c r="S48" s="7">
        <f t="shared" si="13"/>
        <v>43.668184855679996</v>
      </c>
    </row>
    <row r="49" spans="1:19" ht="12.75">
      <c r="A49">
        <v>15</v>
      </c>
      <c r="B49" s="1" t="s">
        <v>236</v>
      </c>
      <c r="C49" s="21">
        <v>37769</v>
      </c>
      <c r="D49" s="10">
        <v>0.38819444444444445</v>
      </c>
      <c r="E49" s="5">
        <f t="shared" si="10"/>
        <v>9280</v>
      </c>
      <c r="F49" s="34">
        <v>18300</v>
      </c>
      <c r="G49" s="7">
        <f t="shared" si="11"/>
        <v>518.2011</v>
      </c>
      <c r="H49" s="5">
        <v>1.31</v>
      </c>
      <c r="I49" s="116">
        <v>9.9</v>
      </c>
      <c r="J49" s="5">
        <v>26.693187499999997</v>
      </c>
      <c r="K49" s="23">
        <v>0.18</v>
      </c>
      <c r="L49" s="7">
        <f t="shared" si="12"/>
        <v>678.843441</v>
      </c>
      <c r="M49" s="7">
        <f t="shared" si="12"/>
        <v>5130.19089</v>
      </c>
      <c r="N49" s="7">
        <f t="shared" si="12"/>
        <v>13832.439125006249</v>
      </c>
      <c r="O49" s="7">
        <f t="shared" si="12"/>
        <v>93.276198</v>
      </c>
      <c r="P49" s="7">
        <f t="shared" si="13"/>
        <v>57.2367216816</v>
      </c>
      <c r="Q49" s="7">
        <f t="shared" si="13"/>
        <v>321.1123334112</v>
      </c>
      <c r="R49" s="7">
        <f t="shared" si="13"/>
        <v>1370.05288390179</v>
      </c>
      <c r="S49" s="7">
        <f t="shared" si="13"/>
        <v>7.405824297599998</v>
      </c>
    </row>
    <row r="50" spans="1:19" ht="12.75">
      <c r="A50">
        <v>16</v>
      </c>
      <c r="B50" s="1" t="s">
        <v>237</v>
      </c>
      <c r="C50" s="21">
        <v>37770</v>
      </c>
      <c r="D50" s="10">
        <v>0.6458333333333334</v>
      </c>
      <c r="E50" s="5">
        <f t="shared" si="10"/>
        <v>9281</v>
      </c>
      <c r="F50" s="34">
        <v>18400</v>
      </c>
      <c r="G50" s="7">
        <f t="shared" si="11"/>
        <v>521.0328</v>
      </c>
      <c r="H50" s="5">
        <v>1.24</v>
      </c>
      <c r="I50" s="116">
        <v>4.42</v>
      </c>
      <c r="J50" s="5">
        <v>34.319812500000005</v>
      </c>
      <c r="K50" s="23">
        <v>0.15</v>
      </c>
      <c r="L50" s="7">
        <f t="shared" si="12"/>
        <v>646.0806719999999</v>
      </c>
      <c r="M50" s="7">
        <f t="shared" si="12"/>
        <v>2302.9649759999998</v>
      </c>
      <c r="N50" s="7">
        <f t="shared" si="12"/>
        <v>17881.74800235</v>
      </c>
      <c r="O50" s="7">
        <f t="shared" si="12"/>
        <v>78.15491999999999</v>
      </c>
      <c r="P50" s="7">
        <f t="shared" si="13"/>
        <v>393.20596558080007</v>
      </c>
      <c r="Q50" s="7">
        <f t="shared" si="13"/>
        <v>1827.3669610752002</v>
      </c>
      <c r="R50" s="7">
        <f t="shared" si="13"/>
        <v>7375.0548500127</v>
      </c>
      <c r="S50" s="7">
        <f t="shared" si="13"/>
        <v>47.385531878399995</v>
      </c>
    </row>
    <row r="51" spans="1:19" ht="12.75">
      <c r="A51">
        <v>17</v>
      </c>
      <c r="B51" s="1" t="s">
        <v>238</v>
      </c>
      <c r="C51" s="21">
        <v>37776</v>
      </c>
      <c r="D51" s="10">
        <v>0.46875</v>
      </c>
      <c r="E51" s="5">
        <f t="shared" si="10"/>
        <v>9287</v>
      </c>
      <c r="F51" s="34">
        <v>13200</v>
      </c>
      <c r="G51" s="7">
        <f t="shared" si="11"/>
        <v>373.7844</v>
      </c>
      <c r="H51" s="5">
        <v>2.33</v>
      </c>
      <c r="I51" s="116">
        <v>12.7</v>
      </c>
      <c r="J51" s="5">
        <v>28.282067708333333</v>
      </c>
      <c r="K51" s="23">
        <v>0.28</v>
      </c>
      <c r="L51" s="7">
        <f t="shared" si="12"/>
        <v>870.9176520000001</v>
      </c>
      <c r="M51" s="7">
        <f t="shared" si="12"/>
        <v>4747.06188</v>
      </c>
      <c r="N51" s="7">
        <f t="shared" si="12"/>
        <v>10571.39570911875</v>
      </c>
      <c r="O51" s="7">
        <f t="shared" si="12"/>
        <v>104.65963200000002</v>
      </c>
      <c r="P51" s="7">
        <f t="shared" si="13"/>
        <v>548.0016389568</v>
      </c>
      <c r="Q51" s="7">
        <f t="shared" si="13"/>
        <v>2617.2139029120003</v>
      </c>
      <c r="R51" s="7">
        <f t="shared" si="13"/>
        <v>6279.49195043751</v>
      </c>
      <c r="S51" s="7">
        <f t="shared" si="13"/>
        <v>61.448524300799996</v>
      </c>
    </row>
    <row r="52" spans="1:19" ht="12.75">
      <c r="A52">
        <v>18</v>
      </c>
      <c r="B52" s="1" t="s">
        <v>239</v>
      </c>
      <c r="C52" s="21">
        <v>37783</v>
      </c>
      <c r="D52" s="10">
        <v>5.1</v>
      </c>
      <c r="E52" s="5">
        <f t="shared" si="10"/>
        <v>9294</v>
      </c>
      <c r="F52" s="34">
        <v>12000</v>
      </c>
      <c r="G52" s="7">
        <f t="shared" si="11"/>
        <v>339.804</v>
      </c>
      <c r="H52" s="5">
        <v>2.77</v>
      </c>
      <c r="I52" s="116">
        <v>11.5</v>
      </c>
      <c r="J52" s="5">
        <v>30</v>
      </c>
      <c r="K52" s="23">
        <v>0.29</v>
      </c>
      <c r="L52" s="7">
        <f t="shared" si="12"/>
        <v>941.25708</v>
      </c>
      <c r="M52" s="7">
        <f t="shared" si="12"/>
        <v>3907.7459999999996</v>
      </c>
      <c r="N52" s="7">
        <f t="shared" si="12"/>
        <v>10194.119999999999</v>
      </c>
      <c r="O52" s="7">
        <f t="shared" si="12"/>
        <v>98.54315999999999</v>
      </c>
      <c r="P52" s="7">
        <f t="shared" si="13"/>
        <v>572.6803801824</v>
      </c>
      <c r="Q52" s="7">
        <f t="shared" si="13"/>
        <v>2311.084479312</v>
      </c>
      <c r="R52" s="7">
        <f t="shared" si="13"/>
        <v>6441.127403032664</v>
      </c>
      <c r="S52" s="7">
        <f t="shared" si="13"/>
        <v>59.8472319312</v>
      </c>
    </row>
    <row r="53" spans="1:19" ht="12.75">
      <c r="A53">
        <v>19</v>
      </c>
      <c r="B53" s="1" t="s">
        <v>240</v>
      </c>
      <c r="C53" s="21">
        <v>37790</v>
      </c>
      <c r="D53" s="10">
        <v>0.32569444444444445</v>
      </c>
      <c r="E53" s="5">
        <f t="shared" si="10"/>
        <v>9301</v>
      </c>
      <c r="F53" s="34">
        <v>12100</v>
      </c>
      <c r="G53" s="7">
        <f t="shared" si="11"/>
        <v>342.6357</v>
      </c>
      <c r="H53" s="5">
        <v>2.78</v>
      </c>
      <c r="I53" s="116">
        <v>10.9</v>
      </c>
      <c r="J53" s="5">
        <v>32.41315625</v>
      </c>
      <c r="K53" s="23">
        <v>0.29</v>
      </c>
      <c r="L53" s="7">
        <f t="shared" si="12"/>
        <v>952.5272459999999</v>
      </c>
      <c r="M53" s="7">
        <f t="shared" si="12"/>
        <v>3734.72913</v>
      </c>
      <c r="N53" s="7">
        <f t="shared" si="12"/>
        <v>11105.904480928124</v>
      </c>
      <c r="O53" s="7">
        <f t="shared" si="12"/>
        <v>99.364353</v>
      </c>
      <c r="P53" s="7">
        <f t="shared" si="13"/>
        <v>567.7069544697599</v>
      </c>
      <c r="Q53" s="7">
        <f t="shared" si="13"/>
        <v>2236.3803368928</v>
      </c>
      <c r="R53" s="7">
        <f t="shared" si="13"/>
        <v>5744.752560619317</v>
      </c>
      <c r="S53" s="7">
        <f t="shared" si="13"/>
        <v>59.179313188799995</v>
      </c>
    </row>
    <row r="54" spans="1:19" ht="12.75">
      <c r="A54">
        <v>20</v>
      </c>
      <c r="B54" s="1" t="s">
        <v>241</v>
      </c>
      <c r="C54" s="21">
        <v>37797</v>
      </c>
      <c r="D54" s="10">
        <v>0.32222222222222224</v>
      </c>
      <c r="E54" s="5">
        <f t="shared" si="10"/>
        <v>9308</v>
      </c>
      <c r="F54" s="34">
        <v>7560</v>
      </c>
      <c r="G54" s="7">
        <f t="shared" si="11"/>
        <v>214.07652</v>
      </c>
      <c r="H54" s="5">
        <v>4.32</v>
      </c>
      <c r="I54" s="116">
        <v>17.1</v>
      </c>
      <c r="J54" s="5">
        <v>36.86202083333334</v>
      </c>
      <c r="K54" s="23">
        <v>0.45</v>
      </c>
      <c r="L54" s="7">
        <f t="shared" si="12"/>
        <v>924.8105664</v>
      </c>
      <c r="M54" s="7">
        <f t="shared" si="12"/>
        <v>3660.708492</v>
      </c>
      <c r="N54" s="7">
        <f t="shared" si="12"/>
        <v>7891.2931401675005</v>
      </c>
      <c r="O54" s="7">
        <f t="shared" si="12"/>
        <v>96.334434</v>
      </c>
      <c r="P54" s="7">
        <f t="shared" si="13"/>
        <v>423.78915732983745</v>
      </c>
      <c r="Q54" s="7">
        <f t="shared" si="13"/>
        <v>1502.3079901850288</v>
      </c>
      <c r="R54" s="7">
        <f t="shared" si="13"/>
        <v>4336.638796802359</v>
      </c>
      <c r="S54" s="7">
        <f t="shared" si="13"/>
        <v>43.238936535450534</v>
      </c>
    </row>
    <row r="55" spans="1:19" ht="12.75">
      <c r="A55">
        <v>21</v>
      </c>
      <c r="B55" s="1"/>
      <c r="C55" s="21">
        <v>37803</v>
      </c>
      <c r="D55" s="10"/>
      <c r="E55" s="5">
        <f t="shared" si="10"/>
        <v>9314</v>
      </c>
      <c r="F55" s="82">
        <v>7100</v>
      </c>
      <c r="G55" s="7">
        <f t="shared" si="11"/>
        <v>201.05069999999998</v>
      </c>
      <c r="H55" s="5">
        <f>145.67*G55^-0.7013</f>
        <v>3.5323352095184126</v>
      </c>
      <c r="I55" s="116">
        <f>284.57*G55^-0.62</f>
        <v>10.620370026855364</v>
      </c>
      <c r="J55" s="5">
        <f>253.19*G55^-0.3301</f>
        <v>43.96685221885404</v>
      </c>
      <c r="K55" s="23">
        <f>6.0646*G55^-0.5375</f>
        <v>0.3505705316212814</v>
      </c>
      <c r="L55" s="7">
        <f t="shared" si="12"/>
        <v>710.1784665083235</v>
      </c>
      <c r="M55" s="7">
        <f t="shared" si="12"/>
        <v>2135.2328281582895</v>
      </c>
      <c r="N55" s="7">
        <f t="shared" si="12"/>
        <v>8839.566415397156</v>
      </c>
      <c r="O55" s="7">
        <f t="shared" si="12"/>
        <v>70.48245078183075</v>
      </c>
      <c r="P55" s="7">
        <f t="shared" si="13"/>
        <v>528.5324680732766</v>
      </c>
      <c r="Q55" s="7">
        <f t="shared" si="13"/>
        <v>1482.0713421091048</v>
      </c>
      <c r="R55" s="7">
        <f t="shared" si="13"/>
        <v>5676.66719984319</v>
      </c>
      <c r="S55" s="7">
        <f t="shared" si="13"/>
        <v>51.859371737720714</v>
      </c>
    </row>
    <row r="56" spans="1:19" ht="12.75">
      <c r="A56">
        <v>22</v>
      </c>
      <c r="B56" s="1" t="s">
        <v>242</v>
      </c>
      <c r="C56" s="21">
        <v>37811</v>
      </c>
      <c r="D56" s="10">
        <v>0.3423611111111111</v>
      </c>
      <c r="E56" s="5">
        <f t="shared" si="10"/>
        <v>9322</v>
      </c>
      <c r="F56" s="34">
        <v>5510</v>
      </c>
      <c r="G56" s="7">
        <f t="shared" si="11"/>
        <v>156.02667</v>
      </c>
      <c r="H56" s="5">
        <v>5.25</v>
      </c>
      <c r="I56" s="116">
        <v>13.8</v>
      </c>
      <c r="J56" s="5">
        <v>48.619734375</v>
      </c>
      <c r="K56" s="23">
        <v>0.51</v>
      </c>
      <c r="L56" s="7">
        <f t="shared" si="12"/>
        <v>819.1400175</v>
      </c>
      <c r="M56" s="7">
        <f t="shared" si="12"/>
        <v>2153.1680460000002</v>
      </c>
      <c r="N56" s="7">
        <f t="shared" si="12"/>
        <v>7585.975250815781</v>
      </c>
      <c r="O56" s="7">
        <f t="shared" si="12"/>
        <v>79.5736017</v>
      </c>
      <c r="P56" s="7">
        <f t="shared" si="13"/>
        <v>69.93879908400001</v>
      </c>
      <c r="Q56" s="7">
        <f t="shared" si="13"/>
        <v>170.7266363472</v>
      </c>
      <c r="R56" s="7">
        <f t="shared" si="13"/>
        <v>633.8418819624293</v>
      </c>
      <c r="S56" s="7">
        <f t="shared" si="13"/>
        <v>6.84139626144</v>
      </c>
    </row>
    <row r="57" spans="1:19" ht="12.75">
      <c r="A57">
        <v>23</v>
      </c>
      <c r="B57" s="1" t="s">
        <v>243</v>
      </c>
      <c r="C57" s="21">
        <v>37812</v>
      </c>
      <c r="D57" s="10">
        <v>0.28125</v>
      </c>
      <c r="E57" s="5">
        <f t="shared" si="10"/>
        <v>9323</v>
      </c>
      <c r="F57" s="34">
        <v>5250</v>
      </c>
      <c r="G57" s="7">
        <f t="shared" si="11"/>
        <v>148.66424999999998</v>
      </c>
      <c r="H57" s="5">
        <v>5.38</v>
      </c>
      <c r="I57" s="116">
        <v>12.1</v>
      </c>
      <c r="J57" s="5">
        <v>47.66640625</v>
      </c>
      <c r="K57" s="23">
        <v>0.53</v>
      </c>
      <c r="L57" s="7">
        <f t="shared" si="12"/>
        <v>799.8136649999999</v>
      </c>
      <c r="M57" s="7">
        <f t="shared" si="12"/>
        <v>1798.8374249999997</v>
      </c>
      <c r="N57" s="7">
        <f t="shared" si="12"/>
        <v>7086.290535351562</v>
      </c>
      <c r="O57" s="7">
        <f t="shared" si="12"/>
        <v>78.7920525</v>
      </c>
      <c r="P57" s="7">
        <f t="shared" si="13"/>
        <v>401.63788922111996</v>
      </c>
      <c r="Q57" s="7">
        <f t="shared" si="13"/>
        <v>949.6409961311998</v>
      </c>
      <c r="R57" s="7">
        <f t="shared" si="13"/>
        <v>3506.859572798259</v>
      </c>
      <c r="S57" s="7">
        <f t="shared" si="13"/>
        <v>39.23912515103999</v>
      </c>
    </row>
    <row r="58" spans="1:19" ht="12.75">
      <c r="A58">
        <v>24</v>
      </c>
      <c r="B58" s="1" t="s">
        <v>244</v>
      </c>
      <c r="C58" s="21">
        <v>37818</v>
      </c>
      <c r="D58" s="10">
        <v>0.31805555555555554</v>
      </c>
      <c r="E58" s="5">
        <f t="shared" si="10"/>
        <v>9329</v>
      </c>
      <c r="F58" s="34">
        <v>4420</v>
      </c>
      <c r="G58" s="7">
        <f t="shared" si="11"/>
        <v>125.16113999999999</v>
      </c>
      <c r="H58" s="5">
        <v>5.99</v>
      </c>
      <c r="I58" s="116">
        <v>14.9</v>
      </c>
      <c r="J58" s="5">
        <v>51.479718749999996</v>
      </c>
      <c r="K58" s="23">
        <v>0.58</v>
      </c>
      <c r="L58" s="7">
        <f t="shared" si="12"/>
        <v>749.7152285999999</v>
      </c>
      <c r="M58" s="7">
        <f t="shared" si="12"/>
        <v>1864.9009859999999</v>
      </c>
      <c r="N58" s="7">
        <f t="shared" si="12"/>
        <v>6443.260285629374</v>
      </c>
      <c r="O58" s="7">
        <f t="shared" si="12"/>
        <v>72.5934612</v>
      </c>
      <c r="P58" s="7">
        <f t="shared" si="13"/>
        <v>427.05953713584</v>
      </c>
      <c r="Q58" s="7">
        <f t="shared" si="13"/>
        <v>1035.8991541584</v>
      </c>
      <c r="R58" s="7">
        <f t="shared" si="13"/>
        <v>3676.6351080710047</v>
      </c>
      <c r="S58" s="7">
        <f t="shared" si="13"/>
        <v>41.01791753808</v>
      </c>
    </row>
    <row r="59" spans="1:19" ht="12.75">
      <c r="A59">
        <v>25</v>
      </c>
      <c r="B59" s="1" t="s">
        <v>245</v>
      </c>
      <c r="C59" s="21">
        <v>37825</v>
      </c>
      <c r="D59" s="10">
        <v>0.5631944444444444</v>
      </c>
      <c r="E59" s="5">
        <f t="shared" si="10"/>
        <v>9336</v>
      </c>
      <c r="F59" s="34">
        <v>3650</v>
      </c>
      <c r="G59" s="7">
        <f t="shared" si="11"/>
        <v>103.35705</v>
      </c>
      <c r="H59" s="5">
        <v>6.41</v>
      </c>
      <c r="I59" s="116">
        <v>15.1</v>
      </c>
      <c r="J59" s="5">
        <v>55.29303124999999</v>
      </c>
      <c r="K59" s="23">
        <v>0.61</v>
      </c>
      <c r="L59" s="7">
        <f t="shared" si="12"/>
        <v>662.5186905</v>
      </c>
      <c r="M59" s="7">
        <f t="shared" si="12"/>
        <v>1560.691455</v>
      </c>
      <c r="N59" s="7">
        <f t="shared" si="12"/>
        <v>5714.924595557812</v>
      </c>
      <c r="O59" s="7">
        <f t="shared" si="12"/>
        <v>63.0478005</v>
      </c>
      <c r="P59" s="7">
        <f t="shared" si="13"/>
        <v>755.2020211344</v>
      </c>
      <c r="Q59" s="7">
        <f t="shared" si="13"/>
        <v>1804.1855321951998</v>
      </c>
      <c r="R59" s="7">
        <f t="shared" si="13"/>
        <v>6220.18936663658</v>
      </c>
      <c r="S59" s="7">
        <f t="shared" si="13"/>
        <v>69.80093380512001</v>
      </c>
    </row>
    <row r="60" spans="1:19" ht="12.75">
      <c r="A60">
        <v>26</v>
      </c>
      <c r="B60" s="1" t="s">
        <v>246</v>
      </c>
      <c r="C60" s="21">
        <v>37839</v>
      </c>
      <c r="D60" s="10">
        <v>0.513888888888889</v>
      </c>
      <c r="E60" s="5">
        <f t="shared" si="10"/>
        <v>9350</v>
      </c>
      <c r="F60" s="34">
        <v>2760</v>
      </c>
      <c r="G60" s="7">
        <f t="shared" si="11"/>
        <v>78.15491999999999</v>
      </c>
      <c r="H60" s="5">
        <v>7.5</v>
      </c>
      <c r="I60" s="116">
        <v>18.2</v>
      </c>
      <c r="J60" s="5">
        <v>58.47079166666667</v>
      </c>
      <c r="K60" s="23">
        <v>0.67</v>
      </c>
      <c r="L60" s="7">
        <f t="shared" si="12"/>
        <v>586.1619</v>
      </c>
      <c r="M60" s="7">
        <f t="shared" si="12"/>
        <v>1422.4195439999999</v>
      </c>
      <c r="N60" s="7">
        <f t="shared" si="12"/>
        <v>4569.7800450449995</v>
      </c>
      <c r="O60" s="7">
        <f t="shared" si="12"/>
        <v>52.3637964</v>
      </c>
      <c r="P60" s="7">
        <f t="shared" si="13"/>
        <v>344.8601475983999</v>
      </c>
      <c r="Q60" s="7">
        <f t="shared" si="13"/>
        <v>851.6135226815999</v>
      </c>
      <c r="R60" s="7">
        <f t="shared" si="13"/>
        <v>2552.2618923754153</v>
      </c>
      <c r="S60" s="7">
        <f t="shared" si="13"/>
        <v>30.212191114559996</v>
      </c>
    </row>
    <row r="61" spans="1:19" ht="12.75">
      <c r="A61">
        <v>27</v>
      </c>
      <c r="B61" s="1" t="s">
        <v>247</v>
      </c>
      <c r="C61" s="21">
        <v>37846</v>
      </c>
      <c r="D61" s="9">
        <v>0.5923611111111111</v>
      </c>
      <c r="E61" s="5">
        <f t="shared" si="10"/>
        <v>9357</v>
      </c>
      <c r="F61" s="32">
        <v>2300</v>
      </c>
      <c r="G61" s="7">
        <f t="shared" si="11"/>
        <v>65.1291</v>
      </c>
      <c r="H61" s="5">
        <v>8.51</v>
      </c>
      <c r="I61" s="116">
        <v>21.4</v>
      </c>
      <c r="J61" s="5">
        <v>59.424119791666676</v>
      </c>
      <c r="K61" s="23">
        <v>0.73</v>
      </c>
      <c r="L61" s="7">
        <f t="shared" si="12"/>
        <v>554.2486409999999</v>
      </c>
      <c r="M61" s="7">
        <f t="shared" si="12"/>
        <v>1393.7627399999997</v>
      </c>
      <c r="N61" s="7">
        <f t="shared" si="12"/>
        <v>3870.239440323438</v>
      </c>
      <c r="O61" s="7">
        <f t="shared" si="12"/>
        <v>47.544242999999994</v>
      </c>
      <c r="P61" s="7">
        <f t="shared" si="13"/>
        <v>365.06040802559994</v>
      </c>
      <c r="Q61" s="7">
        <f t="shared" si="13"/>
        <v>900.0413013887998</v>
      </c>
      <c r="R61" s="7">
        <f t="shared" si="13"/>
        <v>2617.9812036205744</v>
      </c>
      <c r="S61" s="7">
        <f t="shared" si="13"/>
        <v>31.27621258368</v>
      </c>
    </row>
    <row r="62" spans="1:19" ht="12.75">
      <c r="A62">
        <v>28</v>
      </c>
      <c r="B62" s="1" t="s">
        <v>248</v>
      </c>
      <c r="C62" s="21">
        <v>37854</v>
      </c>
      <c r="D62" s="10">
        <v>0.4902777777777778</v>
      </c>
      <c r="E62" s="5">
        <f t="shared" si="10"/>
        <v>9365</v>
      </c>
      <c r="F62" s="34">
        <v>1970</v>
      </c>
      <c r="G62" s="7">
        <f t="shared" si="11"/>
        <v>55.78449</v>
      </c>
      <c r="H62" s="5">
        <v>9</v>
      </c>
      <c r="I62" s="116">
        <v>21.7</v>
      </c>
      <c r="J62" s="5">
        <v>66.41519270833334</v>
      </c>
      <c r="K62" s="23">
        <v>0.77</v>
      </c>
      <c r="L62" s="7">
        <f t="shared" si="12"/>
        <v>502.06041</v>
      </c>
      <c r="M62" s="7">
        <f t="shared" si="12"/>
        <v>1210.5234329999998</v>
      </c>
      <c r="N62" s="7">
        <f t="shared" si="12"/>
        <v>3704.937653486094</v>
      </c>
      <c r="O62" s="7">
        <f t="shared" si="12"/>
        <v>42.9540573</v>
      </c>
      <c r="P62" s="7">
        <f t="shared" si="13"/>
        <v>212.1272003736</v>
      </c>
      <c r="Q62" s="7">
        <f t="shared" si="13"/>
        <v>515.4779107439999</v>
      </c>
      <c r="R62" s="7">
        <f t="shared" si="13"/>
        <v>1513.4956015728148</v>
      </c>
      <c r="S62" s="7">
        <f t="shared" si="13"/>
        <v>17.817894583200005</v>
      </c>
    </row>
    <row r="63" spans="1:19" ht="12.75">
      <c r="A63">
        <v>29</v>
      </c>
      <c r="B63" s="1" t="s">
        <v>249</v>
      </c>
      <c r="C63" s="21">
        <v>37859</v>
      </c>
      <c r="D63" s="10">
        <v>0.3125</v>
      </c>
      <c r="E63" s="5">
        <f t="shared" si="10"/>
        <v>9370</v>
      </c>
      <c r="F63" s="34">
        <v>1790</v>
      </c>
      <c r="G63" s="7">
        <f t="shared" si="11"/>
        <v>50.68743</v>
      </c>
      <c r="H63" s="5">
        <v>9.47</v>
      </c>
      <c r="I63" s="116">
        <v>23.2</v>
      </c>
      <c r="J63" s="5">
        <v>65.14408854166666</v>
      </c>
      <c r="K63" s="23">
        <v>0.78</v>
      </c>
      <c r="L63" s="7">
        <f t="shared" si="12"/>
        <v>480.0099621</v>
      </c>
      <c r="M63" s="7">
        <f t="shared" si="12"/>
        <v>1175.948376</v>
      </c>
      <c r="N63" s="7">
        <f t="shared" si="12"/>
        <v>3301.986427869531</v>
      </c>
      <c r="O63" s="7">
        <f t="shared" si="12"/>
        <v>39.536195400000004</v>
      </c>
      <c r="P63" s="7">
        <f t="shared" si="13"/>
        <v>41.555922415199994</v>
      </c>
      <c r="Q63" s="7">
        <f t="shared" si="13"/>
        <v>101.82702585599999</v>
      </c>
      <c r="R63" s="7">
        <f t="shared" si="13"/>
        <v>284.95342909049174</v>
      </c>
      <c r="S63" s="7">
        <f t="shared" si="13"/>
        <v>3.40883217504</v>
      </c>
    </row>
    <row r="64" spans="1:19" ht="12.75">
      <c r="A64">
        <v>30</v>
      </c>
      <c r="B64" s="1" t="s">
        <v>250</v>
      </c>
      <c r="C64" s="21">
        <v>37860</v>
      </c>
      <c r="D64" s="10">
        <v>0.3958333333333333</v>
      </c>
      <c r="E64" s="5">
        <f t="shared" si="10"/>
        <v>9371</v>
      </c>
      <c r="F64" s="34">
        <v>1760</v>
      </c>
      <c r="G64" s="7">
        <f t="shared" si="11"/>
        <v>49.83792</v>
      </c>
      <c r="H64" s="5">
        <v>9.67</v>
      </c>
      <c r="I64" s="116">
        <v>23.7</v>
      </c>
      <c r="J64" s="5">
        <v>66.09741666666667</v>
      </c>
      <c r="K64" s="23">
        <v>0.79</v>
      </c>
      <c r="L64" s="7">
        <f t="shared" si="12"/>
        <v>481.93268639999997</v>
      </c>
      <c r="M64" s="7">
        <f t="shared" si="12"/>
        <v>1181.158704</v>
      </c>
      <c r="N64" s="7">
        <f t="shared" si="12"/>
        <v>3294.15776404</v>
      </c>
      <c r="O64" s="7">
        <f t="shared" si="12"/>
        <v>39.3719568</v>
      </c>
      <c r="P64" s="7">
        <f t="shared" si="13"/>
        <v>290.49498719136</v>
      </c>
      <c r="Q64" s="7">
        <f t="shared" si="13"/>
        <v>703.2242420784</v>
      </c>
      <c r="R64" s="7">
        <f t="shared" si="13"/>
        <v>1968.7415816935124</v>
      </c>
      <c r="S64" s="7">
        <f t="shared" si="13"/>
        <v>23.34889788336</v>
      </c>
    </row>
    <row r="65" spans="1:19" ht="12.75">
      <c r="A65">
        <v>31</v>
      </c>
      <c r="B65" s="1" t="s">
        <v>251</v>
      </c>
      <c r="C65" s="21">
        <v>37867</v>
      </c>
      <c r="D65" s="10">
        <v>0.4930555555555556</v>
      </c>
      <c r="E65" s="5">
        <f t="shared" si="10"/>
        <v>9378</v>
      </c>
      <c r="F65" s="34">
        <v>1610</v>
      </c>
      <c r="G65" s="7">
        <f t="shared" si="11"/>
        <v>45.59037</v>
      </c>
      <c r="H65" s="5">
        <v>10.5</v>
      </c>
      <c r="I65" s="116">
        <v>25.1</v>
      </c>
      <c r="J65" s="5">
        <v>70.54628125</v>
      </c>
      <c r="K65" s="23">
        <v>0.83</v>
      </c>
      <c r="L65" s="7">
        <f t="shared" si="12"/>
        <v>478.698885</v>
      </c>
      <c r="M65" s="7">
        <f t="shared" si="12"/>
        <v>1144.318287</v>
      </c>
      <c r="N65" s="7">
        <f t="shared" si="12"/>
        <v>3216.231064311563</v>
      </c>
      <c r="O65" s="7">
        <f t="shared" si="12"/>
        <v>37.8400071</v>
      </c>
      <c r="P65" s="7">
        <f t="shared" si="13"/>
        <v>560.7948517919999</v>
      </c>
      <c r="Q65" s="7">
        <f t="shared" si="13"/>
        <v>1372.744276848</v>
      </c>
      <c r="R65" s="7">
        <f t="shared" si="13"/>
        <v>3763.330487190226</v>
      </c>
      <c r="S65" s="7">
        <f t="shared" si="13"/>
        <v>43.84800913248</v>
      </c>
    </row>
    <row r="66" spans="1:19" ht="12.75">
      <c r="A66">
        <v>32</v>
      </c>
      <c r="B66" s="1" t="s">
        <v>252</v>
      </c>
      <c r="C66" s="21">
        <v>37881</v>
      </c>
      <c r="D66" s="10">
        <v>0.44097222222222227</v>
      </c>
      <c r="E66" s="5">
        <f t="shared" si="10"/>
        <v>9392</v>
      </c>
      <c r="F66" s="34">
        <v>1440</v>
      </c>
      <c r="G66" s="7">
        <f t="shared" si="11"/>
        <v>40.77648</v>
      </c>
      <c r="H66" s="5">
        <v>11</v>
      </c>
      <c r="I66" s="116">
        <v>27.6</v>
      </c>
      <c r="J66" s="5">
        <v>73.72404166666668</v>
      </c>
      <c r="K66" s="23">
        <v>0.85</v>
      </c>
      <c r="L66" s="7">
        <f t="shared" si="12"/>
        <v>448.54128</v>
      </c>
      <c r="M66" s="7">
        <f t="shared" si="12"/>
        <v>1125.430848</v>
      </c>
      <c r="N66" s="7">
        <f t="shared" si="12"/>
        <v>3006.2069105400005</v>
      </c>
      <c r="O66" s="7">
        <f t="shared" si="12"/>
        <v>34.660008</v>
      </c>
      <c r="P66" s="7">
        <f t="shared" si="13"/>
        <v>264.0334167072</v>
      </c>
      <c r="Q66" s="7">
        <f t="shared" si="13"/>
        <v>656.4613670496001</v>
      </c>
      <c r="R66" s="7">
        <f t="shared" si="13"/>
        <v>1745.6628880276742</v>
      </c>
      <c r="S66" s="7">
        <f t="shared" si="13"/>
        <v>20.1916973664</v>
      </c>
    </row>
    <row r="67" spans="1:19" ht="12.75">
      <c r="A67">
        <v>33</v>
      </c>
      <c r="B67" s="1" t="s">
        <v>253</v>
      </c>
      <c r="C67" s="21">
        <v>37888</v>
      </c>
      <c r="D67" s="10">
        <v>0.4444444444444444</v>
      </c>
      <c r="E67" s="5">
        <f t="shared" si="10"/>
        <v>9399</v>
      </c>
      <c r="F67" s="34">
        <v>1260</v>
      </c>
      <c r="G67" s="7">
        <f t="shared" si="11"/>
        <v>35.67942</v>
      </c>
      <c r="H67" s="5">
        <v>11.9</v>
      </c>
      <c r="I67" s="116">
        <v>29.3</v>
      </c>
      <c r="J67" s="5">
        <v>77.53735416666666</v>
      </c>
      <c r="K67" s="23">
        <v>0.9</v>
      </c>
      <c r="L67" s="7">
        <f t="shared" si="12"/>
        <v>424.585098</v>
      </c>
      <c r="M67" s="7">
        <f t="shared" si="12"/>
        <v>1045.4070060000001</v>
      </c>
      <c r="N67" s="7">
        <f t="shared" si="12"/>
        <v>2766.48782500125</v>
      </c>
      <c r="O67" s="7">
        <f t="shared" si="12"/>
        <v>32.111478</v>
      </c>
      <c r="P67" s="7">
        <f t="shared" si="13"/>
        <v>217.20074374810673</v>
      </c>
      <c r="Q67" s="7">
        <f t="shared" si="13"/>
        <v>549.0023376264783</v>
      </c>
      <c r="R67" s="7">
        <f t="shared" si="13"/>
        <v>1397.8248191711655</v>
      </c>
      <c r="S67" s="7">
        <f t="shared" si="13"/>
        <v>16.226820030469554</v>
      </c>
    </row>
    <row r="68" spans="1:16" ht="12.75">
      <c r="A68">
        <v>34</v>
      </c>
      <c r="C68" s="2">
        <v>37894</v>
      </c>
      <c r="E68" s="5">
        <f t="shared" si="10"/>
        <v>9405</v>
      </c>
      <c r="F68" s="34">
        <v>1160</v>
      </c>
      <c r="G68" s="7">
        <f t="shared" si="11"/>
        <v>32.847719999999995</v>
      </c>
      <c r="H68" s="5">
        <f>145.67*G68^-0.7013</f>
        <v>12.58476187575646</v>
      </c>
      <c r="I68" s="116">
        <f>284.57*G68^-0.62</f>
        <v>32.6554649204337</v>
      </c>
      <c r="J68" s="5">
        <f>253.19*G68^-0.3301</f>
        <v>79.95546849383072</v>
      </c>
      <c r="K68" s="23">
        <f>6.0646*G68^-0.5375</f>
        <v>0.928283434581594</v>
      </c>
      <c r="L68" s="7">
        <f t="shared" si="12"/>
        <v>413.3807343615229</v>
      </c>
      <c r="M68" s="7">
        <f t="shared" si="12"/>
        <v>1072.6575681762283</v>
      </c>
      <c r="N68" s="7">
        <f t="shared" si="12"/>
        <v>2626.3548415541727</v>
      </c>
      <c r="O68" s="7">
        <f t="shared" si="12"/>
        <v>30.491994339774514</v>
      </c>
      <c r="P68" s="7"/>
    </row>
    <row r="70" spans="2:19" ht="12.75">
      <c r="B70" s="35" t="s">
        <v>223</v>
      </c>
      <c r="F70" s="38"/>
      <c r="G70" s="11"/>
      <c r="P70" s="52">
        <f>SUM(P35:P67)</f>
        <v>15554.810208667996</v>
      </c>
      <c r="Q70" s="52">
        <f>SUM(Q35:Q67)</f>
        <v>46605.75567980395</v>
      </c>
      <c r="R70" s="52">
        <f>SUM(R35:R67)</f>
        <v>126054.77768149643</v>
      </c>
      <c r="S70" s="52">
        <f>SUM(S35:S67)</f>
        <v>1315.786818691049</v>
      </c>
    </row>
    <row r="72" spans="1:19" ht="12.75">
      <c r="A72">
        <v>1</v>
      </c>
      <c r="B72" s="6" t="s">
        <v>254</v>
      </c>
      <c r="C72" s="85">
        <v>37895</v>
      </c>
      <c r="D72" s="10" t="s">
        <v>199</v>
      </c>
      <c r="E72" s="5">
        <f aca="true" t="shared" si="14" ref="E72:E106">C72-28489</f>
        <v>9406</v>
      </c>
      <c r="F72" s="86">
        <v>1150</v>
      </c>
      <c r="G72" s="7">
        <f aca="true" t="shared" si="15" ref="G72:G106">F72*0.028317</f>
        <v>32.56455</v>
      </c>
      <c r="H72" s="5">
        <v>12.5</v>
      </c>
      <c r="I72" s="116">
        <v>30.7</v>
      </c>
      <c r="J72" s="5">
        <v>82.62177083333333</v>
      </c>
      <c r="K72" s="23">
        <v>0.93</v>
      </c>
      <c r="L72" s="7">
        <f>(H72*$G72)</f>
        <v>407.056875</v>
      </c>
      <c r="M72" s="7">
        <f>(I72*$G72)</f>
        <v>999.7316849999999</v>
      </c>
      <c r="N72" s="7">
        <f>(J72*$G72)</f>
        <v>2690.5407873906247</v>
      </c>
      <c r="O72" s="7">
        <f>(K72*$G72)</f>
        <v>30.2850315</v>
      </c>
      <c r="P72" s="7">
        <f>(((L72+L73)/2)*(($E73-$E72)*24*60*60))/1000000</f>
        <v>175.506047568</v>
      </c>
      <c r="Q72" s="7">
        <f>(((M72+M73)/2)*(($E73-$E72)*24*60*60))/1000000</f>
        <v>437.27269975199994</v>
      </c>
      <c r="R72" s="7">
        <f>(((N72+N73)/2)*(($E73-$E72)*24*60*60))/1000000</f>
        <v>1116.209808998865</v>
      </c>
      <c r="S72" s="7">
        <f>(((O72+O73)/2)*(($E73-$E72)*24*60*60))/1000000</f>
        <v>12.991386528000001</v>
      </c>
    </row>
    <row r="73" spans="1:19" ht="12.75">
      <c r="A73">
        <v>2</v>
      </c>
      <c r="B73" s="6" t="s">
        <v>255</v>
      </c>
      <c r="C73" s="85">
        <v>37900</v>
      </c>
      <c r="D73" s="10">
        <v>0.7083333333333334</v>
      </c>
      <c r="E73" s="5">
        <f t="shared" si="14"/>
        <v>9411</v>
      </c>
      <c r="F73" s="86">
        <v>1110</v>
      </c>
      <c r="G73" s="7">
        <f t="shared" si="15"/>
        <v>31.43187</v>
      </c>
      <c r="H73" s="5">
        <v>12.9</v>
      </c>
      <c r="I73" s="116">
        <v>32.6</v>
      </c>
      <c r="J73" s="5">
        <v>78.80845833333333</v>
      </c>
      <c r="K73" s="23">
        <v>0.95</v>
      </c>
      <c r="L73" s="7">
        <f aca="true" t="shared" si="16" ref="L73:O106">(H73*$G73)</f>
        <v>405.47112300000003</v>
      </c>
      <c r="M73" s="7">
        <f t="shared" si="16"/>
        <v>1024.678962</v>
      </c>
      <c r="N73" s="7">
        <f t="shared" si="16"/>
        <v>2477.09721723375</v>
      </c>
      <c r="O73" s="7">
        <f t="shared" si="16"/>
        <v>29.860276499999998</v>
      </c>
      <c r="P73" s="7">
        <f aca="true" t="shared" si="17" ref="P73:S105">(((L73+L74)/2)*(($E74-$E73)*24*60*60))/1000000</f>
        <v>1447.88342275584</v>
      </c>
      <c r="Q73" s="7">
        <f t="shared" si="17"/>
        <v>3726.92492855424</v>
      </c>
      <c r="R73" s="7">
        <f t="shared" si="17"/>
        <v>8661.11327621093</v>
      </c>
      <c r="S73" s="7">
        <f t="shared" si="17"/>
        <v>103.230438123456</v>
      </c>
    </row>
    <row r="74" spans="1:19" ht="12.75">
      <c r="A74">
        <v>3</v>
      </c>
      <c r="B74" s="6" t="s">
        <v>256</v>
      </c>
      <c r="C74" s="85">
        <v>37942</v>
      </c>
      <c r="D74" s="10">
        <v>0.7083333333333334</v>
      </c>
      <c r="E74" s="5">
        <f t="shared" si="14"/>
        <v>9453</v>
      </c>
      <c r="F74" s="86">
        <v>918</v>
      </c>
      <c r="G74" s="7">
        <f t="shared" si="15"/>
        <v>25.995006</v>
      </c>
      <c r="H74" s="5">
        <v>15.1</v>
      </c>
      <c r="I74" s="116">
        <v>39.6</v>
      </c>
      <c r="J74" s="5">
        <v>88.34173958333334</v>
      </c>
      <c r="K74" s="23">
        <v>1.04</v>
      </c>
      <c r="L74" s="7">
        <f t="shared" si="16"/>
        <v>392.5245906</v>
      </c>
      <c r="M74" s="7">
        <f t="shared" si="16"/>
        <v>1029.4022376</v>
      </c>
      <c r="N74" s="7">
        <f t="shared" si="16"/>
        <v>2296.4440505191874</v>
      </c>
      <c r="O74" s="7">
        <f t="shared" si="16"/>
        <v>27.03480624</v>
      </c>
      <c r="P74" s="7">
        <f t="shared" si="17"/>
        <v>2735.49387145968</v>
      </c>
      <c r="Q74" s="7">
        <f t="shared" si="17"/>
        <v>7300.71664082208</v>
      </c>
      <c r="R74" s="7">
        <f t="shared" si="17"/>
        <v>15599.59846569043</v>
      </c>
      <c r="S74" s="7">
        <f t="shared" si="17"/>
        <v>182.774936290464</v>
      </c>
    </row>
    <row r="75" spans="1:19" ht="12.75">
      <c r="A75">
        <v>4</v>
      </c>
      <c r="B75" s="6" t="s">
        <v>257</v>
      </c>
      <c r="C75" s="85">
        <v>38029</v>
      </c>
      <c r="D75" s="10">
        <v>0.6527777777777778</v>
      </c>
      <c r="E75" s="5">
        <f t="shared" si="14"/>
        <v>9540</v>
      </c>
      <c r="F75" s="86">
        <v>669</v>
      </c>
      <c r="G75" s="7">
        <f t="shared" si="15"/>
        <v>18.944073</v>
      </c>
      <c r="H75" s="5">
        <v>17.7</v>
      </c>
      <c r="I75" s="116">
        <v>48.2</v>
      </c>
      <c r="J75" s="5">
        <v>97.87502083333335</v>
      </c>
      <c r="K75" s="23">
        <v>1.14</v>
      </c>
      <c r="L75" s="7">
        <f t="shared" si="16"/>
        <v>335.31009209999996</v>
      </c>
      <c r="M75" s="7">
        <f t="shared" si="16"/>
        <v>913.1043186</v>
      </c>
      <c r="N75" s="7">
        <f t="shared" si="16"/>
        <v>1854.1515395431877</v>
      </c>
      <c r="O75" s="7">
        <f t="shared" si="16"/>
        <v>21.596243219999998</v>
      </c>
      <c r="P75" s="7">
        <f t="shared" si="17"/>
        <v>765.2715689879998</v>
      </c>
      <c r="Q75" s="7">
        <f t="shared" si="17"/>
        <v>2002.3433221679998</v>
      </c>
      <c r="R75" s="7">
        <f t="shared" si="17"/>
        <v>4284.155834441281</v>
      </c>
      <c r="S75" s="7">
        <f t="shared" si="17"/>
        <v>50.279234781599996</v>
      </c>
    </row>
    <row r="76" spans="1:19" ht="12.75">
      <c r="A76">
        <v>5</v>
      </c>
      <c r="B76" s="6" t="s">
        <v>258</v>
      </c>
      <c r="C76" s="85">
        <v>38054</v>
      </c>
      <c r="D76" s="10">
        <v>0.5944444444444444</v>
      </c>
      <c r="E76" s="5">
        <f t="shared" si="14"/>
        <v>9565</v>
      </c>
      <c r="F76" s="86">
        <v>780</v>
      </c>
      <c r="G76" s="7">
        <f t="shared" si="15"/>
        <v>22.087259999999997</v>
      </c>
      <c r="H76" s="5">
        <v>16.9</v>
      </c>
      <c r="I76" s="116">
        <v>42.6</v>
      </c>
      <c r="J76" s="5">
        <v>95.65058854166668</v>
      </c>
      <c r="K76" s="23">
        <v>1.13</v>
      </c>
      <c r="L76" s="7">
        <f t="shared" si="16"/>
        <v>373.2746939999999</v>
      </c>
      <c r="M76" s="7">
        <f t="shared" si="16"/>
        <v>940.9172759999999</v>
      </c>
      <c r="N76" s="7">
        <f t="shared" si="16"/>
        <v>2112.6594182728127</v>
      </c>
      <c r="O76" s="7">
        <f t="shared" si="16"/>
        <v>24.958603799999995</v>
      </c>
      <c r="P76" s="7">
        <f t="shared" si="17"/>
        <v>460.5453863942399</v>
      </c>
      <c r="Q76" s="7">
        <f t="shared" si="17"/>
        <v>1220.3646099119999</v>
      </c>
      <c r="R76" s="7">
        <f t="shared" si="17"/>
        <v>2723.9492197498043</v>
      </c>
      <c r="S76" s="7">
        <f t="shared" si="17"/>
        <v>31.498020324287996</v>
      </c>
    </row>
    <row r="77" spans="1:19" ht="12.75">
      <c r="A77">
        <v>6</v>
      </c>
      <c r="B77" s="6" t="s">
        <v>259</v>
      </c>
      <c r="C77" s="85">
        <v>38068</v>
      </c>
      <c r="D77" s="10">
        <v>0.4604166666666667</v>
      </c>
      <c r="E77" s="5">
        <f t="shared" si="14"/>
        <v>9579</v>
      </c>
      <c r="F77" s="86">
        <v>939</v>
      </c>
      <c r="G77" s="7">
        <f t="shared" si="15"/>
        <v>26.589662999999998</v>
      </c>
      <c r="H77" s="5">
        <v>14.6</v>
      </c>
      <c r="I77" s="116">
        <v>40.5</v>
      </c>
      <c r="J77" s="5">
        <v>89.93061979166667</v>
      </c>
      <c r="K77" s="23">
        <v>1.02</v>
      </c>
      <c r="L77" s="7">
        <f t="shared" si="16"/>
        <v>388.2090798</v>
      </c>
      <c r="M77" s="7">
        <f t="shared" si="16"/>
        <v>1076.8813515</v>
      </c>
      <c r="N77" s="7">
        <f t="shared" si="16"/>
        <v>2391.2248736415468</v>
      </c>
      <c r="O77" s="7">
        <f t="shared" si="16"/>
        <v>27.12145626</v>
      </c>
      <c r="P77" s="7">
        <f t="shared" si="17"/>
        <v>819.7486608326398</v>
      </c>
      <c r="Q77" s="7">
        <f t="shared" si="17"/>
        <v>2322.1565169263995</v>
      </c>
      <c r="R77" s="7">
        <f t="shared" si="17"/>
        <v>6558.26869157475</v>
      </c>
      <c r="S77" s="7">
        <f t="shared" si="17"/>
        <v>61.365291349824</v>
      </c>
    </row>
    <row r="78" spans="1:19" ht="12.75">
      <c r="A78">
        <v>7</v>
      </c>
      <c r="B78" s="6" t="s">
        <v>260</v>
      </c>
      <c r="C78" s="85">
        <v>38090</v>
      </c>
      <c r="D78" s="10">
        <v>0.5791666666666667</v>
      </c>
      <c r="E78" s="5">
        <f t="shared" si="14"/>
        <v>9601</v>
      </c>
      <c r="F78" s="86">
        <v>2320</v>
      </c>
      <c r="G78" s="7">
        <f t="shared" si="15"/>
        <v>65.69543999999999</v>
      </c>
      <c r="H78" s="5">
        <v>7.22</v>
      </c>
      <c r="I78" s="116">
        <v>20.8</v>
      </c>
      <c r="J78" s="5">
        <v>68.63962500000001</v>
      </c>
      <c r="K78" s="23">
        <v>0.57</v>
      </c>
      <c r="L78" s="7">
        <f t="shared" si="16"/>
        <v>474.3210767999999</v>
      </c>
      <c r="M78" s="7">
        <f t="shared" si="16"/>
        <v>1366.4651519999998</v>
      </c>
      <c r="N78" s="7">
        <f t="shared" si="16"/>
        <v>4509.31036581</v>
      </c>
      <c r="O78" s="7">
        <f t="shared" si="16"/>
        <v>37.44640079999999</v>
      </c>
      <c r="P78" s="7">
        <f t="shared" si="17"/>
        <v>343.82891041919993</v>
      </c>
      <c r="Q78" s="7">
        <f t="shared" si="17"/>
        <v>1058.4677125439998</v>
      </c>
      <c r="R78" s="7">
        <f t="shared" si="17"/>
        <v>3456.46414212381</v>
      </c>
      <c r="S78" s="7">
        <f t="shared" si="17"/>
        <v>28.806136531199996</v>
      </c>
    </row>
    <row r="79" spans="1:19" ht="12.75">
      <c r="A79">
        <v>8</v>
      </c>
      <c r="B79" s="6" t="s">
        <v>261</v>
      </c>
      <c r="C79" s="85">
        <v>38100</v>
      </c>
      <c r="D79" s="10">
        <v>0.3368055555555556</v>
      </c>
      <c r="E79" s="5">
        <f t="shared" si="14"/>
        <v>9611</v>
      </c>
      <c r="F79" s="86">
        <v>1780</v>
      </c>
      <c r="G79" s="7">
        <f t="shared" si="15"/>
        <v>50.40426</v>
      </c>
      <c r="H79" s="5">
        <v>6.38</v>
      </c>
      <c r="I79" s="116">
        <v>21.5</v>
      </c>
      <c r="J79" s="5">
        <v>69.27517708333333</v>
      </c>
      <c r="K79" s="23">
        <v>0.58</v>
      </c>
      <c r="L79" s="7">
        <f t="shared" si="16"/>
        <v>321.5791788</v>
      </c>
      <c r="M79" s="7">
        <f t="shared" si="16"/>
        <v>1083.69159</v>
      </c>
      <c r="N79" s="7">
        <f t="shared" si="16"/>
        <v>3491.764037254375</v>
      </c>
      <c r="O79" s="7">
        <f t="shared" si="16"/>
        <v>29.234470799999997</v>
      </c>
      <c r="P79" s="7">
        <f t="shared" si="17"/>
        <v>98.12937387312002</v>
      </c>
      <c r="Q79" s="7">
        <f t="shared" si="17"/>
        <v>298.19268953280005</v>
      </c>
      <c r="R79" s="7">
        <f t="shared" si="17"/>
        <v>972.378357675615</v>
      </c>
      <c r="S79" s="7">
        <f t="shared" si="17"/>
        <v>8.243658632159999</v>
      </c>
    </row>
    <row r="80" spans="1:19" ht="12.75">
      <c r="A80">
        <v>9</v>
      </c>
      <c r="B80" s="6" t="s">
        <v>262</v>
      </c>
      <c r="C80" s="85">
        <v>38103</v>
      </c>
      <c r="D80" s="10">
        <v>0.5597222222222222</v>
      </c>
      <c r="E80" s="5">
        <f t="shared" si="14"/>
        <v>9614</v>
      </c>
      <c r="F80" s="86">
        <v>1990</v>
      </c>
      <c r="G80" s="7">
        <f t="shared" si="15"/>
        <v>56.350829999999995</v>
      </c>
      <c r="H80" s="5">
        <v>7.73</v>
      </c>
      <c r="I80" s="116">
        <v>21.6</v>
      </c>
      <c r="J80" s="5">
        <v>71.18183333333333</v>
      </c>
      <c r="K80" s="23">
        <v>0.61</v>
      </c>
      <c r="L80" s="7">
        <f t="shared" si="16"/>
        <v>435.5919159</v>
      </c>
      <c r="M80" s="7">
        <f t="shared" si="16"/>
        <v>1217.177928</v>
      </c>
      <c r="N80" s="7">
        <f t="shared" si="16"/>
        <v>4011.1553892549996</v>
      </c>
      <c r="O80" s="7">
        <f t="shared" si="16"/>
        <v>34.3740063</v>
      </c>
      <c r="P80" s="7">
        <f t="shared" si="17"/>
        <v>208.49746960066634</v>
      </c>
      <c r="Q80" s="7">
        <f t="shared" si="17"/>
        <v>580.5070280391398</v>
      </c>
      <c r="R80" s="7">
        <f t="shared" si="17"/>
        <v>1855.5431645540343</v>
      </c>
      <c r="S80" s="7">
        <f t="shared" si="17"/>
        <v>17.092760357274685</v>
      </c>
    </row>
    <row r="81" spans="1:19" ht="12.75">
      <c r="A81">
        <v>10</v>
      </c>
      <c r="B81" s="6"/>
      <c r="C81" s="85">
        <v>38108</v>
      </c>
      <c r="D81" s="10"/>
      <c r="E81" s="5">
        <f t="shared" si="14"/>
        <v>9619</v>
      </c>
      <c r="F81">
        <v>2660</v>
      </c>
      <c r="G81" s="7">
        <f t="shared" si="15"/>
        <v>75.32321999999999</v>
      </c>
      <c r="H81" s="5">
        <f>145.67*G81^-0.7013</f>
        <v>7.032016781359692</v>
      </c>
      <c r="I81" s="116">
        <f>284.57*G81^-0.62</f>
        <v>19.5206021359448</v>
      </c>
      <c r="J81" s="5">
        <f>253.19*G81^-0.3301</f>
        <v>60.7956248341625</v>
      </c>
      <c r="K81" s="23">
        <f>6.0646*G81^-0.5375</f>
        <v>0.5942276963491154</v>
      </c>
      <c r="L81" s="7">
        <f t="shared" si="16"/>
        <v>529.6741470660479</v>
      </c>
      <c r="M81" s="7">
        <f t="shared" si="16"/>
        <v>1470.3546092182398</v>
      </c>
      <c r="N81" s="7">
        <f t="shared" si="16"/>
        <v>4579.322224421086</v>
      </c>
      <c r="O81" s="7">
        <f t="shared" si="16"/>
        <v>44.75914350219762</v>
      </c>
      <c r="P81" s="7">
        <f t="shared" si="17"/>
        <v>125.1054545384798</v>
      </c>
      <c r="Q81" s="7">
        <f t="shared" si="17"/>
        <v>374.19450882284383</v>
      </c>
      <c r="R81" s="7">
        <f t="shared" si="17"/>
        <v>1475.4546197991415</v>
      </c>
      <c r="S81" s="7">
        <f t="shared" si="17"/>
        <v>11.123583591164811</v>
      </c>
    </row>
    <row r="82" spans="1:19" ht="12.75">
      <c r="A82">
        <v>11</v>
      </c>
      <c r="B82" s="6" t="s">
        <v>263</v>
      </c>
      <c r="C82" s="85">
        <v>38111</v>
      </c>
      <c r="D82" s="10">
        <v>0.4826388888888889</v>
      </c>
      <c r="E82" s="5">
        <f t="shared" si="14"/>
        <v>9622</v>
      </c>
      <c r="F82" s="86">
        <v>5180</v>
      </c>
      <c r="G82" s="7">
        <f t="shared" si="15"/>
        <v>146.68205999999998</v>
      </c>
      <c r="H82" s="5">
        <v>2.97</v>
      </c>
      <c r="I82" s="116">
        <v>9.66</v>
      </c>
      <c r="J82" s="5">
        <v>46.39530208333333</v>
      </c>
      <c r="K82" s="23">
        <v>0.28</v>
      </c>
      <c r="L82" s="7">
        <f t="shared" si="16"/>
        <v>435.6457182</v>
      </c>
      <c r="M82" s="7">
        <f t="shared" si="16"/>
        <v>1416.9486995999998</v>
      </c>
      <c r="N82" s="7">
        <f t="shared" si="16"/>
        <v>6805.358483905623</v>
      </c>
      <c r="O82" s="7">
        <f t="shared" si="16"/>
        <v>41.0709768</v>
      </c>
      <c r="P82" s="7">
        <f t="shared" si="17"/>
        <v>286.76834313119997</v>
      </c>
      <c r="Q82" s="7">
        <f t="shared" si="17"/>
        <v>881.4780535276799</v>
      </c>
      <c r="R82" s="7">
        <f t="shared" si="17"/>
        <v>4853.0908584917015</v>
      </c>
      <c r="S82" s="7">
        <f t="shared" si="17"/>
        <v>27.8128214784</v>
      </c>
    </row>
    <row r="83" spans="1:19" ht="12.75">
      <c r="A83">
        <v>12</v>
      </c>
      <c r="B83" s="6" t="s">
        <v>264</v>
      </c>
      <c r="C83" s="85">
        <v>38118</v>
      </c>
      <c r="D83" s="10">
        <v>0.3541666666666667</v>
      </c>
      <c r="E83" s="5">
        <f t="shared" si="14"/>
        <v>9629</v>
      </c>
      <c r="F83" s="86">
        <v>6420</v>
      </c>
      <c r="G83" s="7">
        <f t="shared" si="15"/>
        <v>181.79514</v>
      </c>
      <c r="H83" s="5">
        <v>2.82</v>
      </c>
      <c r="I83" s="116">
        <v>8.24</v>
      </c>
      <c r="J83" s="5">
        <v>50.844166666666666</v>
      </c>
      <c r="K83" s="23">
        <v>0.28</v>
      </c>
      <c r="L83" s="7">
        <f t="shared" si="16"/>
        <v>512.6622947999999</v>
      </c>
      <c r="M83" s="7">
        <f t="shared" si="16"/>
        <v>1497.9919536</v>
      </c>
      <c r="N83" s="7">
        <f t="shared" si="16"/>
        <v>9243.22239735</v>
      </c>
      <c r="O83" s="7">
        <f t="shared" si="16"/>
        <v>50.9026392</v>
      </c>
      <c r="P83" s="7">
        <f t="shared" si="17"/>
        <v>318.95860129055995</v>
      </c>
      <c r="Q83" s="7">
        <f t="shared" si="17"/>
        <v>919.9022199494399</v>
      </c>
      <c r="R83" s="7">
        <f t="shared" si="17"/>
        <v>4582.120178871743</v>
      </c>
      <c r="S83" s="7">
        <f t="shared" si="17"/>
        <v>30.388590167039997</v>
      </c>
    </row>
    <row r="84" spans="1:19" ht="12.75">
      <c r="A84">
        <v>13</v>
      </c>
      <c r="B84" s="6" t="s">
        <v>265</v>
      </c>
      <c r="C84" s="88">
        <v>38125</v>
      </c>
      <c r="D84" s="10">
        <v>0.375</v>
      </c>
      <c r="E84" s="5">
        <f t="shared" si="14"/>
        <v>9636</v>
      </c>
      <c r="F84" s="86">
        <v>3980</v>
      </c>
      <c r="G84" s="7">
        <f t="shared" si="15"/>
        <v>112.70165999999999</v>
      </c>
      <c r="H84" s="5">
        <v>4.81</v>
      </c>
      <c r="I84" s="116">
        <v>13.7</v>
      </c>
      <c r="J84" s="5">
        <v>52.433046875</v>
      </c>
      <c r="K84" s="23">
        <v>0.44</v>
      </c>
      <c r="L84" s="7">
        <f t="shared" si="16"/>
        <v>542.0949845999999</v>
      </c>
      <c r="M84" s="7">
        <f t="shared" si="16"/>
        <v>1544.012742</v>
      </c>
      <c r="N84" s="7">
        <f t="shared" si="16"/>
        <v>5909.291421670312</v>
      </c>
      <c r="O84" s="7">
        <f t="shared" si="16"/>
        <v>49.588730399999996</v>
      </c>
      <c r="P84" s="7">
        <f t="shared" si="17"/>
        <v>291.03935319935994</v>
      </c>
      <c r="Q84" s="7">
        <f t="shared" si="17"/>
        <v>841.6069744895998</v>
      </c>
      <c r="R84" s="7">
        <f t="shared" si="17"/>
        <v>3353.9473033590325</v>
      </c>
      <c r="S84" s="7">
        <f t="shared" si="17"/>
        <v>27.189430652159995</v>
      </c>
    </row>
    <row r="85" spans="1:19" ht="12.75">
      <c r="A85">
        <v>14</v>
      </c>
      <c r="B85" s="6" t="s">
        <v>266</v>
      </c>
      <c r="C85" s="88">
        <v>38131</v>
      </c>
      <c r="D85" s="10">
        <v>0.5069444444444444</v>
      </c>
      <c r="E85" s="5">
        <f t="shared" si="14"/>
        <v>9642</v>
      </c>
      <c r="F85" s="86">
        <v>5140</v>
      </c>
      <c r="G85" s="7">
        <f t="shared" si="15"/>
        <v>145.54937999999999</v>
      </c>
      <c r="H85" s="5">
        <v>3.99</v>
      </c>
      <c r="I85" s="116">
        <v>11.7</v>
      </c>
      <c r="J85" s="5">
        <v>48.30195833333334</v>
      </c>
      <c r="K85" s="23">
        <v>0.38</v>
      </c>
      <c r="L85" s="7">
        <f t="shared" si="16"/>
        <v>580.7420261999999</v>
      </c>
      <c r="M85" s="7">
        <f t="shared" si="16"/>
        <v>1702.9277459999996</v>
      </c>
      <c r="N85" s="7">
        <f t="shared" si="16"/>
        <v>7030.3200882025</v>
      </c>
      <c r="O85" s="7">
        <f t="shared" si="16"/>
        <v>55.308764399999994</v>
      </c>
      <c r="P85" s="7">
        <f t="shared" si="17"/>
        <v>403.3876895308799</v>
      </c>
      <c r="Q85" s="7">
        <f t="shared" si="17"/>
        <v>1131.0677885951998</v>
      </c>
      <c r="R85" s="7">
        <f t="shared" si="17"/>
        <v>4999.4879519196365</v>
      </c>
      <c r="S85" s="7">
        <f t="shared" si="17"/>
        <v>39.07593767808</v>
      </c>
    </row>
    <row r="86" spans="1:19" ht="12.75">
      <c r="A86">
        <v>15</v>
      </c>
      <c r="B86" s="6" t="s">
        <v>267</v>
      </c>
      <c r="C86" s="88">
        <v>38139</v>
      </c>
      <c r="D86" s="10">
        <v>0.6805555555555555</v>
      </c>
      <c r="E86" s="5">
        <f t="shared" si="14"/>
        <v>9650</v>
      </c>
      <c r="F86" s="86">
        <v>5230</v>
      </c>
      <c r="G86" s="7">
        <f t="shared" si="15"/>
        <v>148.09790999999998</v>
      </c>
      <c r="H86" s="5">
        <v>3.96</v>
      </c>
      <c r="I86" s="116">
        <v>10.6</v>
      </c>
      <c r="J86" s="5">
        <v>50.208614583333336</v>
      </c>
      <c r="K86" s="23">
        <v>0.39</v>
      </c>
      <c r="L86" s="7">
        <f t="shared" si="16"/>
        <v>586.4677235999999</v>
      </c>
      <c r="M86" s="7">
        <f t="shared" si="16"/>
        <v>1569.8378459999997</v>
      </c>
      <c r="N86" s="7">
        <f t="shared" si="16"/>
        <v>7435.790883787187</v>
      </c>
      <c r="O86" s="7">
        <f t="shared" si="16"/>
        <v>57.758184899999996</v>
      </c>
      <c r="P86" s="7">
        <f t="shared" si="17"/>
        <v>313.61941055231995</v>
      </c>
      <c r="Q86" s="7">
        <f t="shared" si="17"/>
        <v>849.4678643039998</v>
      </c>
      <c r="R86" s="7">
        <f t="shared" si="17"/>
        <v>4612.884560108829</v>
      </c>
      <c r="S86" s="7">
        <f t="shared" si="17"/>
        <v>31.279882466879997</v>
      </c>
    </row>
    <row r="87" spans="1:19" ht="12.75">
      <c r="A87">
        <v>16</v>
      </c>
      <c r="B87" s="6" t="s">
        <v>268</v>
      </c>
      <c r="C87" s="88">
        <v>38145</v>
      </c>
      <c r="D87" s="10">
        <v>0.6027777777777777</v>
      </c>
      <c r="E87" s="5">
        <f t="shared" si="14"/>
        <v>9656</v>
      </c>
      <c r="F87" s="86">
        <v>10100</v>
      </c>
      <c r="G87" s="7">
        <f t="shared" si="15"/>
        <v>286.00169999999997</v>
      </c>
      <c r="H87" s="5">
        <v>2.18</v>
      </c>
      <c r="I87" s="116">
        <v>5.97</v>
      </c>
      <c r="J87" s="5">
        <v>36.22646875</v>
      </c>
      <c r="K87" s="23">
        <v>0.22</v>
      </c>
      <c r="L87" s="7">
        <f t="shared" si="16"/>
        <v>623.483706</v>
      </c>
      <c r="M87" s="7">
        <f t="shared" si="16"/>
        <v>1707.4301489999998</v>
      </c>
      <c r="N87" s="7">
        <f t="shared" si="16"/>
        <v>10360.831647496874</v>
      </c>
      <c r="O87" s="7">
        <f t="shared" si="16"/>
        <v>62.920373999999995</v>
      </c>
      <c r="P87" s="7">
        <f t="shared" si="17"/>
        <v>402.51866118912</v>
      </c>
      <c r="Q87" s="7">
        <f t="shared" si="17"/>
        <v>1054.6419816374398</v>
      </c>
      <c r="R87" s="7">
        <f t="shared" si="17"/>
        <v>5938.7151037335025</v>
      </c>
      <c r="S87" s="7">
        <f t="shared" si="17"/>
        <v>40.486151462399995</v>
      </c>
    </row>
    <row r="88" spans="1:19" ht="12.75">
      <c r="A88">
        <v>17</v>
      </c>
      <c r="B88" s="6" t="s">
        <v>269</v>
      </c>
      <c r="C88" s="88">
        <v>38152</v>
      </c>
      <c r="D88" s="10">
        <v>0.7083333333333334</v>
      </c>
      <c r="E88" s="5">
        <f t="shared" si="14"/>
        <v>9663</v>
      </c>
      <c r="F88" s="86">
        <v>7160</v>
      </c>
      <c r="G88" s="7">
        <f t="shared" si="15"/>
        <v>202.74972</v>
      </c>
      <c r="H88" s="5">
        <v>3.49</v>
      </c>
      <c r="I88" s="116">
        <v>8.78</v>
      </c>
      <c r="J88" s="5">
        <v>45.75975</v>
      </c>
      <c r="K88" s="23">
        <v>0.35</v>
      </c>
      <c r="L88" s="7">
        <f t="shared" si="16"/>
        <v>707.5965228</v>
      </c>
      <c r="M88" s="7">
        <f t="shared" si="16"/>
        <v>1780.1425415999997</v>
      </c>
      <c r="N88" s="7">
        <f t="shared" si="16"/>
        <v>9277.77649977</v>
      </c>
      <c r="O88" s="7">
        <f t="shared" si="16"/>
        <v>70.962402</v>
      </c>
      <c r="P88" s="7">
        <f t="shared" si="17"/>
        <v>410.17318123824</v>
      </c>
      <c r="Q88" s="7">
        <f t="shared" si="17"/>
        <v>1042.53381366624</v>
      </c>
      <c r="R88" s="7">
        <f t="shared" si="17"/>
        <v>5185.232665625786</v>
      </c>
      <c r="S88" s="7">
        <f t="shared" si="17"/>
        <v>40.42963526112</v>
      </c>
    </row>
    <row r="89" spans="1:19" ht="12.75">
      <c r="A89">
        <v>18</v>
      </c>
      <c r="B89" s="6" t="s">
        <v>270</v>
      </c>
      <c r="C89" s="88">
        <v>38159</v>
      </c>
      <c r="D89" s="10">
        <v>0.83125</v>
      </c>
      <c r="E89" s="5">
        <f t="shared" si="14"/>
        <v>9670</v>
      </c>
      <c r="F89" s="86">
        <v>5830</v>
      </c>
      <c r="G89" s="7">
        <f t="shared" si="15"/>
        <v>165.08811</v>
      </c>
      <c r="H89" s="5">
        <v>3.93</v>
      </c>
      <c r="I89" s="116">
        <v>10.1</v>
      </c>
      <c r="J89" s="5">
        <v>47.66640625</v>
      </c>
      <c r="K89" s="23">
        <v>0.38</v>
      </c>
      <c r="L89" s="7">
        <f t="shared" si="16"/>
        <v>648.7962723</v>
      </c>
      <c r="M89" s="7">
        <f t="shared" si="16"/>
        <v>1667.389911</v>
      </c>
      <c r="N89" s="7">
        <f t="shared" si="16"/>
        <v>7869.156918304688</v>
      </c>
      <c r="O89" s="7">
        <f t="shared" si="16"/>
        <v>62.7334818</v>
      </c>
      <c r="P89" s="7">
        <f t="shared" si="17"/>
        <v>411.15964584240004</v>
      </c>
      <c r="Q89" s="7">
        <f t="shared" si="17"/>
        <v>1063.7890431839999</v>
      </c>
      <c r="R89" s="7">
        <f t="shared" si="17"/>
        <v>4774.014658956092</v>
      </c>
      <c r="S89" s="7">
        <f t="shared" si="17"/>
        <v>39.469716145439996</v>
      </c>
    </row>
    <row r="90" spans="1:19" ht="12.75">
      <c r="A90">
        <v>19</v>
      </c>
      <c r="B90" s="6" t="s">
        <v>271</v>
      </c>
      <c r="C90" s="88">
        <v>38166</v>
      </c>
      <c r="D90" s="10">
        <v>0.4861111111111111</v>
      </c>
      <c r="E90" s="5">
        <f t="shared" si="14"/>
        <v>9677</v>
      </c>
      <c r="F90" s="86">
        <v>6470</v>
      </c>
      <c r="G90" s="7">
        <f t="shared" si="15"/>
        <v>183.21098999999998</v>
      </c>
      <c r="H90" s="5">
        <v>3.88</v>
      </c>
      <c r="I90" s="116">
        <v>10.1</v>
      </c>
      <c r="J90" s="5">
        <v>43.21754166666667</v>
      </c>
      <c r="K90" s="23">
        <v>0.37</v>
      </c>
      <c r="L90" s="7">
        <f t="shared" si="16"/>
        <v>710.8586411999999</v>
      </c>
      <c r="M90" s="7">
        <f t="shared" si="16"/>
        <v>1850.4309989999997</v>
      </c>
      <c r="N90" s="7">
        <f t="shared" si="16"/>
        <v>7917.92859411625</v>
      </c>
      <c r="O90" s="7">
        <f t="shared" si="16"/>
        <v>67.7880663</v>
      </c>
      <c r="P90" s="7">
        <f t="shared" si="17"/>
        <v>121.31747318114508</v>
      </c>
      <c r="Q90" s="7">
        <f t="shared" si="17"/>
        <v>338.7946067614188</v>
      </c>
      <c r="R90" s="7">
        <f t="shared" si="17"/>
        <v>1407.689414456606</v>
      </c>
      <c r="S90" s="7">
        <f t="shared" si="17"/>
        <v>11.72366286821759</v>
      </c>
    </row>
    <row r="91" spans="1:19" ht="12.75">
      <c r="A91">
        <v>20</v>
      </c>
      <c r="B91" s="6"/>
      <c r="C91" s="88">
        <v>38168</v>
      </c>
      <c r="D91" s="10"/>
      <c r="E91" s="5">
        <f t="shared" si="14"/>
        <v>9679</v>
      </c>
      <c r="F91">
        <v>6550</v>
      </c>
      <c r="G91" s="7">
        <f t="shared" si="15"/>
        <v>185.47635</v>
      </c>
      <c r="H91" s="5">
        <f>145.67*G91^-0.7013</f>
        <v>3.737828461030574</v>
      </c>
      <c r="I91" s="116">
        <f>284.57*G91^-0.62</f>
        <v>11.16478125407071</v>
      </c>
      <c r="J91" s="5">
        <f>253.19*G91^-0.3301</f>
        <v>45.15278072969664</v>
      </c>
      <c r="K91" s="23">
        <f>6.0646*G91^-0.5375</f>
        <v>0.3660977593974762</v>
      </c>
      <c r="L91" s="7">
        <f t="shared" si="16"/>
        <v>693.2787798780681</v>
      </c>
      <c r="M91" s="7">
        <f t="shared" si="16"/>
        <v>2070.802875553458</v>
      </c>
      <c r="N91" s="7">
        <f t="shared" si="16"/>
        <v>8374.772962094468</v>
      </c>
      <c r="O91" s="7">
        <f t="shared" si="16"/>
        <v>67.90247615622208</v>
      </c>
      <c r="P91" s="7">
        <f t="shared" si="17"/>
        <v>358.84981394215527</v>
      </c>
      <c r="Q91" s="7">
        <f t="shared" si="17"/>
        <v>985.6522183674563</v>
      </c>
      <c r="R91" s="7">
        <f t="shared" si="17"/>
        <v>4090.028038232334</v>
      </c>
      <c r="S91" s="7">
        <f t="shared" si="17"/>
        <v>35.148235328812774</v>
      </c>
    </row>
    <row r="92" spans="1:19" ht="12.75">
      <c r="A92">
        <v>21</v>
      </c>
      <c r="B92" s="6" t="s">
        <v>272</v>
      </c>
      <c r="C92" s="88">
        <v>38174</v>
      </c>
      <c r="D92" s="10">
        <v>0.3958333333333333</v>
      </c>
      <c r="E92" s="5">
        <f t="shared" si="14"/>
        <v>9685</v>
      </c>
      <c r="F92" s="86">
        <v>5560</v>
      </c>
      <c r="G92" s="7">
        <f t="shared" si="15"/>
        <v>157.44252</v>
      </c>
      <c r="H92" s="5">
        <v>4.39</v>
      </c>
      <c r="I92" s="116">
        <v>11</v>
      </c>
      <c r="J92" s="5">
        <v>47.03085416666667</v>
      </c>
      <c r="K92" s="23">
        <v>0.43</v>
      </c>
      <c r="L92" s="7">
        <f t="shared" si="16"/>
        <v>691.1726628</v>
      </c>
      <c r="M92" s="7">
        <f t="shared" si="16"/>
        <v>1731.86772</v>
      </c>
      <c r="N92" s="7">
        <f t="shared" si="16"/>
        <v>7404.656197752501</v>
      </c>
      <c r="O92" s="7">
        <f t="shared" si="16"/>
        <v>67.7002836</v>
      </c>
      <c r="P92" s="7">
        <f t="shared" si="17"/>
        <v>58.50087411455999</v>
      </c>
      <c r="Q92" s="7">
        <f t="shared" si="17"/>
        <v>146.42222320799996</v>
      </c>
      <c r="R92" s="7">
        <f t="shared" si="17"/>
        <v>616.6792912166956</v>
      </c>
      <c r="S92" s="7">
        <f t="shared" si="17"/>
        <v>5.66434238976</v>
      </c>
    </row>
    <row r="93" spans="1:19" ht="12.75">
      <c r="A93">
        <v>22</v>
      </c>
      <c r="B93" s="6" t="s">
        <v>273</v>
      </c>
      <c r="C93" s="88">
        <v>38175</v>
      </c>
      <c r="D93" s="10">
        <v>0.8229166666666666</v>
      </c>
      <c r="E93" s="5">
        <f t="shared" si="14"/>
        <v>9686</v>
      </c>
      <c r="F93" s="86">
        <v>5090</v>
      </c>
      <c r="G93" s="7">
        <f t="shared" si="15"/>
        <v>144.13352999999998</v>
      </c>
      <c r="H93" s="5">
        <v>4.6</v>
      </c>
      <c r="I93" s="116">
        <v>11.5</v>
      </c>
      <c r="J93" s="5">
        <v>47.66640625</v>
      </c>
      <c r="K93" s="23">
        <v>0.44</v>
      </c>
      <c r="L93" s="7">
        <f t="shared" si="16"/>
        <v>663.0142379999999</v>
      </c>
      <c r="M93" s="7">
        <f t="shared" si="16"/>
        <v>1657.5355949999998</v>
      </c>
      <c r="N93" s="7">
        <f t="shared" si="16"/>
        <v>6870.327395226562</v>
      </c>
      <c r="O93" s="7">
        <f t="shared" si="16"/>
        <v>63.41875319999999</v>
      </c>
      <c r="P93" s="7">
        <f t="shared" si="17"/>
        <v>286.0576090848</v>
      </c>
      <c r="Q93" s="7">
        <f t="shared" si="17"/>
        <v>694.7761709519999</v>
      </c>
      <c r="R93" s="7">
        <f t="shared" si="17"/>
        <v>2925.1818596279027</v>
      </c>
      <c r="S93" s="7">
        <f t="shared" si="17"/>
        <v>27.2770185312</v>
      </c>
    </row>
    <row r="94" spans="1:19" ht="12.75">
      <c r="A94">
        <v>23</v>
      </c>
      <c r="B94" s="6" t="s">
        <v>274</v>
      </c>
      <c r="C94" s="88">
        <v>38180</v>
      </c>
      <c r="D94" s="10">
        <v>0.3576388888888889</v>
      </c>
      <c r="E94" s="5">
        <f t="shared" si="14"/>
        <v>9691</v>
      </c>
      <c r="F94" s="86">
        <v>4440</v>
      </c>
      <c r="G94" s="7">
        <f t="shared" si="15"/>
        <v>125.72748</v>
      </c>
      <c r="H94" s="5">
        <v>5.26</v>
      </c>
      <c r="I94" s="116">
        <v>12.4</v>
      </c>
      <c r="J94" s="5">
        <v>53.06859895833333</v>
      </c>
      <c r="K94" s="23">
        <v>0.5</v>
      </c>
      <c r="L94" s="7">
        <f t="shared" si="16"/>
        <v>661.3265448</v>
      </c>
      <c r="M94" s="7">
        <f t="shared" si="16"/>
        <v>1559.0207520000001</v>
      </c>
      <c r="N94" s="7">
        <f t="shared" si="16"/>
        <v>6672.181214161875</v>
      </c>
      <c r="O94" s="7">
        <f t="shared" si="16"/>
        <v>62.86374</v>
      </c>
      <c r="P94" s="7">
        <f t="shared" si="17"/>
        <v>426.04995226752</v>
      </c>
      <c r="Q94" s="7">
        <f t="shared" si="17"/>
        <v>1036.6098882048</v>
      </c>
      <c r="R94" s="7">
        <f t="shared" si="17"/>
        <v>3657.968118091161</v>
      </c>
      <c r="S94" s="7">
        <f t="shared" si="17"/>
        <v>38.225503411199995</v>
      </c>
    </row>
    <row r="95" spans="1:19" ht="12.75">
      <c r="A95">
        <v>24</v>
      </c>
      <c r="B95" s="6" t="s">
        <v>275</v>
      </c>
      <c r="C95" s="88">
        <v>38187</v>
      </c>
      <c r="D95" s="10">
        <v>0.3888888888888889</v>
      </c>
      <c r="E95" s="5">
        <f t="shared" si="14"/>
        <v>9698</v>
      </c>
      <c r="F95" s="86">
        <v>4400</v>
      </c>
      <c r="G95" s="7">
        <f t="shared" si="15"/>
        <v>124.59479999999999</v>
      </c>
      <c r="H95" s="5">
        <v>6</v>
      </c>
      <c r="I95" s="116">
        <v>15</v>
      </c>
      <c r="J95" s="5">
        <v>43.53531770833333</v>
      </c>
      <c r="K95" s="23">
        <v>0.51</v>
      </c>
      <c r="L95" s="7">
        <f t="shared" si="16"/>
        <v>747.5688</v>
      </c>
      <c r="M95" s="7">
        <f t="shared" si="16"/>
        <v>1868.9219999999998</v>
      </c>
      <c r="N95" s="7">
        <f t="shared" si="16"/>
        <v>5424.274202806249</v>
      </c>
      <c r="O95" s="7">
        <f t="shared" si="16"/>
        <v>63.543347999999995</v>
      </c>
      <c r="P95" s="7">
        <f t="shared" si="17"/>
        <v>407.4646851072</v>
      </c>
      <c r="Q95" s="7">
        <f t="shared" si="17"/>
        <v>998.8211008943999</v>
      </c>
      <c r="R95" s="7">
        <f t="shared" si="17"/>
        <v>3234.532212732035</v>
      </c>
      <c r="S95" s="7">
        <f t="shared" si="17"/>
        <v>35.93830987152</v>
      </c>
    </row>
    <row r="96" spans="1:19" ht="12.75">
      <c r="A96">
        <v>25</v>
      </c>
      <c r="B96" s="6" t="s">
        <v>276</v>
      </c>
      <c r="C96" s="88">
        <v>38194</v>
      </c>
      <c r="D96" s="10">
        <v>0.41805555555555557</v>
      </c>
      <c r="E96" s="5">
        <f t="shared" si="14"/>
        <v>9705</v>
      </c>
      <c r="F96" s="86">
        <v>3310</v>
      </c>
      <c r="G96" s="7">
        <f t="shared" si="15"/>
        <v>93.72927</v>
      </c>
      <c r="H96" s="5">
        <v>6.4</v>
      </c>
      <c r="I96" s="116">
        <v>15.3</v>
      </c>
      <c r="J96" s="5">
        <v>56.246359375000004</v>
      </c>
      <c r="K96" s="23">
        <v>0.59</v>
      </c>
      <c r="L96" s="7">
        <f t="shared" si="16"/>
        <v>599.867328</v>
      </c>
      <c r="M96" s="7">
        <f t="shared" si="16"/>
        <v>1434.057831</v>
      </c>
      <c r="N96" s="7">
        <f t="shared" si="16"/>
        <v>5271.930204376406</v>
      </c>
      <c r="O96" s="7">
        <f t="shared" si="16"/>
        <v>55.3002693</v>
      </c>
      <c r="P96" s="7">
        <f t="shared" si="17"/>
        <v>353.65355473392003</v>
      </c>
      <c r="Q96" s="7">
        <f t="shared" si="17"/>
        <v>837.4159678752</v>
      </c>
      <c r="R96" s="7">
        <f t="shared" si="17"/>
        <v>3006.3377842029163</v>
      </c>
      <c r="S96" s="7">
        <f t="shared" si="17"/>
        <v>32.013002800799995</v>
      </c>
    </row>
    <row r="97" spans="1:19" ht="12.75">
      <c r="A97">
        <v>26</v>
      </c>
      <c r="B97" s="6" t="s">
        <v>277</v>
      </c>
      <c r="C97" s="88">
        <v>38201</v>
      </c>
      <c r="D97" s="10">
        <v>0.375</v>
      </c>
      <c r="E97" s="5">
        <f t="shared" si="14"/>
        <v>9712</v>
      </c>
      <c r="F97" s="86">
        <v>2790</v>
      </c>
      <c r="G97" s="7">
        <f t="shared" si="15"/>
        <v>79.00443</v>
      </c>
      <c r="H97" s="5">
        <v>7.21</v>
      </c>
      <c r="I97" s="116">
        <v>16.9</v>
      </c>
      <c r="J97" s="5">
        <v>59.106343750000015</v>
      </c>
      <c r="K97" s="23">
        <v>0.64</v>
      </c>
      <c r="L97" s="7">
        <f t="shared" si="16"/>
        <v>569.6219403</v>
      </c>
      <c r="M97" s="7">
        <f t="shared" si="16"/>
        <v>1335.174867</v>
      </c>
      <c r="N97" s="7">
        <f t="shared" si="16"/>
        <v>4669.662997352813</v>
      </c>
      <c r="O97" s="7">
        <f t="shared" si="16"/>
        <v>50.5628352</v>
      </c>
      <c r="P97" s="7">
        <f t="shared" si="17"/>
        <v>332.0909113334399</v>
      </c>
      <c r="Q97" s="7">
        <f t="shared" si="17"/>
        <v>784.4191845840002</v>
      </c>
      <c r="R97" s="7">
        <f t="shared" si="17"/>
        <v>2732.319432749513</v>
      </c>
      <c r="S97" s="7">
        <f t="shared" si="17"/>
        <v>29.206887776640002</v>
      </c>
    </row>
    <row r="98" spans="1:19" ht="12.75">
      <c r="A98">
        <v>27</v>
      </c>
      <c r="B98" s="6" t="s">
        <v>278</v>
      </c>
      <c r="C98" s="88">
        <v>38208</v>
      </c>
      <c r="D98" s="10">
        <v>0.548611111111111</v>
      </c>
      <c r="E98" s="5">
        <f t="shared" si="14"/>
        <v>9719</v>
      </c>
      <c r="F98" s="86">
        <v>2390</v>
      </c>
      <c r="G98" s="7">
        <f t="shared" si="15"/>
        <v>67.67763</v>
      </c>
      <c r="H98" s="5">
        <v>7.81</v>
      </c>
      <c r="I98" s="116">
        <v>18.6</v>
      </c>
      <c r="J98" s="5">
        <v>64.50853645833334</v>
      </c>
      <c r="K98" s="23">
        <v>0.68</v>
      </c>
      <c r="L98" s="7">
        <f t="shared" si="16"/>
        <v>528.5622903</v>
      </c>
      <c r="M98" s="7">
        <f t="shared" si="16"/>
        <v>1258.803918</v>
      </c>
      <c r="N98" s="7">
        <f t="shared" si="16"/>
        <v>4365.784862268593</v>
      </c>
      <c r="O98" s="7">
        <f t="shared" si="16"/>
        <v>46.0207884</v>
      </c>
      <c r="P98" s="7">
        <f t="shared" si="17"/>
        <v>314.64453125952</v>
      </c>
      <c r="Q98" s="7">
        <f t="shared" si="17"/>
        <v>743.9672853648</v>
      </c>
      <c r="R98" s="7">
        <f t="shared" si="17"/>
        <v>2491.7710487526833</v>
      </c>
      <c r="S98" s="7">
        <f t="shared" si="17"/>
        <v>26.98134827472</v>
      </c>
    </row>
    <row r="99" spans="1:19" ht="12.75">
      <c r="A99">
        <v>28</v>
      </c>
      <c r="B99" s="6" t="s">
        <v>279</v>
      </c>
      <c r="C99" s="88">
        <v>38215</v>
      </c>
      <c r="D99" s="10">
        <v>0.3541666666666667</v>
      </c>
      <c r="E99" s="5">
        <f t="shared" si="14"/>
        <v>9726</v>
      </c>
      <c r="F99" s="86">
        <v>2090</v>
      </c>
      <c r="G99" s="7">
        <f t="shared" si="15"/>
        <v>59.18253</v>
      </c>
      <c r="H99" s="5">
        <v>8.65</v>
      </c>
      <c r="I99" s="116">
        <v>20.3</v>
      </c>
      <c r="J99" s="5">
        <v>65.46186458333334</v>
      </c>
      <c r="K99" s="23">
        <v>0.73</v>
      </c>
      <c r="L99" s="7">
        <f t="shared" si="16"/>
        <v>511.92888450000004</v>
      </c>
      <c r="M99" s="7">
        <f t="shared" si="16"/>
        <v>1201.405359</v>
      </c>
      <c r="N99" s="7">
        <f t="shared" si="16"/>
        <v>3874.1987645590625</v>
      </c>
      <c r="O99" s="7">
        <f t="shared" si="16"/>
        <v>43.203246899999996</v>
      </c>
      <c r="P99" s="7">
        <f t="shared" si="17"/>
        <v>312.401865636</v>
      </c>
      <c r="Q99" s="7">
        <f t="shared" si="17"/>
        <v>757.2914079696001</v>
      </c>
      <c r="R99" s="7">
        <f t="shared" si="17"/>
        <v>2336.2037284687603</v>
      </c>
      <c r="S99" s="7">
        <f t="shared" si="17"/>
        <v>26.441875444319997</v>
      </c>
    </row>
    <row r="100" spans="1:19" ht="12.75">
      <c r="A100">
        <v>29</v>
      </c>
      <c r="B100" s="6" t="s">
        <v>280</v>
      </c>
      <c r="C100" s="88">
        <v>38222</v>
      </c>
      <c r="D100" s="10">
        <v>0.4375</v>
      </c>
      <c r="E100" s="5">
        <f t="shared" si="14"/>
        <v>9733</v>
      </c>
      <c r="F100" s="86">
        <v>2140</v>
      </c>
      <c r="G100" s="7">
        <f t="shared" si="15"/>
        <v>60.59838</v>
      </c>
      <c r="H100" s="5">
        <v>8.6</v>
      </c>
      <c r="I100" s="116">
        <v>21.5</v>
      </c>
      <c r="J100" s="5">
        <v>63.55520833333333</v>
      </c>
      <c r="K100" s="23">
        <v>0.73</v>
      </c>
      <c r="L100" s="7">
        <f t="shared" si="16"/>
        <v>521.146068</v>
      </c>
      <c r="M100" s="7">
        <f t="shared" si="16"/>
        <v>1302.86517</v>
      </c>
      <c r="N100" s="7">
        <f t="shared" si="16"/>
        <v>3851.3426655625</v>
      </c>
      <c r="O100" s="7">
        <f t="shared" si="16"/>
        <v>44.2368174</v>
      </c>
      <c r="P100" s="7">
        <f t="shared" si="17"/>
        <v>44.94848477472001</v>
      </c>
      <c r="Q100" s="7">
        <f t="shared" si="17"/>
        <v>118.5886057248</v>
      </c>
      <c r="R100" s="7">
        <f t="shared" si="17"/>
        <v>326.10088617850806</v>
      </c>
      <c r="S100" s="7">
        <f t="shared" si="17"/>
        <v>3.6911685225600004</v>
      </c>
    </row>
    <row r="101" spans="1:19" ht="12.75">
      <c r="A101">
        <v>30</v>
      </c>
      <c r="B101" s="6" t="s">
        <v>281</v>
      </c>
      <c r="C101" s="88">
        <v>38223</v>
      </c>
      <c r="D101" s="10">
        <v>0.8194444444444445</v>
      </c>
      <c r="E101" s="5">
        <f t="shared" si="14"/>
        <v>9734</v>
      </c>
      <c r="F101" s="86">
        <v>2140</v>
      </c>
      <c r="G101" s="7">
        <f t="shared" si="15"/>
        <v>60.59838</v>
      </c>
      <c r="H101" s="5">
        <v>8.57</v>
      </c>
      <c r="I101" s="116">
        <v>23.8</v>
      </c>
      <c r="J101" s="5">
        <v>61.01300000000001</v>
      </c>
      <c r="K101" s="23">
        <v>0.68</v>
      </c>
      <c r="L101" s="7">
        <f t="shared" si="16"/>
        <v>519.3281166</v>
      </c>
      <c r="M101" s="7">
        <f t="shared" si="16"/>
        <v>1442.241444</v>
      </c>
      <c r="N101" s="7">
        <f t="shared" si="16"/>
        <v>3697.2889589400006</v>
      </c>
      <c r="O101" s="7">
        <f t="shared" si="16"/>
        <v>41.2068984</v>
      </c>
      <c r="P101" s="7">
        <f t="shared" si="17"/>
        <v>263.46678674112</v>
      </c>
      <c r="Q101" s="7">
        <f t="shared" si="17"/>
        <v>694.4299786368</v>
      </c>
      <c r="R101" s="7">
        <f t="shared" si="17"/>
        <v>1957.538277836388</v>
      </c>
      <c r="S101" s="7">
        <f t="shared" si="17"/>
        <v>21.470284673280002</v>
      </c>
    </row>
    <row r="102" spans="1:19" ht="12.75">
      <c r="A102">
        <v>31</v>
      </c>
      <c r="B102" s="6" t="s">
        <v>282</v>
      </c>
      <c r="C102" s="88">
        <v>38229</v>
      </c>
      <c r="D102" s="10">
        <v>0.3819444444444444</v>
      </c>
      <c r="E102" s="5">
        <f t="shared" si="14"/>
        <v>9740</v>
      </c>
      <c r="F102" s="86">
        <v>2100</v>
      </c>
      <c r="G102" s="7">
        <f t="shared" si="15"/>
        <v>59.4657</v>
      </c>
      <c r="H102" s="5">
        <v>8.36</v>
      </c>
      <c r="I102" s="116">
        <v>20.8</v>
      </c>
      <c r="J102" s="5">
        <v>64.8263125</v>
      </c>
      <c r="K102" s="23">
        <v>0.7</v>
      </c>
      <c r="L102" s="7">
        <f t="shared" si="16"/>
        <v>497.13325199999997</v>
      </c>
      <c r="M102" s="7">
        <f t="shared" si="16"/>
        <v>1236.88656</v>
      </c>
      <c r="N102" s="7">
        <f t="shared" si="16"/>
        <v>3854.94205123125</v>
      </c>
      <c r="O102" s="7">
        <f t="shared" si="16"/>
        <v>41.625989999999994</v>
      </c>
      <c r="P102" s="7">
        <f t="shared" si="17"/>
        <v>339.25868254079995</v>
      </c>
      <c r="Q102" s="7">
        <f t="shared" si="17"/>
        <v>830.0786480639999</v>
      </c>
      <c r="R102" s="7">
        <f t="shared" si="17"/>
        <v>2553.51361473558</v>
      </c>
      <c r="S102" s="7">
        <f t="shared" si="17"/>
        <v>28.111305312</v>
      </c>
    </row>
    <row r="103" spans="1:19" ht="12.75">
      <c r="A103">
        <v>32</v>
      </c>
      <c r="B103" s="6" t="s">
        <v>283</v>
      </c>
      <c r="C103" s="88">
        <v>38237</v>
      </c>
      <c r="D103" s="10">
        <v>0.375</v>
      </c>
      <c r="E103" s="5">
        <f t="shared" si="14"/>
        <v>9748</v>
      </c>
      <c r="F103" s="86">
        <v>1870</v>
      </c>
      <c r="G103" s="7">
        <f t="shared" si="15"/>
        <v>52.95279</v>
      </c>
      <c r="H103" s="5">
        <v>9.15</v>
      </c>
      <c r="I103" s="116">
        <v>22</v>
      </c>
      <c r="J103" s="5">
        <v>66.73296875</v>
      </c>
      <c r="K103" s="23">
        <v>0.75</v>
      </c>
      <c r="L103" s="7">
        <f t="shared" si="16"/>
        <v>484.5180285</v>
      </c>
      <c r="M103" s="7">
        <f t="shared" si="16"/>
        <v>1164.96138</v>
      </c>
      <c r="N103" s="7">
        <f t="shared" si="16"/>
        <v>3533.6968802953124</v>
      </c>
      <c r="O103" s="7">
        <f t="shared" si="16"/>
        <v>39.7145925</v>
      </c>
      <c r="P103" s="7">
        <f t="shared" si="17"/>
        <v>249.83317065312002</v>
      </c>
      <c r="Q103" s="7">
        <f t="shared" si="17"/>
        <v>602.448026112</v>
      </c>
      <c r="R103" s="7">
        <f t="shared" si="17"/>
        <v>1804.3927682058272</v>
      </c>
      <c r="S103" s="7">
        <f t="shared" si="17"/>
        <v>20.35390620384</v>
      </c>
    </row>
    <row r="104" spans="1:19" ht="12.75">
      <c r="A104">
        <v>33</v>
      </c>
      <c r="B104" s="6" t="s">
        <v>284</v>
      </c>
      <c r="C104" s="88">
        <v>38243</v>
      </c>
      <c r="D104" s="10">
        <v>0.40277777777777773</v>
      </c>
      <c r="E104" s="5">
        <f t="shared" si="14"/>
        <v>9754</v>
      </c>
      <c r="F104" s="86">
        <v>1780</v>
      </c>
      <c r="G104" s="7">
        <f t="shared" si="15"/>
        <v>50.40426</v>
      </c>
      <c r="H104" s="5">
        <v>9.51</v>
      </c>
      <c r="I104" s="116">
        <v>23</v>
      </c>
      <c r="J104" s="5">
        <v>68.00407291666667</v>
      </c>
      <c r="K104" s="23">
        <v>0.77</v>
      </c>
      <c r="L104" s="7">
        <f t="shared" si="16"/>
        <v>479.3445126</v>
      </c>
      <c r="M104" s="7">
        <f t="shared" si="16"/>
        <v>1159.29798</v>
      </c>
      <c r="N104" s="7">
        <f t="shared" si="16"/>
        <v>3427.6949723506254</v>
      </c>
      <c r="O104" s="7">
        <f t="shared" si="16"/>
        <v>38.8112802</v>
      </c>
      <c r="P104" s="7">
        <f t="shared" si="17"/>
        <v>299.25842361407996</v>
      </c>
      <c r="Q104" s="7">
        <f t="shared" si="17"/>
        <v>782.8435813968</v>
      </c>
      <c r="R104" s="7">
        <f t="shared" si="17"/>
        <v>2213.126766837803</v>
      </c>
      <c r="S104" s="7">
        <f t="shared" si="17"/>
        <v>24.321661590239998</v>
      </c>
    </row>
    <row r="105" spans="1:19" ht="12.75">
      <c r="A105">
        <v>34</v>
      </c>
      <c r="B105" s="6" t="s">
        <v>285</v>
      </c>
      <c r="C105" s="88">
        <v>38250</v>
      </c>
      <c r="D105" s="10">
        <v>0.4305555555555556</v>
      </c>
      <c r="E105" s="5">
        <f t="shared" si="14"/>
        <v>9761</v>
      </c>
      <c r="F105" s="86">
        <v>2130</v>
      </c>
      <c r="G105" s="7">
        <f t="shared" si="15"/>
        <v>60.31520999999999</v>
      </c>
      <c r="H105" s="5">
        <v>8.46</v>
      </c>
      <c r="I105" s="116">
        <v>23.7</v>
      </c>
      <c r="J105" s="5">
        <v>64.50853645833334</v>
      </c>
      <c r="K105" s="23">
        <v>0.69</v>
      </c>
      <c r="L105" s="7">
        <f t="shared" si="16"/>
        <v>510.2666766</v>
      </c>
      <c r="M105" s="7">
        <f t="shared" si="16"/>
        <v>1429.4704769999998</v>
      </c>
      <c r="N105" s="7">
        <f t="shared" si="16"/>
        <v>3890.845923277031</v>
      </c>
      <c r="O105" s="7">
        <f t="shared" si="16"/>
        <v>41.61749489999999</v>
      </c>
      <c r="P105" s="7">
        <f t="shared" si="17"/>
        <v>428.34566753842796</v>
      </c>
      <c r="Q105" s="7">
        <f t="shared" si="17"/>
        <v>1179.8241329311395</v>
      </c>
      <c r="R105" s="7">
        <f t="shared" si="17"/>
        <v>3276.5466824858377</v>
      </c>
      <c r="S105" s="7">
        <f t="shared" si="17"/>
        <v>34.64846657406449</v>
      </c>
    </row>
    <row r="106" spans="1:19" ht="12.75">
      <c r="A106">
        <v>35</v>
      </c>
      <c r="C106" s="2">
        <v>38260</v>
      </c>
      <c r="E106" s="5">
        <f t="shared" si="14"/>
        <v>9771</v>
      </c>
      <c r="F106" s="24">
        <v>1930</v>
      </c>
      <c r="G106" s="7">
        <f t="shared" si="15"/>
        <v>54.65181</v>
      </c>
      <c r="H106" s="5">
        <f>145.67*G106^-0.7013</f>
        <v>8.80618995930225</v>
      </c>
      <c r="I106" s="116">
        <f>284.57*G106^-0.62</f>
        <v>23.81630004175608</v>
      </c>
      <c r="J106" s="5">
        <f>253.19*G106^-0.3301</f>
        <v>67.58701823001871</v>
      </c>
      <c r="K106" s="23">
        <f>6.0646*G106^-0.5375</f>
        <v>0.7060569235723466</v>
      </c>
      <c r="L106" s="7">
        <f t="shared" si="16"/>
        <v>481.2742204796943</v>
      </c>
      <c r="M106" s="7">
        <f t="shared" si="16"/>
        <v>1301.6039047850452</v>
      </c>
      <c r="N106" s="7">
        <f t="shared" si="16"/>
        <v>3693.7528787735187</v>
      </c>
      <c r="O106" s="7">
        <f t="shared" si="16"/>
        <v>38.587288836260406</v>
      </c>
      <c r="S106" s="7"/>
    </row>
    <row r="107" ht="12.75">
      <c r="F107" s="86"/>
    </row>
    <row r="108" ht="12.75">
      <c r="F108" s="86"/>
    </row>
    <row r="109" spans="2:19" ht="12.75">
      <c r="B109" s="35" t="s">
        <v>224</v>
      </c>
      <c r="F109" s="87"/>
      <c r="G109" s="11"/>
      <c r="P109" s="52">
        <f>SUM(P72:P105)</f>
        <v>14613.777538926475</v>
      </c>
      <c r="Q109" s="52">
        <f>SUM(Q72:Q105)</f>
        <v>38638.01142347431</v>
      </c>
      <c r="R109" s="52">
        <f>SUM(R72:R105)</f>
        <v>123632.55878669553</v>
      </c>
      <c r="S109" s="52">
        <f>SUM(S72:S105)</f>
        <v>1184.7545913941265</v>
      </c>
    </row>
    <row r="114" spans="2:4" ht="12.75">
      <c r="B114" t="s">
        <v>598</v>
      </c>
      <c r="D114" t="s">
        <v>597</v>
      </c>
    </row>
    <row r="115" spans="2:4" ht="12.75">
      <c r="B115" t="s">
        <v>600</v>
      </c>
      <c r="D115" t="s">
        <v>599</v>
      </c>
    </row>
    <row r="116" spans="2:4" ht="12.75">
      <c r="B116" t="s">
        <v>604</v>
      </c>
      <c r="D116" t="s">
        <v>603</v>
      </c>
    </row>
    <row r="117" spans="2:4" ht="12.75">
      <c r="B117" t="s">
        <v>602</v>
      </c>
      <c r="D117" t="s">
        <v>601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6"/>
  <sheetViews>
    <sheetView workbookViewId="0" topLeftCell="A1">
      <pane xSplit="2" ySplit="2" topLeftCell="F6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99" sqref="P99:S99"/>
    </sheetView>
  </sheetViews>
  <sheetFormatPr defaultColWidth="9.140625" defaultRowHeight="12.75"/>
  <cols>
    <col min="2" max="2" width="14.57421875" style="0" customWidth="1"/>
    <col min="3" max="5" width="8.8515625" style="0" customWidth="1"/>
    <col min="6" max="6" width="11.7109375" style="0" customWidth="1"/>
    <col min="7" max="7" width="11.57421875" style="0" customWidth="1"/>
    <col min="8" max="9" width="8.8515625" style="5" customWidth="1"/>
    <col min="10" max="10" width="10.7109375" style="5" customWidth="1"/>
    <col min="11" max="11" width="8.8515625" style="23" customWidth="1"/>
    <col min="12" max="15" width="10.421875" style="0" customWidth="1"/>
    <col min="16" max="16" width="12.00390625" style="0" customWidth="1"/>
    <col min="17" max="16384" width="8.8515625" style="0" customWidth="1"/>
  </cols>
  <sheetData>
    <row r="1" spans="2:20" s="77" customFormat="1" ht="13.5" thickBot="1">
      <c r="B1" s="67" t="s">
        <v>185</v>
      </c>
      <c r="C1" s="68"/>
      <c r="D1" s="69"/>
      <c r="E1" s="69"/>
      <c r="F1" s="69"/>
      <c r="G1" s="70"/>
      <c r="H1" s="109"/>
      <c r="I1" s="110"/>
      <c r="J1" s="110"/>
      <c r="K1" s="71"/>
      <c r="L1" s="74"/>
      <c r="M1" s="74"/>
      <c r="N1" s="74"/>
      <c r="O1" s="74"/>
      <c r="P1" s="75"/>
      <c r="Q1" s="75"/>
      <c r="R1" s="75"/>
      <c r="S1" s="75"/>
      <c r="T1" s="76"/>
    </row>
    <row r="2" spans="2:19" s="77" customFormat="1" ht="39.75" thickBot="1" thickTop="1">
      <c r="B2" s="78" t="s">
        <v>0</v>
      </c>
      <c r="C2" s="79" t="s">
        <v>1</v>
      </c>
      <c r="D2" s="79" t="s">
        <v>163</v>
      </c>
      <c r="E2" s="79" t="s">
        <v>29</v>
      </c>
      <c r="F2" s="79" t="s">
        <v>162</v>
      </c>
      <c r="G2" s="80" t="s">
        <v>161</v>
      </c>
      <c r="H2" s="111" t="s">
        <v>2</v>
      </c>
      <c r="I2" s="111" t="s">
        <v>158</v>
      </c>
      <c r="J2" s="111" t="s">
        <v>159</v>
      </c>
      <c r="K2" s="113" t="s">
        <v>160</v>
      </c>
      <c r="L2" s="80" t="s">
        <v>176</v>
      </c>
      <c r="M2" s="80" t="s">
        <v>177</v>
      </c>
      <c r="N2" s="80" t="s">
        <v>178</v>
      </c>
      <c r="O2" s="80" t="s">
        <v>179</v>
      </c>
      <c r="P2" s="81" t="s">
        <v>180</v>
      </c>
      <c r="Q2" s="81" t="s">
        <v>181</v>
      </c>
      <c r="R2" s="81" t="s">
        <v>182</v>
      </c>
      <c r="S2" s="81" t="s">
        <v>183</v>
      </c>
    </row>
    <row r="3" spans="1:19" ht="12.75">
      <c r="A3">
        <v>1</v>
      </c>
      <c r="C3" s="19">
        <v>37165</v>
      </c>
      <c r="D3" s="20"/>
      <c r="E3" s="4">
        <f>C3-28489</f>
        <v>8676</v>
      </c>
      <c r="F3" s="117">
        <v>172</v>
      </c>
      <c r="G3" s="11">
        <f>F3*0.028317</f>
        <v>4.870524</v>
      </c>
      <c r="H3" s="5">
        <f>79.371*G3^-0.6831</f>
        <v>26.914040386392383</v>
      </c>
      <c r="I3" s="5">
        <f>115.46*G3^-0.599</f>
        <v>44.727406469279714</v>
      </c>
      <c r="J3" s="5">
        <f>155.8*G3^-0.253</f>
        <v>104.37844061873628</v>
      </c>
      <c r="K3" s="23">
        <f>6.4233*G3^-0.4885</f>
        <v>2.963995109575451</v>
      </c>
      <c r="L3" s="11">
        <f>(H3*$G3)</f>
        <v>131.08547963889336</v>
      </c>
      <c r="M3" s="11">
        <f>(I3*$G3)</f>
        <v>217.8459066663821</v>
      </c>
      <c r="N3" s="11">
        <f>(J3*$G3)</f>
        <v>508.37770011612986</v>
      </c>
      <c r="O3" s="11">
        <f>(K3*$G3)</f>
        <v>14.436209317069864</v>
      </c>
      <c r="P3" s="11">
        <f>(((L3+L4)/2)*(($E4-$E3)*24*60*60))/1000000</f>
        <v>11.545958951722087</v>
      </c>
      <c r="Q3" s="11">
        <f>(((M3+M4)/2)*(($E4-$E3)*24*60*60))/1000000</f>
        <v>19.287253714463127</v>
      </c>
      <c r="R3" s="11">
        <f>(((N3+N4)/2)*(($E4-$E3)*24*60*60))/1000000</f>
        <v>45.98995858358385</v>
      </c>
      <c r="S3" s="11">
        <f>(((O3+O4)/2)*(($E4-$E3)*24*60*60))/1000000</f>
        <v>1.2868903373174105</v>
      </c>
    </row>
    <row r="4" spans="1:19" ht="12.75">
      <c r="A4">
        <v>2</v>
      </c>
      <c r="C4" s="19">
        <v>37166</v>
      </c>
      <c r="D4" s="20">
        <v>0.7743055555555555</v>
      </c>
      <c r="E4" s="4">
        <f aca="true" t="shared" si="0" ref="E4:E31">C4-28489</f>
        <v>8677</v>
      </c>
      <c r="F4" s="117">
        <v>194</v>
      </c>
      <c r="G4" s="11">
        <f aca="true" t="shared" si="1" ref="G4:G30">F4*0.028317</f>
        <v>5.493498</v>
      </c>
      <c r="H4" s="5">
        <f>79.371*G4^-0.6831</f>
        <v>24.789685677141744</v>
      </c>
      <c r="I4" s="5">
        <f>115.46*G4^-0.599</f>
        <v>41.616161448849354</v>
      </c>
      <c r="J4" s="5">
        <f>155.8*G4^-0.253</f>
        <v>101.24781596423018</v>
      </c>
      <c r="K4" s="23">
        <f>6.4233*G4^-0.4885</f>
        <v>2.7947436881880914</v>
      </c>
      <c r="L4" s="11">
        <f aca="true" t="shared" si="2" ref="L4:L31">(H4*$G4)</f>
        <v>136.18208868800681</v>
      </c>
      <c r="M4" s="11">
        <f aca="true" t="shared" si="3" ref="M4:M31">(I4*$G4)</f>
        <v>228.618299686931</v>
      </c>
      <c r="N4" s="11">
        <f aca="true" t="shared" si="4" ref="N4:N31">(J4*$G4)</f>
        <v>556.2046745038666</v>
      </c>
      <c r="O4" s="11">
        <f aca="true" t="shared" si="5" ref="O4:O31">(K4*$G4)</f>
        <v>15.352918861573903</v>
      </c>
      <c r="P4" s="11">
        <f aca="true" t="shared" si="6" ref="P4:P30">(((L4+L5)/2)*(($E5-$E4)*24*60*60))/1000000</f>
        <v>376.3048290817768</v>
      </c>
      <c r="Q4" s="11">
        <f aca="true" t="shared" si="7" ref="Q4:Q30">(((M4+M5)/2)*(($E5-$E4)*24*60*60))/1000000</f>
        <v>642.9608157939008</v>
      </c>
      <c r="R4" s="11">
        <f aca="true" t="shared" si="8" ref="R4:R30">(((N4+N5)/2)*(($E5-$E4)*24*60*60))/1000000</f>
        <v>1686.646416475001</v>
      </c>
      <c r="S4" s="11">
        <f aca="true" t="shared" si="9" ref="S4:S30">(((O4+O5)/2)*(($E5-$E4)*24*60*60))/1000000</f>
        <v>44.20777483209233</v>
      </c>
    </row>
    <row r="5" spans="1:19" ht="12.75">
      <c r="A5">
        <v>3</v>
      </c>
      <c r="C5" s="19">
        <v>37196</v>
      </c>
      <c r="D5" s="20">
        <v>0.6458333333333334</v>
      </c>
      <c r="E5" s="4">
        <f t="shared" si="0"/>
        <v>8707</v>
      </c>
      <c r="F5" s="117">
        <v>287</v>
      </c>
      <c r="G5" s="11">
        <f t="shared" si="1"/>
        <v>8.126979</v>
      </c>
      <c r="H5" s="5">
        <f>79.371*G5^-0.6831</f>
        <v>18.970957809407953</v>
      </c>
      <c r="I5" s="5">
        <f>115.46*G5^-0.599</f>
        <v>32.91425274936512</v>
      </c>
      <c r="J5" s="5">
        <f>155.8*G5^-0.253</f>
        <v>91.69705367349295</v>
      </c>
      <c r="K5" s="23">
        <f>6.4233*G5^-0.4885</f>
        <v>2.308117014805589</v>
      </c>
      <c r="L5" s="11">
        <f t="shared" si="2"/>
        <v>154.17657572694444</v>
      </c>
      <c r="M5" s="11">
        <f t="shared" si="3"/>
        <v>267.4934408947826</v>
      </c>
      <c r="N5" s="11">
        <f t="shared" si="4"/>
        <v>745.22002956635</v>
      </c>
      <c r="O5" s="11">
        <f t="shared" si="5"/>
        <v>18.75801850886771</v>
      </c>
      <c r="P5" s="11">
        <f t="shared" si="6"/>
        <v>619.6058621509679</v>
      </c>
      <c r="Q5" s="11">
        <f t="shared" si="7"/>
        <v>1003.2340163434936</v>
      </c>
      <c r="R5" s="11">
        <f t="shared" si="8"/>
        <v>2794.723636056944</v>
      </c>
      <c r="S5" s="11">
        <f t="shared" si="9"/>
        <v>76.11342955368958</v>
      </c>
    </row>
    <row r="6" spans="1:19" ht="12.75">
      <c r="A6">
        <v>4</v>
      </c>
      <c r="B6" s="1" t="s">
        <v>30</v>
      </c>
      <c r="C6" s="21">
        <v>37238</v>
      </c>
      <c r="D6" s="22">
        <v>0.6840277777777778</v>
      </c>
      <c r="E6" s="4">
        <f t="shared" si="0"/>
        <v>8749</v>
      </c>
      <c r="F6" s="5">
        <v>315</v>
      </c>
      <c r="G6" s="11">
        <f t="shared" si="1"/>
        <v>8.919855</v>
      </c>
      <c r="H6" s="5">
        <v>21</v>
      </c>
      <c r="I6" s="57">
        <v>32</v>
      </c>
      <c r="J6" s="57">
        <v>89.1361796875</v>
      </c>
      <c r="K6" s="39">
        <v>2.6</v>
      </c>
      <c r="L6" s="11">
        <f t="shared" si="2"/>
        <v>187.316955</v>
      </c>
      <c r="M6" s="11">
        <f t="shared" si="3"/>
        <v>285.43536</v>
      </c>
      <c r="N6" s="11">
        <f t="shared" si="4"/>
        <v>795.0817980664453</v>
      </c>
      <c r="O6" s="11">
        <f t="shared" si="5"/>
        <v>23.191623</v>
      </c>
      <c r="P6" s="11">
        <f t="shared" si="6"/>
        <v>558.7176979008</v>
      </c>
      <c r="Q6" s="11">
        <f t="shared" si="7"/>
        <v>850.8257210879999</v>
      </c>
      <c r="R6" s="11">
        <f t="shared" si="8"/>
        <v>2341.1740769461094</v>
      </c>
      <c r="S6" s="11">
        <f t="shared" si="9"/>
        <v>67.45832502912002</v>
      </c>
    </row>
    <row r="7" spans="1:19" ht="12.75">
      <c r="A7">
        <v>5</v>
      </c>
      <c r="B7" s="1" t="s">
        <v>31</v>
      </c>
      <c r="C7" s="21">
        <v>37274</v>
      </c>
      <c r="D7" s="22">
        <v>0.7083333333333334</v>
      </c>
      <c r="E7" s="4">
        <f t="shared" si="0"/>
        <v>8785</v>
      </c>
      <c r="F7" s="5">
        <v>264</v>
      </c>
      <c r="G7" s="11">
        <f t="shared" si="1"/>
        <v>7.475688</v>
      </c>
      <c r="H7" s="5">
        <v>23</v>
      </c>
      <c r="I7" s="57">
        <v>35</v>
      </c>
      <c r="J7" s="57">
        <v>95.01503645833334</v>
      </c>
      <c r="K7" s="39">
        <v>2.7</v>
      </c>
      <c r="L7" s="11">
        <f t="shared" si="2"/>
        <v>171.940824</v>
      </c>
      <c r="M7" s="11">
        <f t="shared" si="3"/>
        <v>261.64907999999997</v>
      </c>
      <c r="N7" s="11">
        <f t="shared" si="4"/>
        <v>710.3027678711251</v>
      </c>
      <c r="O7" s="11">
        <f t="shared" si="5"/>
        <v>20.184357600000002</v>
      </c>
      <c r="P7" s="11">
        <f t="shared" si="6"/>
        <v>422.6335356672</v>
      </c>
      <c r="Q7" s="11">
        <f t="shared" si="7"/>
        <v>627.7163952383999</v>
      </c>
      <c r="R7" s="11">
        <f t="shared" si="8"/>
        <v>1759.1970388635398</v>
      </c>
      <c r="S7" s="11">
        <f t="shared" si="9"/>
        <v>51.881383457279995</v>
      </c>
    </row>
    <row r="8" spans="1:19" ht="12.75">
      <c r="A8">
        <v>6</v>
      </c>
      <c r="B8" s="1" t="s">
        <v>32</v>
      </c>
      <c r="C8" s="21">
        <v>37300</v>
      </c>
      <c r="D8" s="22">
        <v>0.6458333333333334</v>
      </c>
      <c r="E8" s="4">
        <f t="shared" si="0"/>
        <v>8811</v>
      </c>
      <c r="F8" s="5">
        <v>328</v>
      </c>
      <c r="G8" s="11">
        <f t="shared" si="1"/>
        <v>9.287975999999999</v>
      </c>
      <c r="H8" s="5">
        <v>22</v>
      </c>
      <c r="I8" s="57">
        <v>32</v>
      </c>
      <c r="J8" s="57">
        <v>92.15505208333333</v>
      </c>
      <c r="K8" s="39">
        <v>2.8</v>
      </c>
      <c r="L8" s="11">
        <f t="shared" si="2"/>
        <v>204.33547199999998</v>
      </c>
      <c r="M8" s="11">
        <f t="shared" si="3"/>
        <v>297.21523199999996</v>
      </c>
      <c r="N8" s="11">
        <f t="shared" si="4"/>
        <v>855.9339120287499</v>
      </c>
      <c r="O8" s="11">
        <f t="shared" si="5"/>
        <v>26.006332799999996</v>
      </c>
      <c r="P8" s="11">
        <f t="shared" si="6"/>
        <v>360.57336416640004</v>
      </c>
      <c r="Q8" s="11">
        <f t="shared" si="7"/>
        <v>516.9079418975999</v>
      </c>
      <c r="R8" s="11">
        <f t="shared" si="8"/>
        <v>1513.9982341851419</v>
      </c>
      <c r="S8" s="11">
        <f t="shared" si="9"/>
        <v>46.64739603744</v>
      </c>
    </row>
    <row r="9" spans="1:19" ht="12.75">
      <c r="A9">
        <v>7</v>
      </c>
      <c r="B9" s="1" t="s">
        <v>33</v>
      </c>
      <c r="C9" s="21">
        <v>37322</v>
      </c>
      <c r="D9" s="22">
        <v>0.4444444444444444</v>
      </c>
      <c r="E9" s="4">
        <f t="shared" si="0"/>
        <v>8833</v>
      </c>
      <c r="F9" s="5">
        <v>281</v>
      </c>
      <c r="G9" s="11">
        <f t="shared" si="1"/>
        <v>7.957077</v>
      </c>
      <c r="H9" s="5">
        <v>22</v>
      </c>
      <c r="I9" s="57">
        <v>31</v>
      </c>
      <c r="J9" s="57">
        <v>92.63171614583334</v>
      </c>
      <c r="K9" s="39">
        <v>2.9</v>
      </c>
      <c r="L9" s="11">
        <f t="shared" si="2"/>
        <v>175.055694</v>
      </c>
      <c r="M9" s="11">
        <f t="shared" si="3"/>
        <v>246.669387</v>
      </c>
      <c r="N9" s="11">
        <f t="shared" si="4"/>
        <v>737.0776980145391</v>
      </c>
      <c r="O9" s="11">
        <f t="shared" si="5"/>
        <v>23.0755233</v>
      </c>
      <c r="P9" s="11">
        <f t="shared" si="6"/>
        <v>226.0990573632</v>
      </c>
      <c r="Q9" s="11">
        <f t="shared" si="7"/>
        <v>329.52370570560004</v>
      </c>
      <c r="R9" s="11">
        <f t="shared" si="8"/>
        <v>968.8075280930066</v>
      </c>
      <c r="S9" s="11">
        <f t="shared" si="9"/>
        <v>30.186501932160002</v>
      </c>
    </row>
    <row r="10" spans="1:19" ht="12.75">
      <c r="A10">
        <v>8</v>
      </c>
      <c r="B10" s="1" t="s">
        <v>34</v>
      </c>
      <c r="C10" s="21">
        <v>37336</v>
      </c>
      <c r="D10" s="22">
        <v>0.6666666666666666</v>
      </c>
      <c r="E10" s="4">
        <f t="shared" si="0"/>
        <v>8847</v>
      </c>
      <c r="F10" s="5">
        <v>351</v>
      </c>
      <c r="G10" s="11">
        <f t="shared" si="1"/>
        <v>9.939267</v>
      </c>
      <c r="H10" s="5">
        <v>20</v>
      </c>
      <c r="I10" s="57">
        <v>30</v>
      </c>
      <c r="J10" s="57">
        <v>87.00708020833335</v>
      </c>
      <c r="K10" s="39">
        <v>2.7</v>
      </c>
      <c r="L10" s="11">
        <f t="shared" si="2"/>
        <v>198.78534</v>
      </c>
      <c r="M10" s="11">
        <f t="shared" si="3"/>
        <v>298.17801</v>
      </c>
      <c r="N10" s="11">
        <f t="shared" si="4"/>
        <v>864.7866010810407</v>
      </c>
      <c r="O10" s="11">
        <f t="shared" si="5"/>
        <v>26.8360209</v>
      </c>
      <c r="P10" s="11">
        <f t="shared" si="6"/>
        <v>328.069208664</v>
      </c>
      <c r="Q10" s="11">
        <f t="shared" si="7"/>
        <v>552.5694202464</v>
      </c>
      <c r="R10" s="11">
        <f t="shared" si="8"/>
        <v>1712.4655006080418</v>
      </c>
      <c r="S10" s="11">
        <f t="shared" si="9"/>
        <v>42.91512482304</v>
      </c>
    </row>
    <row r="11" spans="1:19" ht="12.75">
      <c r="A11">
        <v>9</v>
      </c>
      <c r="B11" s="1" t="s">
        <v>35</v>
      </c>
      <c r="C11" s="21">
        <v>37355</v>
      </c>
      <c r="D11" s="22">
        <v>0.625</v>
      </c>
      <c r="E11" s="4">
        <f t="shared" si="0"/>
        <v>8866</v>
      </c>
      <c r="F11" s="5">
        <v>473</v>
      </c>
      <c r="G11" s="11">
        <f t="shared" si="1"/>
        <v>13.393941</v>
      </c>
      <c r="H11" s="5">
        <v>15</v>
      </c>
      <c r="I11" s="57">
        <v>28</v>
      </c>
      <c r="J11" s="57">
        <v>91.20172395833333</v>
      </c>
      <c r="K11" s="39">
        <v>1.9</v>
      </c>
      <c r="L11" s="11">
        <f t="shared" si="2"/>
        <v>200.90911499999999</v>
      </c>
      <c r="M11" s="11">
        <f t="shared" si="3"/>
        <v>375.030348</v>
      </c>
      <c r="N11" s="11">
        <f t="shared" si="4"/>
        <v>1221.5505097962032</v>
      </c>
      <c r="O11" s="11">
        <f t="shared" si="5"/>
        <v>25.4484879</v>
      </c>
      <c r="P11" s="11">
        <f t="shared" si="6"/>
        <v>185.54929459199997</v>
      </c>
      <c r="Q11" s="11">
        <f t="shared" si="7"/>
        <v>329.139591264</v>
      </c>
      <c r="R11" s="11">
        <f t="shared" si="8"/>
        <v>1122.769689380162</v>
      </c>
      <c r="S11" s="11">
        <f t="shared" si="9"/>
        <v>25.427397398399997</v>
      </c>
    </row>
    <row r="12" spans="1:19" ht="12.75">
      <c r="A12">
        <v>10</v>
      </c>
      <c r="B12" s="1" t="s">
        <v>36</v>
      </c>
      <c r="C12" s="21">
        <v>37365</v>
      </c>
      <c r="D12" s="22">
        <v>0.375</v>
      </c>
      <c r="E12" s="4">
        <f t="shared" si="0"/>
        <v>8876</v>
      </c>
      <c r="F12" s="5">
        <v>621</v>
      </c>
      <c r="G12" s="11">
        <f t="shared" si="1"/>
        <v>17.584857</v>
      </c>
      <c r="H12" s="5">
        <v>13</v>
      </c>
      <c r="I12" s="57">
        <v>22</v>
      </c>
      <c r="J12" s="57">
        <v>78.33179427083334</v>
      </c>
      <c r="K12" s="39">
        <v>1.9</v>
      </c>
      <c r="L12" s="11">
        <f t="shared" si="2"/>
        <v>228.603141</v>
      </c>
      <c r="M12" s="11">
        <f t="shared" si="3"/>
        <v>386.866854</v>
      </c>
      <c r="N12" s="11">
        <f t="shared" si="4"/>
        <v>1377.4534008060236</v>
      </c>
      <c r="O12" s="11">
        <f t="shared" si="5"/>
        <v>33.4112283</v>
      </c>
      <c r="P12" s="11">
        <f t="shared" si="6"/>
        <v>104.22615083328</v>
      </c>
      <c r="Q12" s="11">
        <f t="shared" si="7"/>
        <v>188.26500816</v>
      </c>
      <c r="R12" s="11">
        <f t="shared" si="8"/>
        <v>717.4200059244565</v>
      </c>
      <c r="S12" s="11">
        <f t="shared" si="9"/>
        <v>15.01496012448</v>
      </c>
    </row>
    <row r="13" spans="1:19" ht="12.75">
      <c r="A13">
        <v>11</v>
      </c>
      <c r="B13" s="1" t="s">
        <v>37</v>
      </c>
      <c r="C13" s="21">
        <v>37371</v>
      </c>
      <c r="D13" s="22">
        <v>0.7291666666666666</v>
      </c>
      <c r="E13" s="4">
        <f t="shared" si="0"/>
        <v>8882</v>
      </c>
      <c r="F13" s="5">
        <v>666</v>
      </c>
      <c r="G13" s="11">
        <f t="shared" si="1"/>
        <v>18.859122</v>
      </c>
      <c r="H13" s="5">
        <v>9.2</v>
      </c>
      <c r="I13" s="57">
        <v>18</v>
      </c>
      <c r="J13" s="57">
        <v>73.72404166666668</v>
      </c>
      <c r="K13" s="39">
        <v>1.3</v>
      </c>
      <c r="L13" s="11">
        <f t="shared" si="2"/>
        <v>173.5039224</v>
      </c>
      <c r="M13" s="11">
        <f t="shared" si="3"/>
        <v>339.464196</v>
      </c>
      <c r="N13" s="11">
        <f t="shared" si="4"/>
        <v>1390.37069612475</v>
      </c>
      <c r="O13" s="11">
        <f t="shared" si="5"/>
        <v>24.5168586</v>
      </c>
      <c r="P13" s="11">
        <f t="shared" si="6"/>
        <v>124.48390609728</v>
      </c>
      <c r="Q13" s="11">
        <f t="shared" si="7"/>
        <v>249.3171850752</v>
      </c>
      <c r="R13" s="11">
        <f t="shared" si="8"/>
        <v>1144.0244792828682</v>
      </c>
      <c r="S13" s="11">
        <f t="shared" si="9"/>
        <v>17.878202997119995</v>
      </c>
    </row>
    <row r="14" spans="1:19" ht="12.75">
      <c r="A14">
        <v>12</v>
      </c>
      <c r="B14" s="1" t="s">
        <v>38</v>
      </c>
      <c r="C14" s="21">
        <v>37377</v>
      </c>
      <c r="D14" s="22">
        <v>0.8090277777777778</v>
      </c>
      <c r="E14" s="4">
        <f t="shared" si="0"/>
        <v>8888</v>
      </c>
      <c r="F14" s="5">
        <v>1570</v>
      </c>
      <c r="G14" s="11">
        <f t="shared" si="1"/>
        <v>44.45769</v>
      </c>
      <c r="H14" s="5">
        <v>6.9</v>
      </c>
      <c r="I14" s="57">
        <v>14</v>
      </c>
      <c r="J14" s="57">
        <v>68.00407291666667</v>
      </c>
      <c r="K14" s="39">
        <v>1</v>
      </c>
      <c r="L14" s="11">
        <f t="shared" si="2"/>
        <v>306.758061</v>
      </c>
      <c r="M14" s="11">
        <f t="shared" si="3"/>
        <v>622.40766</v>
      </c>
      <c r="N14" s="11">
        <f t="shared" si="4"/>
        <v>3023.3039924665627</v>
      </c>
      <c r="O14" s="11">
        <f t="shared" si="5"/>
        <v>44.45769</v>
      </c>
      <c r="P14" s="11">
        <f t="shared" si="6"/>
        <v>184.0116135312</v>
      </c>
      <c r="Q14" s="11">
        <f t="shared" si="7"/>
        <v>360.847382112</v>
      </c>
      <c r="R14" s="11">
        <f t="shared" si="8"/>
        <v>1695.9749526002745</v>
      </c>
      <c r="S14" s="11">
        <f t="shared" si="9"/>
        <v>27.0078937632</v>
      </c>
    </row>
    <row r="15" spans="1:19" ht="12.75">
      <c r="A15">
        <v>13</v>
      </c>
      <c r="B15" s="1" t="s">
        <v>39</v>
      </c>
      <c r="C15" s="21">
        <v>37384</v>
      </c>
      <c r="D15" s="22">
        <v>0.6666666666666666</v>
      </c>
      <c r="E15" s="4">
        <f t="shared" si="0"/>
        <v>8895</v>
      </c>
      <c r="F15" s="5">
        <v>1440</v>
      </c>
      <c r="G15" s="11">
        <f t="shared" si="1"/>
        <v>40.77648</v>
      </c>
      <c r="H15" s="5">
        <v>7.4</v>
      </c>
      <c r="I15" s="57">
        <v>14</v>
      </c>
      <c r="J15" s="57">
        <v>63.396320312499995</v>
      </c>
      <c r="K15" s="39">
        <v>1.1</v>
      </c>
      <c r="L15" s="11">
        <f t="shared" si="2"/>
        <v>301.745952</v>
      </c>
      <c r="M15" s="11">
        <f t="shared" si="3"/>
        <v>570.87072</v>
      </c>
      <c r="N15" s="11">
        <f t="shared" si="4"/>
        <v>2585.0787872962496</v>
      </c>
      <c r="O15" s="11">
        <f t="shared" si="5"/>
        <v>44.854128</v>
      </c>
      <c r="P15" s="11">
        <f t="shared" si="6"/>
        <v>235.55756966399997</v>
      </c>
      <c r="Q15" s="11">
        <f t="shared" si="7"/>
        <v>480.56875845119987</v>
      </c>
      <c r="R15" s="11">
        <f t="shared" si="8"/>
        <v>2776.102503999615</v>
      </c>
      <c r="S15" s="11">
        <f t="shared" si="9"/>
        <v>42.101878705919994</v>
      </c>
    </row>
    <row r="16" spans="1:19" ht="12.75">
      <c r="A16">
        <v>14</v>
      </c>
      <c r="B16" s="1" t="s">
        <v>40</v>
      </c>
      <c r="C16" s="21">
        <v>37392</v>
      </c>
      <c r="D16" s="22">
        <v>0.7222222222222222</v>
      </c>
      <c r="E16" s="4">
        <f t="shared" si="0"/>
        <v>8903</v>
      </c>
      <c r="F16" s="5">
        <v>3530</v>
      </c>
      <c r="G16" s="11">
        <f t="shared" si="1"/>
        <v>99.95900999999999</v>
      </c>
      <c r="H16" s="5">
        <v>3.8</v>
      </c>
      <c r="I16" s="57">
        <v>8.2</v>
      </c>
      <c r="J16" s="57">
        <v>54.49859114583333</v>
      </c>
      <c r="K16" s="39">
        <v>0.77</v>
      </c>
      <c r="L16" s="11">
        <f t="shared" si="2"/>
        <v>379.84423799999996</v>
      </c>
      <c r="M16" s="11">
        <f t="shared" si="3"/>
        <v>819.6638819999998</v>
      </c>
      <c r="N16" s="11">
        <f t="shared" si="4"/>
        <v>5447.625217332265</v>
      </c>
      <c r="O16" s="11">
        <f t="shared" si="5"/>
        <v>76.9684377</v>
      </c>
      <c r="P16" s="11">
        <f t="shared" si="6"/>
        <v>197.5791717216</v>
      </c>
      <c r="Q16" s="11">
        <f t="shared" si="7"/>
        <v>432.13608656639997</v>
      </c>
      <c r="R16" s="11">
        <f t="shared" si="8"/>
        <v>2803.9436081719696</v>
      </c>
      <c r="S16" s="11">
        <f t="shared" si="9"/>
        <v>38.70332220384</v>
      </c>
    </row>
    <row r="17" spans="1:19" ht="12.75">
      <c r="A17">
        <v>15</v>
      </c>
      <c r="B17" s="1" t="s">
        <v>41</v>
      </c>
      <c r="C17" s="21">
        <v>37398</v>
      </c>
      <c r="D17" s="22">
        <v>0.6319444444444444</v>
      </c>
      <c r="E17" s="4">
        <f t="shared" si="0"/>
        <v>8909</v>
      </c>
      <c r="F17" s="5">
        <v>3650</v>
      </c>
      <c r="G17" s="11">
        <f t="shared" si="1"/>
        <v>103.35705</v>
      </c>
      <c r="H17" s="5">
        <v>3.7</v>
      </c>
      <c r="I17" s="57">
        <v>8.2</v>
      </c>
      <c r="J17" s="57">
        <v>51.95638281250001</v>
      </c>
      <c r="K17" s="39">
        <v>0.7</v>
      </c>
      <c r="L17" s="11">
        <f t="shared" si="2"/>
        <v>382.421085</v>
      </c>
      <c r="M17" s="11">
        <f t="shared" si="3"/>
        <v>847.5278099999999</v>
      </c>
      <c r="N17" s="11">
        <f t="shared" si="4"/>
        <v>5370.058456170705</v>
      </c>
      <c r="O17" s="11">
        <f t="shared" si="5"/>
        <v>72.349935</v>
      </c>
      <c r="P17" s="11">
        <f t="shared" si="6"/>
        <v>200.36828295360002</v>
      </c>
      <c r="Q17" s="11">
        <f t="shared" si="7"/>
        <v>440.5768179264</v>
      </c>
      <c r="R17" s="11">
        <f t="shared" si="8"/>
        <v>2878.708751504404</v>
      </c>
      <c r="S17" s="11">
        <f t="shared" si="9"/>
        <v>36.54763281216</v>
      </c>
    </row>
    <row r="18" spans="1:19" ht="12.75">
      <c r="A18">
        <v>16</v>
      </c>
      <c r="B18" s="1" t="s">
        <v>42</v>
      </c>
      <c r="C18" s="21">
        <v>37404</v>
      </c>
      <c r="D18" s="22">
        <v>0.625</v>
      </c>
      <c r="E18" s="4">
        <f t="shared" si="0"/>
        <v>8915</v>
      </c>
      <c r="F18" s="5">
        <v>4180</v>
      </c>
      <c r="G18" s="11">
        <f t="shared" si="1"/>
        <v>118.36506</v>
      </c>
      <c r="H18" s="5">
        <v>3.3</v>
      </c>
      <c r="I18" s="57">
        <v>7.2</v>
      </c>
      <c r="J18" s="57">
        <v>48.46084635416666</v>
      </c>
      <c r="K18" s="39">
        <v>0.58</v>
      </c>
      <c r="L18" s="11">
        <f t="shared" si="2"/>
        <v>390.604698</v>
      </c>
      <c r="M18" s="11">
        <f t="shared" si="3"/>
        <v>852.228432</v>
      </c>
      <c r="N18" s="11">
        <f t="shared" si="4"/>
        <v>5736.0709863617185</v>
      </c>
      <c r="O18" s="11">
        <f t="shared" si="5"/>
        <v>68.6517348</v>
      </c>
      <c r="P18" s="11">
        <f t="shared" si="6"/>
        <v>280.61394900479996</v>
      </c>
      <c r="Q18" s="11">
        <f t="shared" si="7"/>
        <v>563.0188010111999</v>
      </c>
      <c r="R18" s="11">
        <f t="shared" si="8"/>
        <v>3934.60653436056</v>
      </c>
      <c r="S18" s="11">
        <f t="shared" si="9"/>
        <v>51.02997055488</v>
      </c>
    </row>
    <row r="19" spans="1:19" ht="12.75">
      <c r="A19">
        <v>17</v>
      </c>
      <c r="B19" s="1" t="s">
        <v>43</v>
      </c>
      <c r="C19" s="21">
        <v>37412</v>
      </c>
      <c r="D19" s="22">
        <v>0.8784722222222222</v>
      </c>
      <c r="E19" s="4">
        <f t="shared" si="0"/>
        <v>8923</v>
      </c>
      <c r="F19" s="5">
        <v>4650</v>
      </c>
      <c r="G19" s="11">
        <f t="shared" si="1"/>
        <v>131.67405</v>
      </c>
      <c r="H19" s="5">
        <v>3.2</v>
      </c>
      <c r="I19" s="57">
        <v>5.9</v>
      </c>
      <c r="J19" s="57">
        <v>42.899765625</v>
      </c>
      <c r="K19" s="39">
        <v>0.6</v>
      </c>
      <c r="L19" s="11">
        <f t="shared" si="2"/>
        <v>421.35696</v>
      </c>
      <c r="M19" s="11">
        <f t="shared" si="3"/>
        <v>776.876895</v>
      </c>
      <c r="N19" s="11">
        <f t="shared" si="4"/>
        <v>5648.785883894531</v>
      </c>
      <c r="O19" s="11">
        <f t="shared" si="5"/>
        <v>79.00443</v>
      </c>
      <c r="P19" s="11">
        <f t="shared" si="6"/>
        <v>188.0105896990849</v>
      </c>
      <c r="Q19" s="11">
        <f t="shared" si="7"/>
        <v>494.55346003200003</v>
      </c>
      <c r="R19" s="11">
        <f t="shared" si="8"/>
        <v>3150.60850455318</v>
      </c>
      <c r="S19" s="11">
        <f t="shared" si="9"/>
        <v>47.855276927999995</v>
      </c>
    </row>
    <row r="20" spans="1:19" ht="12.75">
      <c r="A20">
        <v>18</v>
      </c>
      <c r="B20" s="1" t="s">
        <v>44</v>
      </c>
      <c r="C20" s="21">
        <v>37420</v>
      </c>
      <c r="D20" s="22">
        <v>0.7152777777777778</v>
      </c>
      <c r="E20" s="4">
        <f t="shared" si="0"/>
        <v>8931</v>
      </c>
      <c r="F20" s="5">
        <v>2100</v>
      </c>
      <c r="G20" s="11">
        <f t="shared" si="1"/>
        <v>59.4657</v>
      </c>
      <c r="H20" s="5">
        <f>735.7*(E20^-0.646)</f>
        <v>2.062620350418632</v>
      </c>
      <c r="I20" s="57">
        <v>11</v>
      </c>
      <c r="J20" s="57">
        <v>58.31190364583333</v>
      </c>
      <c r="K20" s="39">
        <v>1</v>
      </c>
      <c r="L20" s="11">
        <f t="shared" si="2"/>
        <v>122.65516297188923</v>
      </c>
      <c r="M20" s="11">
        <f t="shared" si="3"/>
        <v>654.1227</v>
      </c>
      <c r="N20" s="11">
        <f t="shared" si="4"/>
        <v>3467.558168632031</v>
      </c>
      <c r="O20" s="11">
        <f t="shared" si="5"/>
        <v>59.4657</v>
      </c>
      <c r="P20" s="11">
        <f t="shared" si="6"/>
        <v>127.3780924030104</v>
      </c>
      <c r="Q20" s="11">
        <f t="shared" si="7"/>
        <v>384.4845102464319</v>
      </c>
      <c r="R20" s="11">
        <f t="shared" si="8"/>
        <v>2118.74457315088</v>
      </c>
      <c r="S20" s="11">
        <f t="shared" si="9"/>
        <v>34.46593724360529</v>
      </c>
    </row>
    <row r="21" spans="1:19" ht="12.75">
      <c r="A21">
        <v>19</v>
      </c>
      <c r="B21" s="1"/>
      <c r="C21" s="21">
        <v>37427</v>
      </c>
      <c r="D21" s="22"/>
      <c r="E21" s="4">
        <f t="shared" si="0"/>
        <v>8938</v>
      </c>
      <c r="F21" s="5">
        <v>2310</v>
      </c>
      <c r="G21" s="11">
        <f t="shared" si="1"/>
        <v>65.41226999999999</v>
      </c>
      <c r="H21" s="5">
        <f>79.371*G21^-0.6831</f>
        <v>4.564414101011421</v>
      </c>
      <c r="I21" s="5">
        <f>115.46*G21^-0.599</f>
        <v>9.437385161295516</v>
      </c>
      <c r="J21" s="5">
        <f>155.8*G21^-0.253</f>
        <v>54.10104706864252</v>
      </c>
      <c r="K21" s="23">
        <f>6.4233*G21^-0.4885</f>
        <v>0.8333139974672557</v>
      </c>
      <c r="L21" s="11">
        <f t="shared" si="2"/>
        <v>298.5686875671663</v>
      </c>
      <c r="M21" s="11">
        <f t="shared" si="3"/>
        <v>617.3207862646558</v>
      </c>
      <c r="N21" s="11">
        <f t="shared" si="4"/>
        <v>3538.8722981367528</v>
      </c>
      <c r="O21" s="11">
        <f t="shared" si="5"/>
        <v>54.508960197107434</v>
      </c>
      <c r="P21" s="11">
        <f t="shared" si="6"/>
        <v>192.37817971601268</v>
      </c>
      <c r="Q21" s="11">
        <f t="shared" si="7"/>
        <v>385.977369461065</v>
      </c>
      <c r="R21" s="11">
        <f t="shared" si="8"/>
        <v>2103.0495081430167</v>
      </c>
      <c r="S21" s="11">
        <f t="shared" si="9"/>
        <v>33.224238788120324</v>
      </c>
    </row>
    <row r="22" spans="1:19" ht="12.75">
      <c r="A22">
        <v>20</v>
      </c>
      <c r="B22" s="1" t="s">
        <v>45</v>
      </c>
      <c r="C22" s="21">
        <v>37435</v>
      </c>
      <c r="D22" s="22">
        <v>0.3861111111111111</v>
      </c>
      <c r="E22" s="4">
        <f t="shared" si="0"/>
        <v>8946</v>
      </c>
      <c r="F22" s="5">
        <v>1470</v>
      </c>
      <c r="G22" s="11">
        <f t="shared" si="1"/>
        <v>41.625989999999994</v>
      </c>
      <c r="H22" s="5">
        <v>6.2</v>
      </c>
      <c r="I22" s="57">
        <v>12</v>
      </c>
      <c r="J22" s="57">
        <v>61.171888020833336</v>
      </c>
      <c r="K22" s="39">
        <v>1</v>
      </c>
      <c r="L22" s="11">
        <f t="shared" si="2"/>
        <v>258.08113799999995</v>
      </c>
      <c r="M22" s="11">
        <f t="shared" si="3"/>
        <v>499.5118799999999</v>
      </c>
      <c r="N22" s="11">
        <f t="shared" si="4"/>
        <v>2546.340399036328</v>
      </c>
      <c r="O22" s="11">
        <f t="shared" si="5"/>
        <v>41.625989999999994</v>
      </c>
      <c r="P22" s="11">
        <f t="shared" si="6"/>
        <v>121.29624554975999</v>
      </c>
      <c r="Q22" s="11">
        <f t="shared" si="7"/>
        <v>234.34406161919995</v>
      </c>
      <c r="R22" s="11">
        <f t="shared" si="8"/>
        <v>1083.8683353347017</v>
      </c>
      <c r="S22" s="11">
        <f t="shared" si="9"/>
        <v>19.31019142176</v>
      </c>
    </row>
    <row r="23" spans="1:19" ht="12.75">
      <c r="A23">
        <v>21</v>
      </c>
      <c r="B23" s="1" t="s">
        <v>46</v>
      </c>
      <c r="C23" s="21">
        <v>37441</v>
      </c>
      <c r="D23" s="22">
        <v>0.6527777777777778</v>
      </c>
      <c r="E23" s="4">
        <f t="shared" si="0"/>
        <v>8952</v>
      </c>
      <c r="F23" s="5">
        <v>893</v>
      </c>
      <c r="G23" s="11">
        <f t="shared" si="1"/>
        <v>25.287080999999997</v>
      </c>
      <c r="H23" s="5">
        <v>8.3</v>
      </c>
      <c r="I23" s="57">
        <v>16</v>
      </c>
      <c r="J23" s="57">
        <v>64.66742447916666</v>
      </c>
      <c r="K23" s="39">
        <v>1.3</v>
      </c>
      <c r="L23" s="11">
        <f t="shared" si="2"/>
        <v>209.8827723</v>
      </c>
      <c r="M23" s="11">
        <f t="shared" si="3"/>
        <v>404.59329599999995</v>
      </c>
      <c r="N23" s="11">
        <f t="shared" si="4"/>
        <v>1635.2504008660699</v>
      </c>
      <c r="O23" s="11">
        <f t="shared" si="5"/>
        <v>32.873205299999995</v>
      </c>
      <c r="P23" s="11">
        <f t="shared" si="6"/>
        <v>100.93573355616</v>
      </c>
      <c r="Q23" s="11">
        <f t="shared" si="7"/>
        <v>202.59223217279998</v>
      </c>
      <c r="R23" s="11">
        <f t="shared" si="8"/>
        <v>780.9732932594172</v>
      </c>
      <c r="S23" s="11">
        <f t="shared" si="9"/>
        <v>15.96619384992</v>
      </c>
    </row>
    <row r="24" spans="1:19" ht="12.75">
      <c r="A24">
        <v>22</v>
      </c>
      <c r="B24" s="1" t="s">
        <v>47</v>
      </c>
      <c r="C24" s="21">
        <v>37447</v>
      </c>
      <c r="D24" s="22">
        <v>0.7638888888888888</v>
      </c>
      <c r="E24" s="4">
        <f t="shared" si="0"/>
        <v>8958</v>
      </c>
      <c r="F24" s="5">
        <v>634</v>
      </c>
      <c r="G24" s="11">
        <f t="shared" si="1"/>
        <v>17.952977999999998</v>
      </c>
      <c r="H24" s="5">
        <v>10</v>
      </c>
      <c r="I24" s="57">
        <v>21</v>
      </c>
      <c r="J24" s="57">
        <v>76.7429140625</v>
      </c>
      <c r="K24" s="39">
        <v>1.6</v>
      </c>
      <c r="L24" s="11">
        <f t="shared" si="2"/>
        <v>179.52978</v>
      </c>
      <c r="M24" s="11">
        <f t="shared" si="3"/>
        <v>377.01253799999995</v>
      </c>
      <c r="N24" s="11">
        <f t="shared" si="4"/>
        <v>1377.763847819953</v>
      </c>
      <c r="O24" s="11">
        <f t="shared" si="5"/>
        <v>28.7247648</v>
      </c>
      <c r="P24" s="11">
        <f t="shared" si="6"/>
        <v>104.7776119488</v>
      </c>
      <c r="Q24" s="11">
        <f t="shared" si="7"/>
        <v>214.98420444479999</v>
      </c>
      <c r="R24" s="11">
        <f t="shared" si="8"/>
        <v>774.7045743836369</v>
      </c>
      <c r="S24" s="11">
        <f t="shared" si="9"/>
        <v>16.0300498176</v>
      </c>
    </row>
    <row r="25" spans="1:19" ht="12.75">
      <c r="A25">
        <v>23</v>
      </c>
      <c r="B25" s="1" t="s">
        <v>48</v>
      </c>
      <c r="C25" s="21">
        <v>37454</v>
      </c>
      <c r="D25" s="22">
        <v>0.8298611111111112</v>
      </c>
      <c r="E25" s="4">
        <f t="shared" si="0"/>
        <v>8965</v>
      </c>
      <c r="F25" s="5">
        <v>536</v>
      </c>
      <c r="G25" s="11">
        <f t="shared" si="1"/>
        <v>15.177912</v>
      </c>
      <c r="H25" s="5">
        <v>11</v>
      </c>
      <c r="I25" s="57">
        <v>22</v>
      </c>
      <c r="J25" s="57">
        <v>78.01401822916668</v>
      </c>
      <c r="K25" s="39">
        <v>1.6</v>
      </c>
      <c r="L25" s="11">
        <f t="shared" si="2"/>
        <v>166.957032</v>
      </c>
      <c r="M25" s="11">
        <f t="shared" si="3"/>
        <v>333.914064</v>
      </c>
      <c r="N25" s="11">
        <f t="shared" si="4"/>
        <v>1184.0899034486877</v>
      </c>
      <c r="O25" s="11">
        <f t="shared" si="5"/>
        <v>24.2846592</v>
      </c>
      <c r="P25" s="11">
        <f t="shared" si="6"/>
        <v>110.49773656320001</v>
      </c>
      <c r="Q25" s="11">
        <f t="shared" si="7"/>
        <v>225.05681053440003</v>
      </c>
      <c r="R25" s="11">
        <f t="shared" si="8"/>
        <v>748.0028485459538</v>
      </c>
      <c r="S25" s="11">
        <f t="shared" si="9"/>
        <v>15.703185553920001</v>
      </c>
    </row>
    <row r="26" spans="1:19" ht="12.75">
      <c r="A26">
        <v>24</v>
      </c>
      <c r="B26" s="1" t="s">
        <v>49</v>
      </c>
      <c r="C26" s="21">
        <v>37462</v>
      </c>
      <c r="D26" s="22">
        <v>0.625</v>
      </c>
      <c r="E26" s="4">
        <f t="shared" si="0"/>
        <v>8973</v>
      </c>
      <c r="F26" s="5">
        <v>415</v>
      </c>
      <c r="G26" s="11">
        <f t="shared" si="1"/>
        <v>11.751555</v>
      </c>
      <c r="H26" s="5">
        <v>13</v>
      </c>
      <c r="I26" s="57">
        <v>27</v>
      </c>
      <c r="J26" s="57">
        <v>83.4162109375</v>
      </c>
      <c r="K26" s="39">
        <v>1.8</v>
      </c>
      <c r="L26" s="11">
        <f t="shared" si="2"/>
        <v>152.770215</v>
      </c>
      <c r="M26" s="11">
        <f t="shared" si="3"/>
        <v>317.291985</v>
      </c>
      <c r="N26" s="11">
        <f t="shared" si="4"/>
        <v>980.2701907236327</v>
      </c>
      <c r="O26" s="11">
        <f t="shared" si="5"/>
        <v>21.152799</v>
      </c>
      <c r="P26" s="11">
        <f t="shared" si="6"/>
        <v>246.787412256</v>
      </c>
      <c r="Q26" s="11">
        <f t="shared" si="7"/>
        <v>510.48075312000003</v>
      </c>
      <c r="R26" s="11">
        <f t="shared" si="8"/>
        <v>1447.7801776641788</v>
      </c>
      <c r="S26" s="11">
        <f t="shared" si="9"/>
        <v>31.781188512</v>
      </c>
    </row>
    <row r="27" spans="1:19" ht="12.75">
      <c r="A27">
        <v>25</v>
      </c>
      <c r="B27" s="1" t="s">
        <v>50</v>
      </c>
      <c r="C27" s="21">
        <v>37482</v>
      </c>
      <c r="D27" s="22">
        <v>0.6666666666666666</v>
      </c>
      <c r="E27" s="4">
        <f t="shared" si="0"/>
        <v>8993</v>
      </c>
      <c r="F27" s="5">
        <v>276</v>
      </c>
      <c r="G27" s="11">
        <f t="shared" si="1"/>
        <v>7.815492</v>
      </c>
      <c r="H27" s="5">
        <v>17</v>
      </c>
      <c r="I27" s="57">
        <v>35</v>
      </c>
      <c r="J27" s="57">
        <v>88.97729166666667</v>
      </c>
      <c r="K27" s="39">
        <v>2</v>
      </c>
      <c r="L27" s="11">
        <f t="shared" si="2"/>
        <v>132.863364</v>
      </c>
      <c r="M27" s="11">
        <f t="shared" si="3"/>
        <v>273.54222</v>
      </c>
      <c r="N27" s="11">
        <f t="shared" si="4"/>
        <v>695.4013112025001</v>
      </c>
      <c r="O27" s="11">
        <f t="shared" si="5"/>
        <v>15.630984</v>
      </c>
      <c r="P27" s="11">
        <f t="shared" si="6"/>
        <v>173.750620104</v>
      </c>
      <c r="Q27" s="11">
        <f t="shared" si="7"/>
        <v>362.878050816</v>
      </c>
      <c r="R27" s="11">
        <f t="shared" si="8"/>
        <v>965.932181887594</v>
      </c>
      <c r="S27" s="11">
        <f t="shared" si="9"/>
        <v>19.925630834400003</v>
      </c>
    </row>
    <row r="28" spans="1:19" ht="12.75">
      <c r="A28">
        <v>26</v>
      </c>
      <c r="B28" s="1" t="s">
        <v>51</v>
      </c>
      <c r="C28" s="21">
        <v>37497</v>
      </c>
      <c r="D28" s="22">
        <v>0.625</v>
      </c>
      <c r="E28" s="4">
        <f t="shared" si="0"/>
        <v>9008</v>
      </c>
      <c r="F28" s="5">
        <v>281</v>
      </c>
      <c r="G28" s="11">
        <f t="shared" si="1"/>
        <v>7.957077</v>
      </c>
      <c r="H28" s="5">
        <v>17</v>
      </c>
      <c r="I28" s="57">
        <v>36</v>
      </c>
      <c r="J28" s="57">
        <v>99.94056510416667</v>
      </c>
      <c r="K28" s="39">
        <v>1.9</v>
      </c>
      <c r="L28" s="11">
        <f t="shared" si="2"/>
        <v>135.270309</v>
      </c>
      <c r="M28" s="11">
        <f t="shared" si="3"/>
        <v>286.454772</v>
      </c>
      <c r="N28" s="11">
        <f t="shared" si="4"/>
        <v>795.2347719573672</v>
      </c>
      <c r="O28" s="11">
        <f t="shared" si="5"/>
        <v>15.118446299999999</v>
      </c>
      <c r="P28" s="11">
        <f t="shared" si="6"/>
        <v>177.68351160000003</v>
      </c>
      <c r="Q28" s="11">
        <f t="shared" si="7"/>
        <v>349.01323208639997</v>
      </c>
      <c r="R28" s="11">
        <f t="shared" si="8"/>
        <v>974.3352428809158</v>
      </c>
      <c r="S28" s="11">
        <f t="shared" si="9"/>
        <v>20.3287063392</v>
      </c>
    </row>
    <row r="29" spans="1:19" ht="12.75">
      <c r="A29">
        <v>27</v>
      </c>
      <c r="B29" s="1" t="s">
        <v>52</v>
      </c>
      <c r="C29" s="21">
        <v>37511</v>
      </c>
      <c r="D29" s="22">
        <v>0.7326388888888888</v>
      </c>
      <c r="E29" s="4">
        <f t="shared" si="0"/>
        <v>9022</v>
      </c>
      <c r="F29" s="5">
        <v>311</v>
      </c>
      <c r="G29" s="11">
        <f t="shared" si="1"/>
        <v>8.806587</v>
      </c>
      <c r="H29" s="5">
        <v>18</v>
      </c>
      <c r="I29" s="57">
        <v>33</v>
      </c>
      <c r="J29" s="57">
        <v>92.63171614583334</v>
      </c>
      <c r="K29" s="39">
        <v>2.1</v>
      </c>
      <c r="L29" s="11">
        <f t="shared" si="2"/>
        <v>158.51856600000002</v>
      </c>
      <c r="M29" s="11">
        <f t="shared" si="3"/>
        <v>290.617371</v>
      </c>
      <c r="N29" s="11">
        <f t="shared" si="4"/>
        <v>815.769267197586</v>
      </c>
      <c r="O29" s="11">
        <f t="shared" si="5"/>
        <v>18.493832700000002</v>
      </c>
      <c r="P29" s="11">
        <f t="shared" si="6"/>
        <v>221.22789906240004</v>
      </c>
      <c r="Q29" s="11">
        <f t="shared" si="7"/>
        <v>407.3313460176</v>
      </c>
      <c r="R29" s="11">
        <f t="shared" si="8"/>
        <v>1127.8448015767854</v>
      </c>
      <c r="S29" s="11">
        <f t="shared" si="9"/>
        <v>24.58711647504</v>
      </c>
    </row>
    <row r="30" spans="1:19" ht="12.75">
      <c r="A30">
        <v>28</v>
      </c>
      <c r="B30" s="1" t="s">
        <v>53</v>
      </c>
      <c r="C30" s="21">
        <v>37528</v>
      </c>
      <c r="D30" s="22">
        <v>0.6041666666666666</v>
      </c>
      <c r="E30" s="4">
        <f t="shared" si="0"/>
        <v>9039</v>
      </c>
      <c r="F30" s="5">
        <v>252</v>
      </c>
      <c r="G30" s="11">
        <f t="shared" si="1"/>
        <v>7.135884</v>
      </c>
      <c r="H30" s="5">
        <v>20</v>
      </c>
      <c r="I30" s="57">
        <v>37</v>
      </c>
      <c r="J30" s="57">
        <v>100.89389322916666</v>
      </c>
      <c r="K30" s="39">
        <v>2.1</v>
      </c>
      <c r="L30" s="11">
        <f t="shared" si="2"/>
        <v>142.71768</v>
      </c>
      <c r="M30" s="11">
        <f t="shared" si="3"/>
        <v>264.027708</v>
      </c>
      <c r="N30" s="11">
        <f t="shared" si="4"/>
        <v>719.9671183917187</v>
      </c>
      <c r="O30" s="11">
        <f t="shared" si="5"/>
        <v>14.9853564</v>
      </c>
      <c r="P30" s="11">
        <f t="shared" si="6"/>
        <v>12.705849375543867</v>
      </c>
      <c r="Q30" s="11">
        <f t="shared" si="7"/>
        <v>22.698934605447874</v>
      </c>
      <c r="R30" s="11">
        <f t="shared" si="8"/>
        <v>61.945716967846096</v>
      </c>
      <c r="S30" s="11">
        <f t="shared" si="9"/>
        <v>1.4342825507720245</v>
      </c>
    </row>
    <row r="31" spans="1:16" ht="12.75">
      <c r="A31">
        <v>29</v>
      </c>
      <c r="B31" s="1"/>
      <c r="C31" s="21">
        <v>37529</v>
      </c>
      <c r="D31" s="22"/>
      <c r="E31" s="4">
        <f t="shared" si="0"/>
        <v>9040</v>
      </c>
      <c r="F31" s="5">
        <v>271</v>
      </c>
      <c r="G31" s="11">
        <f>F31*0.028317</f>
        <v>7.673907</v>
      </c>
      <c r="H31" s="5">
        <f>79.371*G31^-0.6831</f>
        <v>19.729090239580053</v>
      </c>
      <c r="I31" s="5">
        <f>115.46*G31^-0.599</f>
        <v>34.06486331565318</v>
      </c>
      <c r="J31" s="5">
        <f>155.8*G31^-0.253</f>
        <v>93.0375511617794</v>
      </c>
      <c r="K31" s="23">
        <f>6.4233*G31^-0.4885</f>
        <v>2.3737098418803666</v>
      </c>
      <c r="L31" s="11">
        <f t="shared" si="2"/>
        <v>151.39920369314504</v>
      </c>
      <c r="M31" s="11">
        <f t="shared" si="3"/>
        <v>261.41059305203413</v>
      </c>
      <c r="N31" s="11">
        <f t="shared" si="4"/>
        <v>713.9615151232371</v>
      </c>
      <c r="O31" s="11">
        <f t="shared" si="5"/>
        <v>18.215628571574637</v>
      </c>
      <c r="P31" s="11"/>
    </row>
    <row r="32" spans="2:16" ht="12.75">
      <c r="B32" s="1"/>
      <c r="C32" s="21"/>
      <c r="D32" s="22"/>
      <c r="E32" s="4"/>
      <c r="F32" s="5"/>
      <c r="G32" s="11"/>
      <c r="L32" s="11"/>
      <c r="M32" s="11"/>
      <c r="N32" s="11"/>
      <c r="O32" s="11"/>
      <c r="P32" s="11"/>
    </row>
    <row r="33" spans="2:19" ht="12.75">
      <c r="B33" s="35" t="s">
        <v>190</v>
      </c>
      <c r="E33" s="4"/>
      <c r="F33" s="24"/>
      <c r="G33" s="11"/>
      <c r="L33" s="11"/>
      <c r="M33" s="11"/>
      <c r="N33" s="11"/>
      <c r="O33" s="11"/>
      <c r="P33" s="11">
        <f>SUM(P3:P30)</f>
        <v>6193.368934177799</v>
      </c>
      <c r="Q33" s="11">
        <f>SUM(Q3:Q30)</f>
        <v>11381.289865750397</v>
      </c>
      <c r="R33" s="11">
        <f>SUM(R3:R30)</f>
        <v>45234.34267338378</v>
      </c>
      <c r="S33" s="11">
        <f>SUM(S3:S30)</f>
        <v>895.020082876477</v>
      </c>
    </row>
    <row r="34" spans="7:15" ht="12.75">
      <c r="G34" s="11"/>
      <c r="L34" s="11"/>
      <c r="M34" s="11"/>
      <c r="N34" s="11"/>
      <c r="O34" s="11"/>
    </row>
    <row r="35" spans="1:19" ht="12.75">
      <c r="A35">
        <v>1</v>
      </c>
      <c r="B35" s="1"/>
      <c r="C35" s="19">
        <v>37530</v>
      </c>
      <c r="D35" s="10">
        <v>0.0006944444444444445</v>
      </c>
      <c r="E35" s="4">
        <f>C35-28489</f>
        <v>9041</v>
      </c>
      <c r="F35" s="1">
        <v>264</v>
      </c>
      <c r="G35" s="7">
        <f aca="true" t="shared" si="10" ref="G35:G66">F35*0.028317</f>
        <v>7.475688</v>
      </c>
      <c r="H35" s="5">
        <f>79.371*G35^-0.6831</f>
        <v>20.08494928204285</v>
      </c>
      <c r="I35" s="5">
        <f>115.46*G35^-0.599</f>
        <v>34.60305983471478</v>
      </c>
      <c r="J35" s="5">
        <f>155.8*G35^-0.253</f>
        <v>93.65559081782773</v>
      </c>
      <c r="K35" s="23">
        <f>6.4233*G35^-0.4885</f>
        <v>2.404249922865928</v>
      </c>
      <c r="L35" s="11">
        <f>(H35*$G35)</f>
        <v>150.14881432837635</v>
      </c>
      <c r="M35" s="11">
        <f>(I35*$G35)</f>
        <v>258.6816791696592</v>
      </c>
      <c r="N35" s="11">
        <f>(J35*$G35)</f>
        <v>700.1399764097449</v>
      </c>
      <c r="O35" s="11">
        <f>(K35*$G35)</f>
        <v>17.973422297369744</v>
      </c>
      <c r="P35" s="7">
        <f>(((L35+L36)/2)*(($E36-$E35)*24*60*60))/1000000</f>
        <v>104.14078064468684</v>
      </c>
      <c r="Q35" s="7">
        <f>(((M35+M36)/2)*(($E36-$E35)*24*60*60))/1000000</f>
        <v>185.64919171303424</v>
      </c>
      <c r="R35" s="7">
        <f>(((N35+N36)/2)*(($E36-$E35)*24*60*60))/1000000</f>
        <v>509.37359040895865</v>
      </c>
      <c r="S35" s="7">
        <f>(((O35+O36)/2)*(($E36-$E35)*24*60*60))/1000000</f>
        <v>11.986542949490984</v>
      </c>
    </row>
    <row r="36" spans="1:19" ht="12.75">
      <c r="A36">
        <v>2</v>
      </c>
      <c r="B36" s="29" t="s">
        <v>286</v>
      </c>
      <c r="C36" s="59">
        <v>37538</v>
      </c>
      <c r="D36" s="22">
        <v>0.625</v>
      </c>
      <c r="E36" s="4">
        <f>C36-28489</f>
        <v>9049</v>
      </c>
      <c r="F36" s="29">
        <v>281</v>
      </c>
      <c r="G36" s="7">
        <f t="shared" si="10"/>
        <v>7.957077</v>
      </c>
      <c r="H36" s="57">
        <v>19</v>
      </c>
      <c r="I36" s="57">
        <v>35</v>
      </c>
      <c r="J36" s="89">
        <v>97.23946875</v>
      </c>
      <c r="K36" s="39">
        <v>2.1</v>
      </c>
      <c r="L36" s="11">
        <f aca="true" t="shared" si="11" ref="L36:L66">(H36*$G36)</f>
        <v>151.184463</v>
      </c>
      <c r="M36" s="11">
        <f aca="true" t="shared" si="12" ref="M36:M66">(I36*$G36)</f>
        <v>278.497695</v>
      </c>
      <c r="N36" s="11">
        <f aca="true" t="shared" si="13" ref="N36:N66">(J36*$G36)</f>
        <v>773.7419402828438</v>
      </c>
      <c r="O36" s="11">
        <f aca="true" t="shared" si="14" ref="O36:O66">(K36*$G36)</f>
        <v>16.7098617</v>
      </c>
      <c r="P36" s="7">
        <f aca="true" t="shared" si="15" ref="P36:P65">(((L36+L37)/2)*(($E37-$E36)*24*60*60))/1000000</f>
        <v>110.65798812959999</v>
      </c>
      <c r="Q36" s="7">
        <f aca="true" t="shared" si="16" ref="Q36:Q65">(((M36+M37)/2)*(($E37-$E36)*24*60*60))/1000000</f>
        <v>195.6524830416</v>
      </c>
      <c r="R36" s="7">
        <f aca="true" t="shared" si="17" ref="R36:R65">(((N36+N37)/2)*(($E37-$E36)*24*60*60))/1000000</f>
        <v>553.751865061817</v>
      </c>
      <c r="S36" s="7">
        <f aca="true" t="shared" si="18" ref="S36:S65">(((O36+O37)/2)*(($E37-$E36)*24*60*60))/1000000</f>
        <v>12.776698360800001</v>
      </c>
    </row>
    <row r="37" spans="1:19" ht="12.75">
      <c r="A37">
        <v>3</v>
      </c>
      <c r="B37" s="29" t="s">
        <v>287</v>
      </c>
      <c r="C37" s="59">
        <v>37547</v>
      </c>
      <c r="D37" s="22">
        <v>0.6875</v>
      </c>
      <c r="E37" s="4">
        <f>C37-28489</f>
        <v>9058</v>
      </c>
      <c r="F37" s="29">
        <v>248</v>
      </c>
      <c r="G37" s="7">
        <f t="shared" si="10"/>
        <v>7.022615999999999</v>
      </c>
      <c r="H37" s="57">
        <v>19</v>
      </c>
      <c r="I37" s="57">
        <v>32</v>
      </c>
      <c r="J37" s="89">
        <v>92.63171614583334</v>
      </c>
      <c r="K37" s="39">
        <v>2.3</v>
      </c>
      <c r="L37" s="11">
        <f t="shared" si="11"/>
        <v>133.429704</v>
      </c>
      <c r="M37" s="11">
        <f t="shared" si="12"/>
        <v>224.72371199999998</v>
      </c>
      <c r="N37" s="11">
        <f t="shared" si="13"/>
        <v>650.5169719131875</v>
      </c>
      <c r="O37" s="11">
        <f t="shared" si="14"/>
        <v>16.1520168</v>
      </c>
      <c r="P37" s="7">
        <f t="shared" si="15"/>
        <v>84.1920137856</v>
      </c>
      <c r="Q37" s="7">
        <f t="shared" si="16"/>
        <v>142.489331712</v>
      </c>
      <c r="R37" s="7">
        <f t="shared" si="17"/>
        <v>403.2614062759527</v>
      </c>
      <c r="S37" s="7">
        <f t="shared" si="18"/>
        <v>9.926300079359999</v>
      </c>
    </row>
    <row r="38" spans="1:19" ht="12.75">
      <c r="A38">
        <v>4</v>
      </c>
      <c r="B38" s="29" t="s">
        <v>288</v>
      </c>
      <c r="C38" s="59">
        <v>37554</v>
      </c>
      <c r="D38" s="22">
        <v>0.5972222222222222</v>
      </c>
      <c r="E38" s="4">
        <f aca="true" t="shared" si="19" ref="E38:E66">C38-28489</f>
        <v>9065</v>
      </c>
      <c r="F38" s="29">
        <v>256</v>
      </c>
      <c r="G38" s="7">
        <f t="shared" si="10"/>
        <v>7.249152</v>
      </c>
      <c r="H38" s="57">
        <v>20</v>
      </c>
      <c r="I38" s="57">
        <v>34</v>
      </c>
      <c r="J38" s="5">
        <v>94.22059635416666</v>
      </c>
      <c r="K38" s="39">
        <v>2.3</v>
      </c>
      <c r="L38" s="11">
        <f t="shared" si="11"/>
        <v>144.98304</v>
      </c>
      <c r="M38" s="11">
        <f t="shared" si="12"/>
        <v>246.47116799999998</v>
      </c>
      <c r="N38" s="11">
        <f t="shared" si="13"/>
        <v>683.0194245019999</v>
      </c>
      <c r="O38" s="11">
        <f t="shared" si="14"/>
        <v>16.6730496</v>
      </c>
      <c r="P38" s="7">
        <f t="shared" si="15"/>
        <v>269.51720958590244</v>
      </c>
      <c r="Q38" s="7">
        <f t="shared" si="16"/>
        <v>462.14783485248654</v>
      </c>
      <c r="R38" s="7">
        <f t="shared" si="17"/>
        <v>1274.469350812158</v>
      </c>
      <c r="S38" s="7">
        <f t="shared" si="18"/>
        <v>31.775324661134675</v>
      </c>
    </row>
    <row r="39" spans="1:19" ht="12.75">
      <c r="A39">
        <v>5</v>
      </c>
      <c r="B39" s="29"/>
      <c r="C39" s="59">
        <v>37575</v>
      </c>
      <c r="D39" s="22"/>
      <c r="E39" s="4">
        <f t="shared" si="19"/>
        <v>9086</v>
      </c>
      <c r="F39" s="82">
        <v>275</v>
      </c>
      <c r="G39" s="7">
        <f t="shared" si="10"/>
        <v>7.7871749999999995</v>
      </c>
      <c r="H39" s="5">
        <f>79.371*G39^-0.6831</f>
        <v>19.532607298110673</v>
      </c>
      <c r="I39" s="5">
        <f>115.46*G39^-0.599</f>
        <v>33.767193950072446</v>
      </c>
      <c r="J39" s="5">
        <f>155.8*G39^-0.253</f>
        <v>92.69329701190333</v>
      </c>
      <c r="K39" s="23">
        <f>6.4233*G39^-0.4885</f>
        <v>2.3567803478549267</v>
      </c>
      <c r="L39" s="11">
        <f t="shared" si="11"/>
        <v>152.10383123666497</v>
      </c>
      <c r="M39" s="11">
        <f t="shared" si="12"/>
        <v>262.95104854815537</v>
      </c>
      <c r="N39" s="11">
        <f t="shared" si="13"/>
        <v>721.8189251586682</v>
      </c>
      <c r="O39" s="11">
        <f t="shared" si="14"/>
        <v>18.352661005307187</v>
      </c>
      <c r="P39" s="7">
        <f t="shared" si="15"/>
        <v>449.83831159756556</v>
      </c>
      <c r="Q39" s="7">
        <f t="shared" si="16"/>
        <v>734.8369912217701</v>
      </c>
      <c r="R39" s="7">
        <f t="shared" si="17"/>
        <v>2073.173060270227</v>
      </c>
      <c r="S39" s="7">
        <f t="shared" si="18"/>
        <v>55.31696548573665</v>
      </c>
    </row>
    <row r="40" spans="1:19" ht="12.75">
      <c r="A40">
        <v>6</v>
      </c>
      <c r="B40" s="29" t="s">
        <v>289</v>
      </c>
      <c r="C40" s="59">
        <v>37607</v>
      </c>
      <c r="D40" s="22">
        <v>0.5659722222222222</v>
      </c>
      <c r="E40" s="4">
        <f t="shared" si="19"/>
        <v>9118</v>
      </c>
      <c r="F40" s="29">
        <v>306</v>
      </c>
      <c r="G40" s="7">
        <f t="shared" si="10"/>
        <v>8.665002</v>
      </c>
      <c r="H40" s="57">
        <v>20</v>
      </c>
      <c r="I40" s="57">
        <v>31</v>
      </c>
      <c r="J40" s="89">
        <v>89.77173177083334</v>
      </c>
      <c r="K40" s="39">
        <v>2.5</v>
      </c>
      <c r="L40" s="11">
        <f t="shared" si="11"/>
        <v>173.30004</v>
      </c>
      <c r="M40" s="11">
        <f t="shared" si="12"/>
        <v>268.61506199999997</v>
      </c>
      <c r="N40" s="11">
        <f t="shared" si="13"/>
        <v>777.8722353377344</v>
      </c>
      <c r="O40" s="11">
        <f t="shared" si="14"/>
        <v>21.662505</v>
      </c>
      <c r="P40" s="7">
        <f t="shared" si="15"/>
        <v>452.86358688</v>
      </c>
      <c r="Q40" s="7">
        <f t="shared" si="16"/>
        <v>690.525222912</v>
      </c>
      <c r="R40" s="7">
        <f t="shared" si="17"/>
        <v>2000.0754577311088</v>
      </c>
      <c r="S40" s="7">
        <f t="shared" si="18"/>
        <v>56.60794836</v>
      </c>
    </row>
    <row r="41" spans="1:19" ht="12.75">
      <c r="A41">
        <v>7</v>
      </c>
      <c r="B41" s="29" t="s">
        <v>290</v>
      </c>
      <c r="C41" s="59">
        <v>37637</v>
      </c>
      <c r="D41" s="22">
        <v>0.625</v>
      </c>
      <c r="E41" s="4">
        <f t="shared" si="19"/>
        <v>9148</v>
      </c>
      <c r="F41" s="29">
        <v>311</v>
      </c>
      <c r="G41" s="7">
        <f t="shared" si="10"/>
        <v>8.806587</v>
      </c>
      <c r="H41" s="57">
        <v>20</v>
      </c>
      <c r="I41" s="57">
        <v>30</v>
      </c>
      <c r="J41" s="5">
        <v>86.91174739583333</v>
      </c>
      <c r="K41" s="39">
        <v>2.5</v>
      </c>
      <c r="L41" s="11">
        <f t="shared" si="11"/>
        <v>176.13174</v>
      </c>
      <c r="M41" s="11">
        <f t="shared" si="12"/>
        <v>264.19761</v>
      </c>
      <c r="N41" s="11">
        <f t="shared" si="13"/>
        <v>765.3958647634297</v>
      </c>
      <c r="O41" s="11">
        <f t="shared" si="14"/>
        <v>22.0164675</v>
      </c>
      <c r="P41" s="7">
        <f t="shared" si="15"/>
        <v>447.33429619199995</v>
      </c>
      <c r="Q41" s="7">
        <f t="shared" si="16"/>
        <v>671.001444288</v>
      </c>
      <c r="R41" s="7">
        <f t="shared" si="17"/>
        <v>1908.566389796387</v>
      </c>
      <c r="S41" s="7">
        <f t="shared" si="18"/>
        <v>55.916787023999994</v>
      </c>
    </row>
    <row r="42" spans="1:19" ht="12.75">
      <c r="A42">
        <v>8</v>
      </c>
      <c r="B42" s="29" t="s">
        <v>291</v>
      </c>
      <c r="C42" s="59">
        <v>37665</v>
      </c>
      <c r="D42" s="22">
        <v>0.6875</v>
      </c>
      <c r="E42" s="4">
        <f t="shared" si="19"/>
        <v>9176</v>
      </c>
      <c r="F42" s="29">
        <v>342</v>
      </c>
      <c r="G42" s="7">
        <f t="shared" si="10"/>
        <v>9.684414</v>
      </c>
      <c r="H42" s="57">
        <v>20</v>
      </c>
      <c r="I42" s="57">
        <v>30</v>
      </c>
      <c r="J42" s="5">
        <v>83.89287500000002</v>
      </c>
      <c r="K42" s="39">
        <v>2.5</v>
      </c>
      <c r="L42" s="11">
        <f t="shared" si="11"/>
        <v>193.68828000000002</v>
      </c>
      <c r="M42" s="11">
        <f t="shared" si="12"/>
        <v>290.53242</v>
      </c>
      <c r="N42" s="11">
        <f t="shared" si="13"/>
        <v>812.4533331502502</v>
      </c>
      <c r="O42" s="11">
        <f t="shared" si="14"/>
        <v>24.211035000000003</v>
      </c>
      <c r="P42" s="7">
        <f t="shared" si="15"/>
        <v>343.38167398656</v>
      </c>
      <c r="Q42" s="7">
        <f t="shared" si="16"/>
        <v>511.8214837824</v>
      </c>
      <c r="R42" s="7">
        <f t="shared" si="17"/>
        <v>1448.8352007963176</v>
      </c>
      <c r="S42" s="7">
        <f t="shared" si="18"/>
        <v>44.548222847039995</v>
      </c>
    </row>
    <row r="43" spans="1:19" ht="12.75">
      <c r="A43">
        <v>9</v>
      </c>
      <c r="B43" s="1" t="s">
        <v>292</v>
      </c>
      <c r="C43" s="21">
        <v>37687</v>
      </c>
      <c r="D43" s="10">
        <v>0.5</v>
      </c>
      <c r="E43" s="4">
        <f t="shared" si="19"/>
        <v>9198</v>
      </c>
      <c r="F43" s="1">
        <v>302</v>
      </c>
      <c r="G43" s="7">
        <f t="shared" si="10"/>
        <v>8.551734</v>
      </c>
      <c r="H43" s="5">
        <v>19.6</v>
      </c>
      <c r="I43" s="5">
        <v>29</v>
      </c>
      <c r="J43" s="5">
        <v>83.25732291666667</v>
      </c>
      <c r="K43" s="23">
        <v>2.65</v>
      </c>
      <c r="L43" s="11">
        <f t="shared" si="11"/>
        <v>167.61398640000002</v>
      </c>
      <c r="M43" s="11">
        <f t="shared" si="12"/>
        <v>248.000286</v>
      </c>
      <c r="N43" s="11">
        <f t="shared" si="13"/>
        <v>711.9944791354375</v>
      </c>
      <c r="O43" s="11">
        <f t="shared" si="14"/>
        <v>22.6620951</v>
      </c>
      <c r="P43" s="7">
        <f t="shared" si="15"/>
        <v>208.58931063936</v>
      </c>
      <c r="Q43" s="7">
        <f t="shared" si="16"/>
        <v>314.80722941472</v>
      </c>
      <c r="R43" s="7">
        <f t="shared" si="17"/>
        <v>903.6183718027524</v>
      </c>
      <c r="S43" s="7">
        <f t="shared" si="18"/>
        <v>27.507291469055996</v>
      </c>
    </row>
    <row r="44" spans="1:19" ht="12.75">
      <c r="A44">
        <v>10</v>
      </c>
      <c r="B44" s="1" t="s">
        <v>293</v>
      </c>
      <c r="C44" s="21">
        <v>37701</v>
      </c>
      <c r="D44" s="10">
        <v>0.5</v>
      </c>
      <c r="E44" s="4">
        <f t="shared" si="19"/>
        <v>9212</v>
      </c>
      <c r="F44" s="1">
        <v>333</v>
      </c>
      <c r="G44" s="7">
        <f t="shared" si="10"/>
        <v>9.429561</v>
      </c>
      <c r="H44" s="5">
        <v>18.8</v>
      </c>
      <c r="I44" s="5">
        <v>28.9</v>
      </c>
      <c r="J44" s="5">
        <v>82.93954687499999</v>
      </c>
      <c r="K44" s="23">
        <v>2.42</v>
      </c>
      <c r="L44" s="11">
        <f t="shared" si="11"/>
        <v>177.2757468</v>
      </c>
      <c r="M44" s="11">
        <f t="shared" si="12"/>
        <v>272.5143129</v>
      </c>
      <c r="N44" s="11">
        <f t="shared" si="13"/>
        <v>782.0835165701718</v>
      </c>
      <c r="O44" s="11">
        <f t="shared" si="14"/>
        <v>22.81953762</v>
      </c>
      <c r="P44" s="7">
        <f t="shared" si="15"/>
        <v>294.15361608288003</v>
      </c>
      <c r="Q44" s="7">
        <f t="shared" si="16"/>
        <v>448.63551444527997</v>
      </c>
      <c r="R44" s="7">
        <f t="shared" si="17"/>
        <v>1404.783514592528</v>
      </c>
      <c r="S44" s="7">
        <f t="shared" si="18"/>
        <v>38.523204336384</v>
      </c>
    </row>
    <row r="45" spans="1:19" ht="12.75">
      <c r="A45">
        <v>11</v>
      </c>
      <c r="B45" s="1" t="s">
        <v>294</v>
      </c>
      <c r="C45" s="21">
        <v>37720</v>
      </c>
      <c r="D45" s="10">
        <v>0.5</v>
      </c>
      <c r="E45" s="4">
        <f t="shared" si="19"/>
        <v>9231</v>
      </c>
      <c r="F45" s="1">
        <v>342</v>
      </c>
      <c r="G45" s="7">
        <f t="shared" si="10"/>
        <v>9.684414</v>
      </c>
      <c r="H45" s="5">
        <v>18.7</v>
      </c>
      <c r="I45" s="5">
        <v>28.3</v>
      </c>
      <c r="J45" s="5">
        <v>95.96836458333333</v>
      </c>
      <c r="K45" s="23">
        <v>2.49</v>
      </c>
      <c r="L45" s="11">
        <f t="shared" si="11"/>
        <v>181.0985418</v>
      </c>
      <c r="M45" s="11">
        <f t="shared" si="12"/>
        <v>274.0689162</v>
      </c>
      <c r="N45" s="11">
        <f t="shared" si="13"/>
        <v>929.3973735279375</v>
      </c>
      <c r="O45" s="11">
        <f t="shared" si="14"/>
        <v>24.114190860000004</v>
      </c>
      <c r="P45" s="7">
        <f t="shared" si="15"/>
        <v>264.51563935968</v>
      </c>
      <c r="Q45" s="7">
        <f t="shared" si="16"/>
        <v>471.5763213167999</v>
      </c>
      <c r="R45" s="7">
        <f t="shared" si="17"/>
        <v>1818.3638556667934</v>
      </c>
      <c r="S45" s="7">
        <f t="shared" si="18"/>
        <v>35.10867160944001</v>
      </c>
    </row>
    <row r="46" spans="1:19" ht="12.75">
      <c r="A46">
        <v>12</v>
      </c>
      <c r="B46" s="1" t="s">
        <v>295</v>
      </c>
      <c r="C46" s="21">
        <v>37735</v>
      </c>
      <c r="D46" s="10">
        <v>0.5</v>
      </c>
      <c r="E46" s="4">
        <f t="shared" si="19"/>
        <v>9246</v>
      </c>
      <c r="F46" s="1">
        <v>948</v>
      </c>
      <c r="G46" s="7">
        <f t="shared" si="10"/>
        <v>26.844516</v>
      </c>
      <c r="H46" s="5">
        <v>8.46</v>
      </c>
      <c r="I46" s="5">
        <v>16.9</v>
      </c>
      <c r="J46" s="5">
        <v>69.91072916666667</v>
      </c>
      <c r="K46" s="23">
        <v>1.12</v>
      </c>
      <c r="L46" s="11">
        <f t="shared" si="11"/>
        <v>227.10460536000002</v>
      </c>
      <c r="M46" s="11">
        <f t="shared" si="12"/>
        <v>453.67232039999993</v>
      </c>
      <c r="N46" s="11">
        <f t="shared" si="13"/>
        <v>1876.71968768625</v>
      </c>
      <c r="O46" s="11">
        <f t="shared" si="14"/>
        <v>30.065857920000003</v>
      </c>
      <c r="P46" s="7">
        <f t="shared" si="15"/>
        <v>148.70150823433332</v>
      </c>
      <c r="Q46" s="7">
        <f t="shared" si="16"/>
        <v>297.4363101210633</v>
      </c>
      <c r="R46" s="7">
        <f t="shared" si="17"/>
        <v>1372.7667451300842</v>
      </c>
      <c r="S46" s="7">
        <f t="shared" si="18"/>
        <v>22.658555130520895</v>
      </c>
    </row>
    <row r="47" spans="1:19" ht="12.75">
      <c r="A47">
        <v>13</v>
      </c>
      <c r="B47" s="1"/>
      <c r="C47" s="21">
        <v>37742</v>
      </c>
      <c r="D47" s="10"/>
      <c r="E47" s="4">
        <f t="shared" si="19"/>
        <v>9253</v>
      </c>
      <c r="F47" s="5">
        <f>G47/0.028317</f>
        <v>1578.5570505350145</v>
      </c>
      <c r="G47" s="7">
        <v>44.7</v>
      </c>
      <c r="H47" s="5">
        <f>79.371*G47^-0.6831</f>
        <v>5.920205512756214</v>
      </c>
      <c r="I47" s="5">
        <f>115.46*G47^-0.599</f>
        <v>11.854885038417734</v>
      </c>
      <c r="J47" s="5">
        <f>155.8*G47^-0.253</f>
        <v>59.57165284537736</v>
      </c>
      <c r="K47" s="23">
        <f>6.4233*G47^-0.4885</f>
        <v>1.0036515996940876</v>
      </c>
      <c r="L47" s="11">
        <f t="shared" si="11"/>
        <v>264.6331864202028</v>
      </c>
      <c r="M47" s="11">
        <f t="shared" si="12"/>
        <v>529.9133612172727</v>
      </c>
      <c r="N47" s="11">
        <f t="shared" si="13"/>
        <v>2662.852882188368</v>
      </c>
      <c r="O47" s="11">
        <f t="shared" si="14"/>
        <v>44.86322650632572</v>
      </c>
      <c r="P47" s="7">
        <f t="shared" si="15"/>
        <v>179.89064935610207</v>
      </c>
      <c r="Q47" s="7">
        <f t="shared" si="16"/>
        <v>356.8262897262894</v>
      </c>
      <c r="R47" s="7">
        <f t="shared" si="17"/>
        <v>1764.4248565639316</v>
      </c>
      <c r="S47" s="7">
        <f t="shared" si="18"/>
        <v>29.46790267994617</v>
      </c>
    </row>
    <row r="48" spans="1:19" ht="12.75">
      <c r="A48">
        <v>14</v>
      </c>
      <c r="B48" s="1" t="s">
        <v>296</v>
      </c>
      <c r="C48" s="21">
        <v>37750</v>
      </c>
      <c r="D48" s="10">
        <v>0.5</v>
      </c>
      <c r="E48" s="4">
        <f t="shared" si="19"/>
        <v>9261</v>
      </c>
      <c r="F48" s="1">
        <v>1160</v>
      </c>
      <c r="G48" s="7">
        <f t="shared" si="10"/>
        <v>32.847719999999995</v>
      </c>
      <c r="H48" s="5">
        <v>7.79</v>
      </c>
      <c r="I48" s="5">
        <v>15.3</v>
      </c>
      <c r="J48" s="5">
        <v>74.35959375</v>
      </c>
      <c r="K48" s="23">
        <v>1.23</v>
      </c>
      <c r="L48" s="11">
        <f t="shared" si="11"/>
        <v>255.88373879999997</v>
      </c>
      <c r="M48" s="11">
        <f t="shared" si="12"/>
        <v>502.5701159999999</v>
      </c>
      <c r="N48" s="11">
        <f t="shared" si="13"/>
        <v>2442.5431148137495</v>
      </c>
      <c r="O48" s="11">
        <f t="shared" si="14"/>
        <v>40.402695599999994</v>
      </c>
      <c r="P48" s="7">
        <f t="shared" si="15"/>
        <v>130.97959936128</v>
      </c>
      <c r="Q48" s="7">
        <f t="shared" si="16"/>
        <v>292.43537676863997</v>
      </c>
      <c r="R48" s="7">
        <f t="shared" si="17"/>
        <v>1728.123225639282</v>
      </c>
      <c r="S48" s="7">
        <f t="shared" si="18"/>
        <v>23.61643236864</v>
      </c>
    </row>
    <row r="49" spans="1:19" ht="12.75">
      <c r="A49">
        <v>15</v>
      </c>
      <c r="B49" s="1" t="s">
        <v>297</v>
      </c>
      <c r="C49" s="21">
        <v>37756</v>
      </c>
      <c r="D49" s="10">
        <v>0.5</v>
      </c>
      <c r="E49" s="4">
        <f t="shared" si="19"/>
        <v>9267</v>
      </c>
      <c r="F49" s="1">
        <v>2420</v>
      </c>
      <c r="G49" s="7">
        <f t="shared" si="10"/>
        <v>68.52714</v>
      </c>
      <c r="H49" s="5">
        <v>3.64</v>
      </c>
      <c r="I49" s="5">
        <v>9.13</v>
      </c>
      <c r="J49" s="5">
        <v>61.648552083333335</v>
      </c>
      <c r="K49" s="23">
        <v>0.74</v>
      </c>
      <c r="L49" s="11">
        <f t="shared" si="11"/>
        <v>249.4387896</v>
      </c>
      <c r="M49" s="11">
        <f t="shared" si="12"/>
        <v>625.6527882</v>
      </c>
      <c r="N49" s="11">
        <f t="shared" si="13"/>
        <v>4224.5989594118755</v>
      </c>
      <c r="O49" s="11">
        <f t="shared" si="14"/>
        <v>50.710083600000004</v>
      </c>
      <c r="P49" s="7">
        <f t="shared" si="15"/>
        <v>149.26369144032</v>
      </c>
      <c r="Q49" s="7">
        <f t="shared" si="16"/>
        <v>327.88644848064</v>
      </c>
      <c r="R49" s="7">
        <f t="shared" si="17"/>
        <v>2133.4013821029775</v>
      </c>
      <c r="S49" s="7">
        <f t="shared" si="18"/>
        <v>29.28786986592</v>
      </c>
    </row>
    <row r="50" spans="1:19" ht="12.75">
      <c r="A50">
        <v>16</v>
      </c>
      <c r="B50" s="1" t="s">
        <v>298</v>
      </c>
      <c r="C50" s="21">
        <v>37762</v>
      </c>
      <c r="D50" s="10">
        <v>0.5</v>
      </c>
      <c r="E50" s="4">
        <f t="shared" si="19"/>
        <v>9273</v>
      </c>
      <c r="F50" s="1">
        <v>2650</v>
      </c>
      <c r="G50" s="7">
        <f t="shared" si="10"/>
        <v>75.04005</v>
      </c>
      <c r="H50" s="5">
        <v>4.35</v>
      </c>
      <c r="I50" s="5">
        <v>8.52</v>
      </c>
      <c r="J50" s="5">
        <v>53.386374999999994</v>
      </c>
      <c r="K50" s="23">
        <v>0.83</v>
      </c>
      <c r="L50" s="11">
        <f t="shared" si="11"/>
        <v>326.42421749999994</v>
      </c>
      <c r="M50" s="11">
        <f t="shared" si="12"/>
        <v>639.3412259999999</v>
      </c>
      <c r="N50" s="11">
        <f t="shared" si="13"/>
        <v>4006.1162493187494</v>
      </c>
      <c r="O50" s="11">
        <f t="shared" si="14"/>
        <v>62.28324149999999</v>
      </c>
      <c r="P50" s="7">
        <f t="shared" si="15"/>
        <v>233.69816217599998</v>
      </c>
      <c r="Q50" s="7">
        <f t="shared" si="16"/>
        <v>528.27528278016</v>
      </c>
      <c r="R50" s="7">
        <f t="shared" si="17"/>
        <v>4082.076532668636</v>
      </c>
      <c r="S50" s="7">
        <f t="shared" si="18"/>
        <v>53.22407139072</v>
      </c>
    </row>
    <row r="51" spans="1:19" ht="12.75">
      <c r="A51">
        <v>17</v>
      </c>
      <c r="B51" s="1" t="s">
        <v>299</v>
      </c>
      <c r="C51" s="21">
        <v>37770</v>
      </c>
      <c r="D51" s="10">
        <v>0.5</v>
      </c>
      <c r="E51" s="4">
        <f t="shared" si="19"/>
        <v>9281</v>
      </c>
      <c r="F51" s="1">
        <v>5490</v>
      </c>
      <c r="G51" s="7">
        <f t="shared" si="10"/>
        <v>155.46033</v>
      </c>
      <c r="H51" s="5">
        <v>2.25</v>
      </c>
      <c r="I51" s="5">
        <v>5.72</v>
      </c>
      <c r="J51" s="5">
        <v>50.208614583333336</v>
      </c>
      <c r="K51" s="23">
        <v>0.59</v>
      </c>
      <c r="L51" s="11">
        <f t="shared" si="11"/>
        <v>349.78574249999997</v>
      </c>
      <c r="M51" s="11">
        <f t="shared" si="12"/>
        <v>889.2330876</v>
      </c>
      <c r="N51" s="11">
        <f t="shared" si="13"/>
        <v>7805.447791967813</v>
      </c>
      <c r="O51" s="11">
        <f t="shared" si="14"/>
        <v>91.7215947</v>
      </c>
      <c r="P51" s="7">
        <f t="shared" si="15"/>
        <v>183.56168585087997</v>
      </c>
      <c r="Q51" s="7">
        <f t="shared" si="16"/>
        <v>431.89240632191996</v>
      </c>
      <c r="R51" s="7">
        <f t="shared" si="17"/>
        <v>3367.195346226861</v>
      </c>
      <c r="S51" s="7">
        <f t="shared" si="18"/>
        <v>43.159294385280006</v>
      </c>
    </row>
    <row r="52" spans="1:19" ht="12.75">
      <c r="A52">
        <v>18</v>
      </c>
      <c r="B52" s="1" t="s">
        <v>300</v>
      </c>
      <c r="C52" s="21">
        <v>37776</v>
      </c>
      <c r="D52" s="10">
        <v>0.5</v>
      </c>
      <c r="E52" s="4">
        <f t="shared" si="19"/>
        <v>9287</v>
      </c>
      <c r="F52" s="1">
        <v>3430</v>
      </c>
      <c r="G52" s="7">
        <f t="shared" si="10"/>
        <v>97.12731</v>
      </c>
      <c r="H52" s="5">
        <v>3.69</v>
      </c>
      <c r="I52" s="5">
        <v>8</v>
      </c>
      <c r="J52" s="5">
        <v>53.386374999999994</v>
      </c>
      <c r="K52" s="23">
        <v>0.77</v>
      </c>
      <c r="L52" s="11">
        <f t="shared" si="11"/>
        <v>358.39977389999996</v>
      </c>
      <c r="M52" s="11">
        <f t="shared" si="12"/>
        <v>777.01848</v>
      </c>
      <c r="N52" s="11">
        <f t="shared" si="13"/>
        <v>5185.274994401249</v>
      </c>
      <c r="O52" s="11">
        <f t="shared" si="14"/>
        <v>74.7880287</v>
      </c>
      <c r="P52" s="7">
        <f t="shared" si="15"/>
        <v>192.96086837327996</v>
      </c>
      <c r="Q52" s="7">
        <f t="shared" si="16"/>
        <v>405.02935061567996</v>
      </c>
      <c r="R52" s="7">
        <f t="shared" si="17"/>
        <v>2623.1746852142996</v>
      </c>
      <c r="S52" s="7">
        <f t="shared" si="18"/>
        <v>38.769257772</v>
      </c>
    </row>
    <row r="53" spans="1:19" ht="12.75">
      <c r="A53">
        <v>19</v>
      </c>
      <c r="B53" s="1" t="s">
        <v>301</v>
      </c>
      <c r="C53" s="21">
        <v>37783</v>
      </c>
      <c r="D53" s="10">
        <v>0.5</v>
      </c>
      <c r="E53" s="4">
        <f t="shared" si="19"/>
        <v>9294</v>
      </c>
      <c r="F53" s="1">
        <v>2620</v>
      </c>
      <c r="G53" s="7">
        <f t="shared" si="10"/>
        <v>74.19054</v>
      </c>
      <c r="H53" s="5">
        <v>3.77</v>
      </c>
      <c r="I53" s="5">
        <v>7.58</v>
      </c>
      <c r="J53" s="5">
        <v>47.03085416666667</v>
      </c>
      <c r="K53" s="23">
        <v>0.72</v>
      </c>
      <c r="L53" s="11">
        <f t="shared" si="11"/>
        <v>279.6983358</v>
      </c>
      <c r="M53" s="11">
        <f t="shared" si="12"/>
        <v>562.3642932</v>
      </c>
      <c r="N53" s="11">
        <f t="shared" si="13"/>
        <v>3489.2444672862503</v>
      </c>
      <c r="O53" s="11">
        <f t="shared" si="14"/>
        <v>53.4171888</v>
      </c>
      <c r="P53" s="7">
        <f t="shared" si="15"/>
        <v>168.87660098268205</v>
      </c>
      <c r="Q53" s="7">
        <f t="shared" si="16"/>
        <v>341.20189670307093</v>
      </c>
      <c r="R53" s="7">
        <f t="shared" si="17"/>
        <v>1965.3849740093876</v>
      </c>
      <c r="S53" s="7">
        <f t="shared" si="18"/>
        <v>30.907638118144803</v>
      </c>
    </row>
    <row r="54" spans="1:19" ht="12.75">
      <c r="A54">
        <v>20</v>
      </c>
      <c r="B54" s="1"/>
      <c r="C54" s="21">
        <v>37790</v>
      </c>
      <c r="D54" s="10"/>
      <c r="E54" s="4">
        <f t="shared" si="19"/>
        <v>9301</v>
      </c>
      <c r="F54" s="82">
        <v>1860</v>
      </c>
      <c r="G54" s="7">
        <f t="shared" si="10"/>
        <v>52.669619999999995</v>
      </c>
      <c r="H54" s="5">
        <f>79.371*G54^-0.6831</f>
        <v>5.29253927651225</v>
      </c>
      <c r="I54" s="5">
        <f>115.46*G54^-0.599</f>
        <v>10.745261827845313</v>
      </c>
      <c r="J54" s="5">
        <f>155.8*G54^-0.253</f>
        <v>57.14953834734291</v>
      </c>
      <c r="K54" s="23">
        <f>6.4233*G54^-0.4885</f>
        <v>0.9263520262674785</v>
      </c>
      <c r="L54" s="11">
        <f t="shared" si="11"/>
        <v>278.7560325289751</v>
      </c>
      <c r="M54" s="11">
        <f t="shared" si="12"/>
        <v>565.948857273118</v>
      </c>
      <c r="N54" s="11">
        <f t="shared" si="13"/>
        <v>3010.044467929979</v>
      </c>
      <c r="O54" s="11">
        <f t="shared" si="14"/>
        <v>48.79060920973811</v>
      </c>
      <c r="P54" s="7">
        <f t="shared" si="15"/>
        <v>153.73368426396206</v>
      </c>
      <c r="Q54" s="7">
        <f t="shared" si="16"/>
        <v>310.01865449379085</v>
      </c>
      <c r="R54" s="7">
        <f t="shared" si="17"/>
        <v>1490.0025907034349</v>
      </c>
      <c r="S54" s="7">
        <f t="shared" si="18"/>
        <v>26.2818726739848</v>
      </c>
    </row>
    <row r="55" spans="1:19" ht="12.75">
      <c r="A55">
        <v>21</v>
      </c>
      <c r="B55" s="1" t="s">
        <v>302</v>
      </c>
      <c r="C55" s="21">
        <v>37797</v>
      </c>
      <c r="D55" s="10">
        <v>0.5</v>
      </c>
      <c r="E55" s="4">
        <f t="shared" si="19"/>
        <v>9308</v>
      </c>
      <c r="F55" s="1">
        <v>1060</v>
      </c>
      <c r="G55" s="7">
        <f t="shared" si="10"/>
        <v>30.016019999999997</v>
      </c>
      <c r="H55" s="5">
        <v>7.65</v>
      </c>
      <c r="I55" s="5">
        <v>15.3</v>
      </c>
      <c r="J55" s="5">
        <v>63.872984375</v>
      </c>
      <c r="K55" s="23">
        <v>1.27</v>
      </c>
      <c r="L55" s="11">
        <f t="shared" si="11"/>
        <v>229.62255299999998</v>
      </c>
      <c r="M55" s="11">
        <f t="shared" si="12"/>
        <v>459.24510599999996</v>
      </c>
      <c r="N55" s="11">
        <f t="shared" si="13"/>
        <v>1917.2127764596873</v>
      </c>
      <c r="O55" s="11">
        <f t="shared" si="14"/>
        <v>38.1203454</v>
      </c>
      <c r="P55" s="7">
        <f t="shared" si="15"/>
        <v>102.95211020079932</v>
      </c>
      <c r="Q55" s="7">
        <f t="shared" si="16"/>
        <v>204.09818183371326</v>
      </c>
      <c r="R55" s="7">
        <f t="shared" si="17"/>
        <v>903.0406068080813</v>
      </c>
      <c r="S55" s="7">
        <f t="shared" si="18"/>
        <v>16.904183264471747</v>
      </c>
    </row>
    <row r="56" spans="1:19" ht="12.75">
      <c r="A56">
        <v>22</v>
      </c>
      <c r="B56" s="1"/>
      <c r="C56" s="21">
        <v>37802</v>
      </c>
      <c r="D56" s="10"/>
      <c r="E56" s="4">
        <f t="shared" si="19"/>
        <v>9313</v>
      </c>
      <c r="F56" s="5">
        <f>G56/0.028317</f>
        <v>1269.993272592436</v>
      </c>
      <c r="G56" s="90">
        <v>35.962399500000004</v>
      </c>
      <c r="H56" s="5">
        <f>79.371*G56^-0.6831</f>
        <v>6.868495713655464</v>
      </c>
      <c r="I56" s="5">
        <f>115.46*G56^-0.599</f>
        <v>13.504490543543811</v>
      </c>
      <c r="J56" s="5">
        <f>155.8*G56^-0.253</f>
        <v>62.94159469469566</v>
      </c>
      <c r="K56" s="23">
        <f>6.4233*G56^-0.4885</f>
        <v>1.1161591791417511</v>
      </c>
      <c r="L56" s="11">
        <f t="shared" si="11"/>
        <v>247.00758681851542</v>
      </c>
      <c r="M56" s="11">
        <f t="shared" si="12"/>
        <v>485.65388397089475</v>
      </c>
      <c r="N56" s="11">
        <f t="shared" si="13"/>
        <v>2263.530773577726</v>
      </c>
      <c r="O56" s="11">
        <f t="shared" si="14"/>
        <v>40.13976230588772</v>
      </c>
      <c r="P56" s="7">
        <f t="shared" si="15"/>
        <v>58.5489618755516</v>
      </c>
      <c r="Q56" s="7">
        <f t="shared" si="16"/>
        <v>114.75325534518795</v>
      </c>
      <c r="R56" s="7">
        <f t="shared" si="17"/>
        <v>478.03783655855295</v>
      </c>
      <c r="S56" s="7">
        <f t="shared" si="18"/>
        <v>9.23197523793105</v>
      </c>
    </row>
    <row r="57" spans="1:19" ht="12.75">
      <c r="A57">
        <v>23</v>
      </c>
      <c r="B57" s="1" t="s">
        <v>303</v>
      </c>
      <c r="C57" s="21">
        <v>37805</v>
      </c>
      <c r="D57" s="10">
        <v>0.5</v>
      </c>
      <c r="E57" s="4">
        <f t="shared" si="19"/>
        <v>9316</v>
      </c>
      <c r="F57" s="1">
        <v>747</v>
      </c>
      <c r="G57" s="7">
        <f t="shared" si="10"/>
        <v>21.152798999999998</v>
      </c>
      <c r="H57" s="5">
        <v>9.68</v>
      </c>
      <c r="I57" s="5">
        <v>18.9</v>
      </c>
      <c r="J57" s="5">
        <v>67.36852083333333</v>
      </c>
      <c r="K57" s="23">
        <v>1.47</v>
      </c>
      <c r="L57" s="11">
        <f t="shared" si="11"/>
        <v>204.75909431999997</v>
      </c>
      <c r="M57" s="11">
        <f t="shared" si="12"/>
        <v>399.78790109999994</v>
      </c>
      <c r="N57" s="11">
        <f t="shared" si="13"/>
        <v>1425.0327801148123</v>
      </c>
      <c r="O57" s="11">
        <f t="shared" si="14"/>
        <v>31.094614529999998</v>
      </c>
      <c r="P57" s="7">
        <f t="shared" si="15"/>
        <v>114.828590193408</v>
      </c>
      <c r="Q57" s="7">
        <f t="shared" si="16"/>
        <v>226.25062353936</v>
      </c>
      <c r="R57" s="7">
        <f t="shared" si="17"/>
        <v>770.1466723112989</v>
      </c>
      <c r="S57" s="7">
        <f t="shared" si="18"/>
        <v>17.014544917776</v>
      </c>
    </row>
    <row r="58" spans="1:19" ht="12.75">
      <c r="A58">
        <v>24</v>
      </c>
      <c r="B58" s="1" t="s">
        <v>304</v>
      </c>
      <c r="C58" s="21">
        <v>37812</v>
      </c>
      <c r="D58" s="10">
        <v>0.5</v>
      </c>
      <c r="E58" s="4">
        <f t="shared" si="19"/>
        <v>9323</v>
      </c>
      <c r="F58" s="1">
        <v>542</v>
      </c>
      <c r="G58" s="7">
        <f t="shared" si="10"/>
        <v>15.347814</v>
      </c>
      <c r="H58" s="5">
        <v>11.4</v>
      </c>
      <c r="I58" s="5">
        <v>22.7</v>
      </c>
      <c r="J58" s="5">
        <v>73.08848958333334</v>
      </c>
      <c r="K58" s="23">
        <v>1.64</v>
      </c>
      <c r="L58" s="11">
        <f t="shared" si="11"/>
        <v>174.9650796</v>
      </c>
      <c r="M58" s="11">
        <f t="shared" si="12"/>
        <v>348.3953778</v>
      </c>
      <c r="N58" s="11">
        <f t="shared" si="13"/>
        <v>1121.7485436659376</v>
      </c>
      <c r="O58" s="11">
        <f t="shared" si="14"/>
        <v>25.17041496</v>
      </c>
      <c r="P58" s="7">
        <f t="shared" si="15"/>
        <v>86.13509461056</v>
      </c>
      <c r="Q58" s="7">
        <f t="shared" si="16"/>
        <v>172.84342497695997</v>
      </c>
      <c r="R58" s="7">
        <f t="shared" si="17"/>
        <v>545.8473549774739</v>
      </c>
      <c r="S58" s="7">
        <f t="shared" si="18"/>
        <v>12.091531167359998</v>
      </c>
    </row>
    <row r="59" spans="1:19" ht="12.75">
      <c r="A59">
        <v>25</v>
      </c>
      <c r="B59" s="1" t="s">
        <v>305</v>
      </c>
      <c r="C59" s="21">
        <v>37818</v>
      </c>
      <c r="D59" s="10">
        <v>0.5</v>
      </c>
      <c r="E59" s="4">
        <f t="shared" si="19"/>
        <v>9329</v>
      </c>
      <c r="F59" s="1">
        <v>441</v>
      </c>
      <c r="G59" s="7">
        <f t="shared" si="10"/>
        <v>12.487796999999999</v>
      </c>
      <c r="H59" s="5">
        <v>12.6</v>
      </c>
      <c r="I59" s="5">
        <v>25.5</v>
      </c>
      <c r="J59" s="5">
        <v>78.80845833333333</v>
      </c>
      <c r="K59" s="23">
        <v>1.72</v>
      </c>
      <c r="L59" s="11">
        <f t="shared" si="11"/>
        <v>157.34624219999998</v>
      </c>
      <c r="M59" s="11">
        <f t="shared" si="12"/>
        <v>318.43882349999996</v>
      </c>
      <c r="N59" s="11">
        <f t="shared" si="13"/>
        <v>984.1440295496249</v>
      </c>
      <c r="O59" s="11">
        <f t="shared" si="14"/>
        <v>21.479010839999997</v>
      </c>
      <c r="P59" s="7">
        <f t="shared" si="15"/>
        <v>92.53757284127998</v>
      </c>
      <c r="Q59" s="7">
        <f t="shared" si="16"/>
        <v>186.8502681864</v>
      </c>
      <c r="R59" s="7">
        <f t="shared" si="17"/>
        <v>559.8545946680971</v>
      </c>
      <c r="S59" s="7">
        <f t="shared" si="18"/>
        <v>12.435876308015999</v>
      </c>
    </row>
    <row r="60" spans="1:19" ht="12.75">
      <c r="A60">
        <v>26</v>
      </c>
      <c r="B60" s="1" t="s">
        <v>306</v>
      </c>
      <c r="C60" s="21">
        <v>37825</v>
      </c>
      <c r="D60" s="10">
        <v>0.5</v>
      </c>
      <c r="E60" s="4">
        <f t="shared" si="19"/>
        <v>9336</v>
      </c>
      <c r="F60" s="1">
        <v>375</v>
      </c>
      <c r="G60" s="7">
        <f t="shared" si="10"/>
        <v>10.618875</v>
      </c>
      <c r="H60" s="5">
        <v>14</v>
      </c>
      <c r="I60" s="5">
        <v>28.2</v>
      </c>
      <c r="J60" s="5">
        <v>81.66844270833333</v>
      </c>
      <c r="K60" s="23">
        <v>1.85</v>
      </c>
      <c r="L60" s="11">
        <f t="shared" si="11"/>
        <v>148.66424999999998</v>
      </c>
      <c r="M60" s="11">
        <f t="shared" si="12"/>
        <v>299.452275</v>
      </c>
      <c r="N60" s="11">
        <f t="shared" si="13"/>
        <v>867.226984564453</v>
      </c>
      <c r="O60" s="11">
        <f t="shared" si="14"/>
        <v>19.64491875</v>
      </c>
      <c r="P60" s="7">
        <f t="shared" si="15"/>
        <v>88.23720370751998</v>
      </c>
      <c r="Q60" s="7">
        <f t="shared" si="16"/>
        <v>178.50385282463998</v>
      </c>
      <c r="R60" s="7">
        <f t="shared" si="17"/>
        <v>516.1640420272249</v>
      </c>
      <c r="S60" s="7">
        <f t="shared" si="18"/>
        <v>11.406253877423998</v>
      </c>
    </row>
    <row r="61" spans="1:19" ht="12.75">
      <c r="A61">
        <v>27</v>
      </c>
      <c r="B61" s="1" t="s">
        <v>307</v>
      </c>
      <c r="C61" s="21">
        <v>37832</v>
      </c>
      <c r="D61" s="10">
        <v>0.5</v>
      </c>
      <c r="E61" s="4">
        <f t="shared" si="19"/>
        <v>9343</v>
      </c>
      <c r="F61" s="1">
        <v>324</v>
      </c>
      <c r="G61" s="7">
        <f t="shared" si="10"/>
        <v>9.174707999999999</v>
      </c>
      <c r="H61" s="5">
        <v>15.6</v>
      </c>
      <c r="I61" s="5">
        <v>31.7</v>
      </c>
      <c r="J61" s="5">
        <v>91.5195</v>
      </c>
      <c r="K61" s="23">
        <v>1.97</v>
      </c>
      <c r="L61" s="11">
        <f t="shared" si="11"/>
        <v>143.12544479999997</v>
      </c>
      <c r="M61" s="11">
        <f t="shared" si="12"/>
        <v>290.83824359999994</v>
      </c>
      <c r="N61" s="11">
        <f t="shared" si="13"/>
        <v>839.6646888059998</v>
      </c>
      <c r="O61" s="11">
        <f t="shared" si="14"/>
        <v>18.07417476</v>
      </c>
      <c r="P61" s="7">
        <f t="shared" si="15"/>
        <v>97.00039547135998</v>
      </c>
      <c r="Q61" s="7">
        <f t="shared" si="16"/>
        <v>197.04434740991996</v>
      </c>
      <c r="R61" s="7">
        <f t="shared" si="17"/>
        <v>561.7232373343428</v>
      </c>
      <c r="S61" s="7">
        <f t="shared" si="18"/>
        <v>11.991612480768</v>
      </c>
    </row>
    <row r="62" spans="1:19" ht="12.75">
      <c r="A62">
        <v>28</v>
      </c>
      <c r="B62" s="1" t="s">
        <v>308</v>
      </c>
      <c r="C62" s="21">
        <v>37840</v>
      </c>
      <c r="D62" s="10">
        <v>0.5</v>
      </c>
      <c r="E62" s="4">
        <f t="shared" si="19"/>
        <v>9351</v>
      </c>
      <c r="F62" s="1">
        <v>298</v>
      </c>
      <c r="G62" s="7">
        <f t="shared" si="10"/>
        <v>8.438466</v>
      </c>
      <c r="H62" s="5">
        <v>16.3</v>
      </c>
      <c r="I62" s="5">
        <v>33.1</v>
      </c>
      <c r="J62" s="5">
        <v>93.10838020833334</v>
      </c>
      <c r="K62" s="23">
        <v>1.97</v>
      </c>
      <c r="L62" s="11">
        <f t="shared" si="11"/>
        <v>137.54699580000002</v>
      </c>
      <c r="M62" s="11">
        <f t="shared" si="12"/>
        <v>279.3132246</v>
      </c>
      <c r="N62" s="11">
        <f t="shared" si="13"/>
        <v>785.6919007030939</v>
      </c>
      <c r="O62" s="11">
        <f t="shared" si="14"/>
        <v>16.62377802</v>
      </c>
      <c r="P62" s="7">
        <f t="shared" si="15"/>
        <v>70.09036526016001</v>
      </c>
      <c r="Q62" s="7">
        <f t="shared" si="16"/>
        <v>142.89497613504</v>
      </c>
      <c r="R62" s="7">
        <f t="shared" si="17"/>
        <v>397.41796201570656</v>
      </c>
      <c r="S62" s="7">
        <f t="shared" si="18"/>
        <v>8.400949826112</v>
      </c>
    </row>
    <row r="63" spans="1:19" ht="12.75">
      <c r="A63">
        <v>29</v>
      </c>
      <c r="B63" s="1" t="s">
        <v>309</v>
      </c>
      <c r="C63" s="21">
        <v>37846</v>
      </c>
      <c r="D63" s="10">
        <v>0.5</v>
      </c>
      <c r="E63" s="4">
        <f t="shared" si="19"/>
        <v>9357</v>
      </c>
      <c r="F63" s="1">
        <v>276</v>
      </c>
      <c r="G63" s="7">
        <f t="shared" si="10"/>
        <v>7.815492</v>
      </c>
      <c r="H63" s="5">
        <v>17</v>
      </c>
      <c r="I63" s="5">
        <v>34.8</v>
      </c>
      <c r="J63" s="5">
        <v>95.65058854166668</v>
      </c>
      <c r="K63" s="23">
        <v>2.02</v>
      </c>
      <c r="L63" s="11">
        <f t="shared" si="11"/>
        <v>132.863364</v>
      </c>
      <c r="M63" s="11">
        <f t="shared" si="12"/>
        <v>271.9791216</v>
      </c>
      <c r="N63" s="11">
        <f t="shared" si="13"/>
        <v>747.5564095426876</v>
      </c>
      <c r="O63" s="11">
        <f t="shared" si="14"/>
        <v>15.78729384</v>
      </c>
      <c r="P63" s="7">
        <f t="shared" si="15"/>
        <v>167.4641101824</v>
      </c>
      <c r="Q63" s="7">
        <f t="shared" si="16"/>
        <v>345.170864376</v>
      </c>
      <c r="R63" s="7">
        <f t="shared" si="17"/>
        <v>928.4825536663681</v>
      </c>
      <c r="S63" s="7">
        <f t="shared" si="18"/>
        <v>19.38413956824</v>
      </c>
    </row>
    <row r="64" spans="1:19" ht="12.75">
      <c r="A64">
        <v>30</v>
      </c>
      <c r="B64" s="1" t="s">
        <v>310</v>
      </c>
      <c r="C64" s="21">
        <v>37861</v>
      </c>
      <c r="D64" s="10">
        <v>0.5</v>
      </c>
      <c r="E64" s="15">
        <f t="shared" si="19"/>
        <v>9372</v>
      </c>
      <c r="F64" s="1">
        <v>241</v>
      </c>
      <c r="G64" s="7">
        <f t="shared" si="10"/>
        <v>6.824396999999999</v>
      </c>
      <c r="H64" s="5">
        <v>18.4</v>
      </c>
      <c r="I64" s="5">
        <v>38.2</v>
      </c>
      <c r="J64" s="91">
        <v>100.41722916666667</v>
      </c>
      <c r="K64" s="23">
        <v>2.07</v>
      </c>
      <c r="L64" s="11">
        <f t="shared" si="11"/>
        <v>125.56890479999998</v>
      </c>
      <c r="M64" s="11">
        <f t="shared" si="12"/>
        <v>260.6919654</v>
      </c>
      <c r="N64" s="11">
        <f t="shared" si="13"/>
        <v>685.2870374733125</v>
      </c>
      <c r="O64" s="11">
        <f t="shared" si="14"/>
        <v>14.126501789999997</v>
      </c>
      <c r="P64" s="7">
        <f t="shared" si="15"/>
        <v>210.20084221053503</v>
      </c>
      <c r="Q64" s="7">
        <f t="shared" si="16"/>
        <v>396.35920590282876</v>
      </c>
      <c r="R64" s="7">
        <f t="shared" si="17"/>
        <v>1040.8828477943057</v>
      </c>
      <c r="S64" s="7">
        <f t="shared" si="18"/>
        <v>24.166146872361924</v>
      </c>
    </row>
    <row r="65" spans="1:19" ht="12.75">
      <c r="A65">
        <v>31</v>
      </c>
      <c r="B65" s="1"/>
      <c r="C65" s="21">
        <v>37879</v>
      </c>
      <c r="D65" s="10"/>
      <c r="E65" s="15">
        <f t="shared" si="19"/>
        <v>9390</v>
      </c>
      <c r="F65" s="82">
        <v>246</v>
      </c>
      <c r="G65" s="7">
        <f t="shared" si="10"/>
        <v>6.9659819999999995</v>
      </c>
      <c r="H65" s="5">
        <f>950.92*F65^-0.6945</f>
        <v>20.779713230788147</v>
      </c>
      <c r="I65" s="5">
        <v>35.74933664869134</v>
      </c>
      <c r="J65" s="5">
        <v>93.78388742996803</v>
      </c>
      <c r="K65" s="23">
        <v>2.4334490077903737</v>
      </c>
      <c r="L65" s="11">
        <f t="shared" si="11"/>
        <v>144.75110833083207</v>
      </c>
      <c r="M65" s="11">
        <f t="shared" si="12"/>
        <v>249.02923560672417</v>
      </c>
      <c r="N65" s="11">
        <f t="shared" si="13"/>
        <v>653.2968717271835</v>
      </c>
      <c r="O65" s="11">
        <f t="shared" si="14"/>
        <v>16.951361986185603</v>
      </c>
      <c r="P65" s="7">
        <f t="shared" si="15"/>
        <v>182.77928521577405</v>
      </c>
      <c r="Q65" s="7">
        <f t="shared" si="16"/>
        <v>311.791499735984</v>
      </c>
      <c r="R65" s="7">
        <f t="shared" si="17"/>
        <v>793.6335589544973</v>
      </c>
      <c r="S65" s="7">
        <f t="shared" si="18"/>
        <v>21.009168369949933</v>
      </c>
    </row>
    <row r="66" spans="1:19" ht="12.75">
      <c r="A66">
        <v>32</v>
      </c>
      <c r="C66" s="21">
        <v>37894</v>
      </c>
      <c r="E66" s="15">
        <f t="shared" si="19"/>
        <v>9405</v>
      </c>
      <c r="F66" s="1">
        <v>207</v>
      </c>
      <c r="G66" s="7">
        <f t="shared" si="10"/>
        <v>5.861618999999999</v>
      </c>
      <c r="H66" s="5">
        <f>950.92*F66^-0.6945</f>
        <v>23.42623937885741</v>
      </c>
      <c r="I66" s="5">
        <v>39.60176978545791</v>
      </c>
      <c r="J66" s="5">
        <v>97.48949476373927</v>
      </c>
      <c r="K66" s="23">
        <v>2.639235702675377</v>
      </c>
      <c r="L66" s="11">
        <f t="shared" si="11"/>
        <v>137.31568984165878</v>
      </c>
      <c r="M66" s="11">
        <f t="shared" si="12"/>
        <v>232.13048620806597</v>
      </c>
      <c r="N66" s="11">
        <f t="shared" si="13"/>
        <v>571.4462748075346</v>
      </c>
      <c r="O66" s="11">
        <f t="shared" si="14"/>
        <v>15.47019414028034</v>
      </c>
      <c r="P66" s="7"/>
      <c r="Q66" s="7"/>
      <c r="R66" s="7"/>
      <c r="S66" s="7"/>
    </row>
    <row r="67" spans="2:16" ht="12.75">
      <c r="B67" s="17"/>
      <c r="C67" s="17"/>
      <c r="D67" s="17"/>
      <c r="E67" s="17"/>
      <c r="F67" s="13"/>
      <c r="G67" s="17"/>
      <c r="H67" s="91"/>
      <c r="I67" s="91"/>
      <c r="J67" s="91"/>
      <c r="K67" s="84"/>
      <c r="L67" s="17"/>
      <c r="M67" s="17"/>
      <c r="N67" s="17"/>
      <c r="O67" s="17"/>
      <c r="P67" s="17"/>
    </row>
    <row r="68" spans="2:19" ht="12.75">
      <c r="B68" s="35" t="s">
        <v>223</v>
      </c>
      <c r="F68" s="1"/>
      <c r="G68" s="11"/>
      <c r="L68" s="11"/>
      <c r="M68" s="11"/>
      <c r="N68" s="11"/>
      <c r="O68" s="11"/>
      <c r="P68" s="11">
        <f>SUM(P35:P65)</f>
        <v>5841.625408692025</v>
      </c>
      <c r="Q68" s="11">
        <f>SUM(Q35:Q65)</f>
        <v>10596.705564977376</v>
      </c>
      <c r="R68" s="11">
        <f>SUM(R35:R65)</f>
        <v>42320.05366858985</v>
      </c>
      <c r="S68" s="11">
        <f>SUM(S35:S65)</f>
        <v>841.4032334580097</v>
      </c>
    </row>
    <row r="70" spans="1:19" ht="12.75">
      <c r="A70">
        <v>1</v>
      </c>
      <c r="B70" s="1"/>
      <c r="C70" s="92">
        <v>37895</v>
      </c>
      <c r="D70" s="10"/>
      <c r="E70" s="4">
        <f aca="true" t="shared" si="20" ref="E70:E97">C70-28489</f>
        <v>9406</v>
      </c>
      <c r="F70" s="93">
        <v>207</v>
      </c>
      <c r="G70" s="7">
        <f aca="true" t="shared" si="21" ref="G70:G97">F70*0.028317</f>
        <v>5.861618999999999</v>
      </c>
      <c r="H70" s="5">
        <f>79.371*G70^-0.6831</f>
        <v>23.715322715732782</v>
      </c>
      <c r="I70" s="5">
        <f>115.46*G70^-0.599</f>
        <v>40.03031604999097</v>
      </c>
      <c r="J70" s="5">
        <f>155.8*G70^-0.253</f>
        <v>99.59992330670244</v>
      </c>
      <c r="K70" s="23">
        <f>6.4233*G70^-0.4885</f>
        <v>2.707581981665885</v>
      </c>
      <c r="L70" s="7">
        <f>(H70*$G70)</f>
        <v>139.01018622167086</v>
      </c>
      <c r="M70" s="7">
        <f>(I70*$G70)</f>
        <v>234.64246113463201</v>
      </c>
      <c r="N70" s="7">
        <f>(J70*$G70)</f>
        <v>583.8168028531097</v>
      </c>
      <c r="O70" s="7">
        <f>(K70*$G70)</f>
        <v>15.8708139877904</v>
      </c>
      <c r="P70" s="7">
        <f>(((L70+L71)/2)*(($E71-$E70)*24*60*60))/1000000</f>
        <v>87.85574921836945</v>
      </c>
      <c r="Q70" s="7">
        <f>(((M70+M71)/2)*(($E71-$E70)*24*60*60))/1000000</f>
        <v>143.00189619884884</v>
      </c>
      <c r="R70" s="7">
        <f>(((N70+N71)/2)*(($E71-$E70)*24*60*60))/1000000</f>
        <v>407.11175151736876</v>
      </c>
      <c r="S70" s="7">
        <f>(((O70+O71)/2)*(($E71-$E70)*24*60*60))/1000000</f>
        <v>10.696187458180363</v>
      </c>
    </row>
    <row r="71" spans="1:19" ht="12.75">
      <c r="A71">
        <v>2</v>
      </c>
      <c r="B71" s="6" t="s">
        <v>311</v>
      </c>
      <c r="C71" s="85">
        <v>37903</v>
      </c>
      <c r="D71" s="10">
        <v>0.5</v>
      </c>
      <c r="E71" s="4">
        <f t="shared" si="20"/>
        <v>9414</v>
      </c>
      <c r="F71" s="94">
        <v>213</v>
      </c>
      <c r="G71" s="7">
        <f t="shared" si="21"/>
        <v>6.031521</v>
      </c>
      <c r="H71" s="5">
        <v>19.1</v>
      </c>
      <c r="I71" s="5">
        <v>29.7</v>
      </c>
      <c r="J71" s="5">
        <v>98.51057291666667</v>
      </c>
      <c r="K71" s="23">
        <v>2.5</v>
      </c>
      <c r="L71" s="7">
        <f aca="true" t="shared" si="22" ref="L71:O96">(H71*$G71)</f>
        <v>115.2020511</v>
      </c>
      <c r="M71" s="7">
        <f t="shared" si="22"/>
        <v>179.1361737</v>
      </c>
      <c r="N71" s="7">
        <f t="shared" si="22"/>
        <v>594.1685892689063</v>
      </c>
      <c r="O71" s="7">
        <f t="shared" si="22"/>
        <v>15.078802499999998</v>
      </c>
      <c r="P71" s="7">
        <f aca="true" t="shared" si="23" ref="P71:S96">(((L71+L72)/2)*(($E72-$E71)*24*60*60))/1000000</f>
        <v>63.15355203552</v>
      </c>
      <c r="Q71" s="7">
        <f t="shared" si="23"/>
        <v>109.84767791904001</v>
      </c>
      <c r="R71" s="7">
        <f t="shared" si="23"/>
        <v>320.2621067220885</v>
      </c>
      <c r="S71" s="7">
        <f t="shared" si="23"/>
        <v>7.586529346367999</v>
      </c>
    </row>
    <row r="72" spans="1:19" ht="12.75">
      <c r="A72">
        <v>3</v>
      </c>
      <c r="B72" s="6" t="s">
        <v>312</v>
      </c>
      <c r="C72" s="85">
        <v>37909</v>
      </c>
      <c r="D72" s="10">
        <v>0.5</v>
      </c>
      <c r="E72" s="4">
        <f t="shared" si="20"/>
        <v>9420</v>
      </c>
      <c r="F72" s="94">
        <v>216</v>
      </c>
      <c r="G72" s="7">
        <f t="shared" si="21"/>
        <v>6.116472</v>
      </c>
      <c r="H72" s="5">
        <v>21</v>
      </c>
      <c r="I72" s="5">
        <v>40</v>
      </c>
      <c r="J72" s="5">
        <v>104.86609375</v>
      </c>
      <c r="K72" s="23">
        <v>2.32</v>
      </c>
      <c r="L72" s="7">
        <f t="shared" si="22"/>
        <v>128.445912</v>
      </c>
      <c r="M72" s="7">
        <f t="shared" si="22"/>
        <v>244.65888</v>
      </c>
      <c r="N72" s="7">
        <f t="shared" si="22"/>
        <v>641.41052617125</v>
      </c>
      <c r="O72" s="7">
        <f t="shared" si="22"/>
        <v>14.190215039999998</v>
      </c>
      <c r="P72" s="7">
        <f t="shared" si="23"/>
        <v>376.99902739295993</v>
      </c>
      <c r="Q72" s="7">
        <f t="shared" si="23"/>
        <v>725.68539521568</v>
      </c>
      <c r="R72" s="7">
        <f t="shared" si="23"/>
        <v>1755.070242411519</v>
      </c>
      <c r="S72" s="7">
        <f t="shared" si="23"/>
        <v>41.99647966041599</v>
      </c>
    </row>
    <row r="73" spans="1:19" ht="12.75">
      <c r="A73">
        <v>4</v>
      </c>
      <c r="B73" s="6" t="s">
        <v>313</v>
      </c>
      <c r="C73" s="85">
        <v>37940</v>
      </c>
      <c r="D73" s="10">
        <v>0.5</v>
      </c>
      <c r="E73" s="4">
        <f t="shared" si="20"/>
        <v>9451</v>
      </c>
      <c r="F73" s="94">
        <v>286</v>
      </c>
      <c r="G73" s="7">
        <f t="shared" si="21"/>
        <v>8.098662</v>
      </c>
      <c r="H73" s="5">
        <v>18.9</v>
      </c>
      <c r="I73" s="5">
        <v>36.7</v>
      </c>
      <c r="J73" s="5">
        <v>82.62177083333333</v>
      </c>
      <c r="K73" s="23">
        <v>2.12</v>
      </c>
      <c r="L73" s="7">
        <f t="shared" si="22"/>
        <v>153.06471179999997</v>
      </c>
      <c r="M73" s="7">
        <f t="shared" si="22"/>
        <v>297.2208954</v>
      </c>
      <c r="N73" s="7">
        <f t="shared" si="22"/>
        <v>669.125795820625</v>
      </c>
      <c r="O73" s="7">
        <f t="shared" si="22"/>
        <v>17.16916344</v>
      </c>
      <c r="P73" s="7">
        <f t="shared" si="23"/>
        <v>418.38430023935996</v>
      </c>
      <c r="Q73" s="7">
        <f t="shared" si="23"/>
        <v>709.2978987744001</v>
      </c>
      <c r="R73" s="7">
        <f t="shared" si="23"/>
        <v>1813.7348153360979</v>
      </c>
      <c r="S73" s="7">
        <f t="shared" si="23"/>
        <v>53.165059668864004</v>
      </c>
    </row>
    <row r="74" spans="1:19" ht="12.75">
      <c r="A74">
        <v>5</v>
      </c>
      <c r="B74" s="6" t="s">
        <v>314</v>
      </c>
      <c r="C74" s="85">
        <v>37969</v>
      </c>
      <c r="D74" s="10">
        <v>0.5</v>
      </c>
      <c r="E74" s="4">
        <f t="shared" si="20"/>
        <v>9480</v>
      </c>
      <c r="F74" s="94">
        <v>338</v>
      </c>
      <c r="G74" s="7">
        <f t="shared" si="21"/>
        <v>9.571145999999999</v>
      </c>
      <c r="H74" s="5">
        <v>18.9</v>
      </c>
      <c r="I74" s="5">
        <v>28.1</v>
      </c>
      <c r="J74" s="5">
        <v>81.35066666666667</v>
      </c>
      <c r="K74" s="23">
        <v>2.64</v>
      </c>
      <c r="L74" s="7">
        <f t="shared" si="22"/>
        <v>180.89465939999997</v>
      </c>
      <c r="M74" s="7">
        <f t="shared" si="22"/>
        <v>268.9492026</v>
      </c>
      <c r="N74" s="7">
        <f t="shared" si="22"/>
        <v>778.619107864</v>
      </c>
      <c r="O74" s="7">
        <f t="shared" si="22"/>
        <v>25.26782544</v>
      </c>
      <c r="P74" s="7">
        <f t="shared" si="23"/>
        <v>520.6071841631999</v>
      </c>
      <c r="Q74" s="7">
        <f t="shared" si="23"/>
        <v>769.26085435584</v>
      </c>
      <c r="R74" s="7">
        <f t="shared" si="23"/>
        <v>2263.903933958737</v>
      </c>
      <c r="S74" s="7">
        <f t="shared" si="23"/>
        <v>73.180309051008</v>
      </c>
    </row>
    <row r="75" spans="1:19" ht="12.75">
      <c r="A75">
        <v>6</v>
      </c>
      <c r="B75" s="6" t="s">
        <v>315</v>
      </c>
      <c r="C75" s="85">
        <v>38003</v>
      </c>
      <c r="D75" s="10">
        <v>0.5</v>
      </c>
      <c r="E75" s="4">
        <f t="shared" si="20"/>
        <v>9514</v>
      </c>
      <c r="F75" s="94">
        <v>326</v>
      </c>
      <c r="G75" s="7">
        <f t="shared" si="21"/>
        <v>9.231342</v>
      </c>
      <c r="H75" s="5">
        <v>18.8</v>
      </c>
      <c r="I75" s="5">
        <v>27.6</v>
      </c>
      <c r="J75" s="5">
        <v>82.62177083333333</v>
      </c>
      <c r="K75" s="23">
        <v>2.66</v>
      </c>
      <c r="L75" s="7">
        <f t="shared" si="22"/>
        <v>173.5492296</v>
      </c>
      <c r="M75" s="7">
        <f t="shared" si="22"/>
        <v>254.7850392</v>
      </c>
      <c r="N75" s="7">
        <f t="shared" si="22"/>
        <v>762.7098232081249</v>
      </c>
      <c r="O75" s="7">
        <f t="shared" si="22"/>
        <v>24.55536972</v>
      </c>
      <c r="P75" s="7">
        <f t="shared" si="23"/>
        <v>408.84553982592</v>
      </c>
      <c r="Q75" s="7">
        <f t="shared" si="23"/>
        <v>637.21760051376</v>
      </c>
      <c r="R75" s="7">
        <f t="shared" si="23"/>
        <v>1806.1922162819765</v>
      </c>
      <c r="S75" s="7">
        <f t="shared" si="23"/>
        <v>53.061336536688</v>
      </c>
    </row>
    <row r="76" spans="1:19" ht="12.75">
      <c r="A76">
        <v>7</v>
      </c>
      <c r="B76" s="6" t="s">
        <v>316</v>
      </c>
      <c r="C76" s="85">
        <v>38030</v>
      </c>
      <c r="D76" s="10">
        <v>0.5</v>
      </c>
      <c r="E76" s="4">
        <f t="shared" si="20"/>
        <v>9541</v>
      </c>
      <c r="F76" s="94">
        <v>279</v>
      </c>
      <c r="G76" s="7">
        <f t="shared" si="21"/>
        <v>7.900442999999999</v>
      </c>
      <c r="H76" s="5">
        <v>22.4</v>
      </c>
      <c r="I76" s="5">
        <v>36.9</v>
      </c>
      <c r="J76" s="5">
        <v>99.46390104166667</v>
      </c>
      <c r="K76" s="23">
        <v>2.65</v>
      </c>
      <c r="L76" s="7">
        <f t="shared" si="22"/>
        <v>176.96992319999998</v>
      </c>
      <c r="M76" s="7">
        <f t="shared" si="22"/>
        <v>291.5263467</v>
      </c>
      <c r="N76" s="7">
        <f t="shared" si="22"/>
        <v>785.8088807373281</v>
      </c>
      <c r="O76" s="7">
        <f t="shared" si="22"/>
        <v>20.936173949999997</v>
      </c>
      <c r="P76" s="7">
        <f t="shared" si="23"/>
        <v>336.7719696844799</v>
      </c>
      <c r="Q76" s="7">
        <f t="shared" si="23"/>
        <v>538.52135201568</v>
      </c>
      <c r="R76" s="7">
        <f t="shared" si="23"/>
        <v>1475.9882464042335</v>
      </c>
      <c r="S76" s="7">
        <f t="shared" si="23"/>
        <v>40.50193196015999</v>
      </c>
    </row>
    <row r="77" spans="1:19" ht="12.75">
      <c r="A77">
        <v>8</v>
      </c>
      <c r="B77" s="6" t="s">
        <v>317</v>
      </c>
      <c r="C77" s="85">
        <v>38052</v>
      </c>
      <c r="D77" s="10">
        <v>0.5</v>
      </c>
      <c r="E77" s="4">
        <f t="shared" si="20"/>
        <v>9563</v>
      </c>
      <c r="F77" s="94">
        <v>290</v>
      </c>
      <c r="G77" s="7">
        <f t="shared" si="21"/>
        <v>8.211929999999999</v>
      </c>
      <c r="H77" s="5">
        <v>21.6</v>
      </c>
      <c r="I77" s="5">
        <v>33.5</v>
      </c>
      <c r="J77" s="5">
        <v>93.42615625</v>
      </c>
      <c r="K77" s="23">
        <v>2.64</v>
      </c>
      <c r="L77" s="7">
        <f t="shared" si="22"/>
        <v>177.37768799999998</v>
      </c>
      <c r="M77" s="7">
        <f t="shared" si="22"/>
        <v>275.099655</v>
      </c>
      <c r="N77" s="7">
        <f t="shared" si="22"/>
        <v>767.2090552940624</v>
      </c>
      <c r="O77" s="7">
        <f t="shared" si="22"/>
        <v>21.679495199999998</v>
      </c>
      <c r="P77" s="7">
        <f t="shared" si="23"/>
        <v>206.16253920864</v>
      </c>
      <c r="Q77" s="7">
        <f t="shared" si="23"/>
        <v>341.75004391584</v>
      </c>
      <c r="R77" s="7">
        <f t="shared" si="23"/>
        <v>964.0003700028617</v>
      </c>
      <c r="S77" s="7">
        <f t="shared" si="23"/>
        <v>24.803076868415996</v>
      </c>
    </row>
    <row r="78" spans="1:19" ht="12.75">
      <c r="A78">
        <v>9</v>
      </c>
      <c r="B78" s="6" t="s">
        <v>318</v>
      </c>
      <c r="C78" s="85">
        <v>38066</v>
      </c>
      <c r="D78" s="10">
        <v>0.5</v>
      </c>
      <c r="E78" s="4">
        <f t="shared" si="20"/>
        <v>9577</v>
      </c>
      <c r="F78" s="94">
        <v>319</v>
      </c>
      <c r="G78" s="7">
        <f t="shared" si="21"/>
        <v>9.033123</v>
      </c>
      <c r="H78" s="5">
        <v>18.1</v>
      </c>
      <c r="I78" s="5">
        <v>32.1</v>
      </c>
      <c r="J78" s="5">
        <v>91.5195</v>
      </c>
      <c r="K78" s="23">
        <v>2.14</v>
      </c>
      <c r="L78" s="7">
        <f t="shared" si="22"/>
        <v>163.4995263</v>
      </c>
      <c r="M78" s="7">
        <f t="shared" si="22"/>
        <v>289.96324830000003</v>
      </c>
      <c r="N78" s="7">
        <f t="shared" si="22"/>
        <v>826.7069003984999</v>
      </c>
      <c r="O78" s="7">
        <f t="shared" si="22"/>
        <v>19.33088322</v>
      </c>
      <c r="P78" s="7">
        <f t="shared" si="23"/>
        <v>336.14552062224004</v>
      </c>
      <c r="Q78" s="7">
        <f t="shared" si="23"/>
        <v>654.945705288</v>
      </c>
      <c r="R78" s="7">
        <f t="shared" si="23"/>
        <v>2161.751727359747</v>
      </c>
      <c r="S78" s="7">
        <f t="shared" si="23"/>
        <v>40.833726100272</v>
      </c>
    </row>
    <row r="79" spans="1:19" ht="12.75">
      <c r="A79">
        <v>10</v>
      </c>
      <c r="B79" s="6" t="s">
        <v>319</v>
      </c>
      <c r="C79" s="85">
        <v>38087</v>
      </c>
      <c r="D79" s="10">
        <v>0.5</v>
      </c>
      <c r="E79" s="4">
        <f t="shared" si="20"/>
        <v>9598</v>
      </c>
      <c r="F79" s="94">
        <v>703</v>
      </c>
      <c r="G79" s="7">
        <f t="shared" si="21"/>
        <v>19.906851</v>
      </c>
      <c r="H79" s="5">
        <v>10.4</v>
      </c>
      <c r="I79" s="5">
        <v>21.7</v>
      </c>
      <c r="J79" s="5">
        <v>78.17290625</v>
      </c>
      <c r="K79" s="23">
        <v>1.29</v>
      </c>
      <c r="L79" s="7">
        <f t="shared" si="22"/>
        <v>207.0312504</v>
      </c>
      <c r="M79" s="7">
        <f t="shared" si="22"/>
        <v>431.97866669999996</v>
      </c>
      <c r="N79" s="7">
        <f t="shared" si="22"/>
        <v>1556.1763969557187</v>
      </c>
      <c r="O79" s="7">
        <f t="shared" si="22"/>
        <v>25.67983779</v>
      </c>
      <c r="P79" s="7">
        <f t="shared" si="23"/>
        <v>122.811075471168</v>
      </c>
      <c r="Q79" s="7">
        <f t="shared" si="23"/>
        <v>253.76031266543995</v>
      </c>
      <c r="R79" s="7">
        <f t="shared" si="23"/>
        <v>957.4097796630392</v>
      </c>
      <c r="S79" s="7">
        <f t="shared" si="23"/>
        <v>15.640173659376003</v>
      </c>
    </row>
    <row r="80" spans="1:19" ht="12.75">
      <c r="A80">
        <v>11</v>
      </c>
      <c r="B80" s="6" t="s">
        <v>320</v>
      </c>
      <c r="C80" s="85">
        <v>38094</v>
      </c>
      <c r="D80" s="10">
        <v>0.5</v>
      </c>
      <c r="E80" s="4">
        <f t="shared" si="20"/>
        <v>9605</v>
      </c>
      <c r="F80" s="94">
        <v>836</v>
      </c>
      <c r="G80" s="7">
        <f t="shared" si="21"/>
        <v>23.673012</v>
      </c>
      <c r="H80" s="5">
        <v>8.41</v>
      </c>
      <c r="I80" s="5">
        <v>17.2</v>
      </c>
      <c r="J80" s="5">
        <v>68.00407291666667</v>
      </c>
      <c r="K80" s="23">
        <v>1.1</v>
      </c>
      <c r="L80" s="7">
        <f t="shared" si="22"/>
        <v>199.09003092</v>
      </c>
      <c r="M80" s="7">
        <f t="shared" si="22"/>
        <v>407.1758064</v>
      </c>
      <c r="N80" s="7">
        <f t="shared" si="22"/>
        <v>1609.8612342051251</v>
      </c>
      <c r="O80" s="7">
        <f t="shared" si="22"/>
        <v>26.040313200000003</v>
      </c>
      <c r="P80" s="7">
        <f t="shared" si="23"/>
        <v>141.683327497728</v>
      </c>
      <c r="Q80" s="7">
        <f t="shared" si="23"/>
        <v>278.85925551744003</v>
      </c>
      <c r="R80" s="7">
        <f t="shared" si="23"/>
        <v>1111.6103124257388</v>
      </c>
      <c r="S80" s="7">
        <f t="shared" si="23"/>
        <v>18.930627635328</v>
      </c>
    </row>
    <row r="81" spans="1:19" ht="12.75">
      <c r="A81">
        <v>12</v>
      </c>
      <c r="B81" s="6" t="s">
        <v>321</v>
      </c>
      <c r="C81" s="85">
        <v>38102</v>
      </c>
      <c r="D81" s="10">
        <v>0.5</v>
      </c>
      <c r="E81" s="4">
        <f t="shared" si="20"/>
        <v>9613</v>
      </c>
      <c r="F81" s="94">
        <v>763</v>
      </c>
      <c r="G81" s="7">
        <f t="shared" si="21"/>
        <v>21.605871</v>
      </c>
      <c r="H81" s="5">
        <v>9.76</v>
      </c>
      <c r="I81" s="5">
        <v>18.5</v>
      </c>
      <c r="J81" s="5">
        <v>74.35959375</v>
      </c>
      <c r="K81" s="23">
        <v>1.33</v>
      </c>
      <c r="L81" s="7">
        <f t="shared" si="22"/>
        <v>210.87330096</v>
      </c>
      <c r="M81" s="7">
        <f t="shared" si="22"/>
        <v>399.7086135</v>
      </c>
      <c r="N81" s="7">
        <f t="shared" si="22"/>
        <v>1606.6037901749064</v>
      </c>
      <c r="O81" s="7">
        <f t="shared" si="22"/>
        <v>28.735808430000002</v>
      </c>
      <c r="P81" s="7">
        <f t="shared" si="23"/>
        <v>117.146194831872</v>
      </c>
      <c r="Q81" s="7">
        <f t="shared" si="23"/>
        <v>233.3715425712</v>
      </c>
      <c r="R81" s="7">
        <f t="shared" si="23"/>
        <v>1022.2964234251317</v>
      </c>
      <c r="S81" s="7">
        <f t="shared" si="23"/>
        <v>16.631837264736</v>
      </c>
    </row>
    <row r="82" spans="1:19" ht="12.75">
      <c r="A82">
        <v>13</v>
      </c>
      <c r="B82" s="6" t="s">
        <v>322</v>
      </c>
      <c r="C82" s="85">
        <v>38108</v>
      </c>
      <c r="D82" s="10">
        <v>0.5</v>
      </c>
      <c r="E82" s="4">
        <f t="shared" si="20"/>
        <v>9619</v>
      </c>
      <c r="F82" s="94">
        <v>1360</v>
      </c>
      <c r="G82" s="7">
        <f t="shared" si="21"/>
        <v>38.51112</v>
      </c>
      <c r="H82" s="5">
        <v>6.26</v>
      </c>
      <c r="I82" s="5">
        <v>13</v>
      </c>
      <c r="J82" s="5">
        <v>60.69522395833334</v>
      </c>
      <c r="K82" s="23">
        <v>0.92</v>
      </c>
      <c r="L82" s="7">
        <f t="shared" si="22"/>
        <v>241.0796112</v>
      </c>
      <c r="M82" s="7">
        <f t="shared" si="22"/>
        <v>500.64455999999996</v>
      </c>
      <c r="N82" s="7">
        <f t="shared" si="22"/>
        <v>2337.44105328625</v>
      </c>
      <c r="O82" s="7">
        <f t="shared" si="22"/>
        <v>35.4302304</v>
      </c>
      <c r="P82" s="7">
        <f t="shared" si="23"/>
        <v>220.10687207424</v>
      </c>
      <c r="Q82" s="7">
        <f t="shared" si="23"/>
        <v>417.66598176767997</v>
      </c>
      <c r="R82" s="7">
        <f t="shared" si="23"/>
        <v>2408.033932726896</v>
      </c>
      <c r="S82" s="7">
        <f t="shared" si="23"/>
        <v>37.047226245119994</v>
      </c>
    </row>
    <row r="83" spans="1:19" ht="12.75">
      <c r="A83">
        <v>14</v>
      </c>
      <c r="B83" s="6" t="s">
        <v>323</v>
      </c>
      <c r="C83" s="88">
        <v>38116</v>
      </c>
      <c r="D83" s="10">
        <v>0.5</v>
      </c>
      <c r="E83" s="4">
        <f t="shared" si="20"/>
        <v>9627</v>
      </c>
      <c r="F83" s="93">
        <v>3840</v>
      </c>
      <c r="G83" s="7">
        <f t="shared" si="21"/>
        <v>108.73728</v>
      </c>
      <c r="H83" s="5">
        <v>3.64</v>
      </c>
      <c r="I83" s="5">
        <v>6.51</v>
      </c>
      <c r="J83" s="5">
        <v>42.58198958333334</v>
      </c>
      <c r="K83" s="23">
        <v>0.66</v>
      </c>
      <c r="L83" s="7">
        <f t="shared" si="22"/>
        <v>395.8036992</v>
      </c>
      <c r="M83" s="7">
        <f t="shared" si="22"/>
        <v>707.8796927999999</v>
      </c>
      <c r="N83" s="7">
        <f t="shared" si="22"/>
        <v>4630.249724280001</v>
      </c>
      <c r="O83" s="7">
        <f t="shared" si="22"/>
        <v>71.7666048</v>
      </c>
      <c r="P83" s="7">
        <f t="shared" si="23"/>
        <v>190.55941913663997</v>
      </c>
      <c r="Q83" s="7">
        <f t="shared" si="23"/>
        <v>321.98380834176</v>
      </c>
      <c r="R83" s="7">
        <f t="shared" si="23"/>
        <v>1882.155047996916</v>
      </c>
      <c r="S83" s="7">
        <f t="shared" si="23"/>
        <v>31.952939045759997</v>
      </c>
    </row>
    <row r="84" spans="1:19" ht="12.75">
      <c r="A84">
        <v>15</v>
      </c>
      <c r="B84" s="6" t="s">
        <v>324</v>
      </c>
      <c r="C84" s="88">
        <v>38122</v>
      </c>
      <c r="D84" s="10">
        <v>0.5</v>
      </c>
      <c r="E84" s="4">
        <f t="shared" si="20"/>
        <v>9633</v>
      </c>
      <c r="F84" s="93">
        <v>1700</v>
      </c>
      <c r="G84" s="7">
        <f t="shared" si="21"/>
        <v>48.1389</v>
      </c>
      <c r="H84" s="5">
        <v>7.05</v>
      </c>
      <c r="I84" s="5">
        <v>11.1</v>
      </c>
      <c r="J84" s="5">
        <v>54.65747916666667</v>
      </c>
      <c r="K84" s="23">
        <v>1.07</v>
      </c>
      <c r="L84" s="7">
        <f t="shared" si="22"/>
        <v>339.37924499999997</v>
      </c>
      <c r="M84" s="7">
        <f t="shared" si="22"/>
        <v>534.34179</v>
      </c>
      <c r="N84" s="7">
        <f t="shared" si="22"/>
        <v>2631.15092385625</v>
      </c>
      <c r="O84" s="7">
        <f t="shared" si="22"/>
        <v>51.508623</v>
      </c>
      <c r="P84" s="7">
        <f t="shared" si="23"/>
        <v>202.03685651520001</v>
      </c>
      <c r="Q84" s="7">
        <f t="shared" si="23"/>
        <v>332.2296329184</v>
      </c>
      <c r="R84" s="7">
        <f t="shared" si="23"/>
        <v>1754.8603262393176</v>
      </c>
      <c r="S84" s="7">
        <f t="shared" si="23"/>
        <v>32.4796896144</v>
      </c>
    </row>
    <row r="85" spans="1:19" ht="12.75">
      <c r="A85">
        <v>16</v>
      </c>
      <c r="B85" s="6" t="s">
        <v>325</v>
      </c>
      <c r="C85" s="88">
        <v>38129</v>
      </c>
      <c r="D85" s="10">
        <v>0.6236111111111111</v>
      </c>
      <c r="E85" s="4">
        <f t="shared" si="20"/>
        <v>9640</v>
      </c>
      <c r="F85" s="6">
        <v>2350</v>
      </c>
      <c r="G85" s="7">
        <f t="shared" si="21"/>
        <v>66.54495</v>
      </c>
      <c r="H85" s="5">
        <v>4.94</v>
      </c>
      <c r="I85" s="5">
        <v>8.48</v>
      </c>
      <c r="J85" s="5">
        <v>47.66640625</v>
      </c>
      <c r="K85" s="23">
        <v>0.84</v>
      </c>
      <c r="L85" s="7">
        <f t="shared" si="22"/>
        <v>328.732053</v>
      </c>
      <c r="M85" s="7">
        <f t="shared" si="22"/>
        <v>564.301176</v>
      </c>
      <c r="N85" s="7">
        <f t="shared" si="22"/>
        <v>3171.9586205859378</v>
      </c>
      <c r="O85" s="7">
        <f t="shared" si="22"/>
        <v>55.897757999999996</v>
      </c>
      <c r="P85" s="7">
        <f t="shared" si="23"/>
        <v>205.00909491888</v>
      </c>
      <c r="Q85" s="7">
        <f t="shared" si="23"/>
        <v>363.16454636448003</v>
      </c>
      <c r="R85" s="7">
        <f t="shared" si="23"/>
        <v>2187.711360655333</v>
      </c>
      <c r="S85" s="7">
        <f t="shared" si="23"/>
        <v>35.32519471823999</v>
      </c>
    </row>
    <row r="86" spans="1:19" ht="12.75">
      <c r="A86">
        <v>17</v>
      </c>
      <c r="B86" s="6" t="s">
        <v>326</v>
      </c>
      <c r="C86" s="88">
        <v>38136</v>
      </c>
      <c r="D86" s="10">
        <v>0.6805555555555555</v>
      </c>
      <c r="E86" s="4">
        <f t="shared" si="20"/>
        <v>9647</v>
      </c>
      <c r="F86" s="6">
        <v>3030</v>
      </c>
      <c r="G86" s="7">
        <f t="shared" si="21"/>
        <v>85.80050999999999</v>
      </c>
      <c r="H86" s="5">
        <v>4.07</v>
      </c>
      <c r="I86" s="5">
        <v>7.42</v>
      </c>
      <c r="J86" s="5">
        <v>47.34863020833334</v>
      </c>
      <c r="K86" s="23">
        <v>0.71</v>
      </c>
      <c r="L86" s="7">
        <f t="shared" si="22"/>
        <v>349.2080757</v>
      </c>
      <c r="M86" s="7">
        <f t="shared" si="22"/>
        <v>636.6397841999999</v>
      </c>
      <c r="N86" s="7">
        <f t="shared" si="22"/>
        <v>4062.536619676406</v>
      </c>
      <c r="O86" s="7">
        <f t="shared" si="22"/>
        <v>60.91836209999999</v>
      </c>
      <c r="P86" s="7">
        <f t="shared" si="23"/>
        <v>196.84849797648002</v>
      </c>
      <c r="Q86" s="7">
        <f t="shared" si="23"/>
        <v>365.13062512416</v>
      </c>
      <c r="R86" s="7">
        <f t="shared" si="23"/>
        <v>2388.367897260833</v>
      </c>
      <c r="S86" s="7">
        <f t="shared" si="23"/>
        <v>34.1366418792</v>
      </c>
    </row>
    <row r="87" spans="1:19" ht="12.75">
      <c r="A87">
        <v>18</v>
      </c>
      <c r="B87" s="6" t="s">
        <v>327</v>
      </c>
      <c r="C87" s="88">
        <v>38143</v>
      </c>
      <c r="D87" s="10">
        <v>0.5833333333333334</v>
      </c>
      <c r="E87" s="4">
        <f t="shared" si="20"/>
        <v>9654</v>
      </c>
      <c r="F87" s="6">
        <v>2960</v>
      </c>
      <c r="G87" s="7">
        <f t="shared" si="21"/>
        <v>83.81832</v>
      </c>
      <c r="H87" s="5">
        <v>3.6</v>
      </c>
      <c r="I87" s="5">
        <v>6.81</v>
      </c>
      <c r="J87" s="5">
        <v>45.75975</v>
      </c>
      <c r="K87" s="23">
        <v>0.62</v>
      </c>
      <c r="L87" s="7">
        <f t="shared" si="22"/>
        <v>301.745952</v>
      </c>
      <c r="M87" s="7">
        <f t="shared" si="22"/>
        <v>570.8027592</v>
      </c>
      <c r="N87" s="7">
        <f t="shared" si="22"/>
        <v>3835.50536862</v>
      </c>
      <c r="O87" s="7">
        <f t="shared" si="22"/>
        <v>51.9673584</v>
      </c>
      <c r="P87" s="7">
        <f t="shared" si="23"/>
        <v>206.36487210239997</v>
      </c>
      <c r="Q87" s="7">
        <f t="shared" si="23"/>
        <v>382.09453788672</v>
      </c>
      <c r="R87" s="7">
        <f t="shared" si="23"/>
        <v>2294.585903661552</v>
      </c>
      <c r="S87" s="7">
        <f t="shared" si="23"/>
        <v>35.066467952640004</v>
      </c>
    </row>
    <row r="88" spans="1:19" ht="12.75">
      <c r="A88">
        <v>19</v>
      </c>
      <c r="B88" s="6" t="s">
        <v>328</v>
      </c>
      <c r="C88" s="88">
        <v>38151</v>
      </c>
      <c r="D88" s="10">
        <v>0.7013888888888888</v>
      </c>
      <c r="E88" s="4">
        <f t="shared" si="20"/>
        <v>9662</v>
      </c>
      <c r="F88" s="6">
        <v>1900</v>
      </c>
      <c r="G88" s="7">
        <f t="shared" si="21"/>
        <v>53.802299999999995</v>
      </c>
      <c r="H88" s="5">
        <v>5.49</v>
      </c>
      <c r="I88" s="5">
        <v>9.94</v>
      </c>
      <c r="J88" s="5">
        <v>52.11527083333333</v>
      </c>
      <c r="K88" s="23">
        <v>0.92</v>
      </c>
      <c r="L88" s="7">
        <f t="shared" si="22"/>
        <v>295.374627</v>
      </c>
      <c r="M88" s="7">
        <f t="shared" si="22"/>
        <v>534.794862</v>
      </c>
      <c r="N88" s="7">
        <f t="shared" si="22"/>
        <v>2803.9214359562493</v>
      </c>
      <c r="O88" s="7">
        <f t="shared" si="22"/>
        <v>49.498115999999996</v>
      </c>
      <c r="P88" s="7">
        <f t="shared" si="23"/>
        <v>144.5640390144</v>
      </c>
      <c r="Q88" s="7">
        <f t="shared" si="23"/>
        <v>265.89037760639997</v>
      </c>
      <c r="R88" s="7">
        <f t="shared" si="23"/>
        <v>1381.015172894535</v>
      </c>
      <c r="S88" s="7">
        <f t="shared" si="23"/>
        <v>23.9349782304</v>
      </c>
    </row>
    <row r="89" spans="1:19" ht="12.75">
      <c r="A89">
        <v>20</v>
      </c>
      <c r="B89" s="6" t="s">
        <v>329</v>
      </c>
      <c r="C89" s="88">
        <v>38157</v>
      </c>
      <c r="D89" s="10">
        <v>0.4375</v>
      </c>
      <c r="E89" s="4">
        <f t="shared" si="20"/>
        <v>9668</v>
      </c>
      <c r="F89" s="6">
        <v>1700</v>
      </c>
      <c r="G89" s="7">
        <f t="shared" si="21"/>
        <v>48.1389</v>
      </c>
      <c r="H89" s="5">
        <v>5.45</v>
      </c>
      <c r="I89" s="5">
        <v>10.2</v>
      </c>
      <c r="J89" s="5">
        <v>52.433046875</v>
      </c>
      <c r="K89" s="23">
        <v>0.89</v>
      </c>
      <c r="L89" s="7">
        <f t="shared" si="22"/>
        <v>262.357005</v>
      </c>
      <c r="M89" s="7">
        <f t="shared" si="22"/>
        <v>491.01678</v>
      </c>
      <c r="N89" s="7">
        <f t="shared" si="22"/>
        <v>2524.0692002109377</v>
      </c>
      <c r="O89" s="7">
        <f t="shared" si="22"/>
        <v>42.843621</v>
      </c>
      <c r="P89" s="7">
        <f t="shared" si="23"/>
        <v>216.50108950080002</v>
      </c>
      <c r="Q89" s="7">
        <f t="shared" si="23"/>
        <v>399.4300874879999</v>
      </c>
      <c r="R89" s="7">
        <f t="shared" si="23"/>
        <v>1929.1296225317851</v>
      </c>
      <c r="S89" s="7">
        <f t="shared" si="23"/>
        <v>34.5433872672</v>
      </c>
    </row>
    <row r="90" spans="1:19" ht="12.75">
      <c r="A90">
        <v>21</v>
      </c>
      <c r="B90" s="6" t="s">
        <v>330</v>
      </c>
      <c r="C90" s="88">
        <v>38167</v>
      </c>
      <c r="D90" s="10">
        <v>0.75</v>
      </c>
      <c r="E90" s="4">
        <f t="shared" si="20"/>
        <v>9678</v>
      </c>
      <c r="F90" s="6">
        <v>1160</v>
      </c>
      <c r="G90" s="7">
        <f t="shared" si="21"/>
        <v>32.847719999999995</v>
      </c>
      <c r="H90" s="5">
        <v>7.27</v>
      </c>
      <c r="I90" s="5">
        <v>13.2</v>
      </c>
      <c r="J90" s="5">
        <v>59.106343750000015</v>
      </c>
      <c r="K90" s="23">
        <v>1.13</v>
      </c>
      <c r="L90" s="7">
        <f t="shared" si="22"/>
        <v>238.80292439999997</v>
      </c>
      <c r="M90" s="7">
        <f t="shared" si="22"/>
        <v>433.58990399999993</v>
      </c>
      <c r="N90" s="7">
        <f t="shared" si="22"/>
        <v>1941.5086297237501</v>
      </c>
      <c r="O90" s="7">
        <f t="shared" si="22"/>
        <v>37.11792359999999</v>
      </c>
      <c r="P90" s="7">
        <f t="shared" si="23"/>
        <v>81.120664069632</v>
      </c>
      <c r="Q90" s="7">
        <f t="shared" si="23"/>
        <v>147.89922886655998</v>
      </c>
      <c r="R90" s="7">
        <f t="shared" si="23"/>
        <v>632.796188437944</v>
      </c>
      <c r="S90" s="7">
        <f t="shared" si="23"/>
        <v>12.541997097215999</v>
      </c>
    </row>
    <row r="91" spans="1:19" ht="12.75">
      <c r="A91">
        <v>22</v>
      </c>
      <c r="B91" s="6" t="s">
        <v>331</v>
      </c>
      <c r="C91" s="88">
        <v>38171</v>
      </c>
      <c r="D91" s="10">
        <v>0.8333333333333334</v>
      </c>
      <c r="E91" s="4">
        <f t="shared" si="20"/>
        <v>9682</v>
      </c>
      <c r="F91" s="6">
        <v>956</v>
      </c>
      <c r="G91" s="7">
        <f t="shared" si="21"/>
        <v>27.071051999999998</v>
      </c>
      <c r="H91" s="5">
        <v>8.52</v>
      </c>
      <c r="I91" s="5">
        <v>15.6</v>
      </c>
      <c r="J91" s="5">
        <v>63.55520833333333</v>
      </c>
      <c r="K91" s="23">
        <v>1.31</v>
      </c>
      <c r="L91" s="7">
        <f t="shared" si="22"/>
        <v>230.64536303999998</v>
      </c>
      <c r="M91" s="7">
        <f t="shared" si="22"/>
        <v>422.30841119999997</v>
      </c>
      <c r="N91" s="7">
        <f t="shared" si="22"/>
        <v>1720.5063496624998</v>
      </c>
      <c r="O91" s="7">
        <f t="shared" si="22"/>
        <v>35.46307812</v>
      </c>
      <c r="P91" s="7">
        <f t="shared" si="23"/>
        <v>132.59360175969599</v>
      </c>
      <c r="Q91" s="7">
        <f t="shared" si="23"/>
        <v>242.51530122287997</v>
      </c>
      <c r="R91" s="7">
        <f t="shared" si="23"/>
        <v>973.6903337518744</v>
      </c>
      <c r="S91" s="7">
        <f t="shared" si="23"/>
        <v>20.014955791488</v>
      </c>
    </row>
    <row r="92" spans="1:19" ht="12.75">
      <c r="A92">
        <v>23</v>
      </c>
      <c r="B92" s="6" t="s">
        <v>332</v>
      </c>
      <c r="C92" s="88">
        <v>38178</v>
      </c>
      <c r="D92" s="10">
        <v>0.6875</v>
      </c>
      <c r="E92" s="4">
        <f t="shared" si="20"/>
        <v>9689</v>
      </c>
      <c r="F92" s="6">
        <v>775</v>
      </c>
      <c r="G92" s="7">
        <f t="shared" si="21"/>
        <v>21.945674999999998</v>
      </c>
      <c r="H92" s="5">
        <v>9.47</v>
      </c>
      <c r="I92" s="5">
        <v>17.3</v>
      </c>
      <c r="J92" s="5">
        <v>68.32184895833335</v>
      </c>
      <c r="K92" s="23">
        <v>1.4</v>
      </c>
      <c r="L92" s="7">
        <f t="shared" si="22"/>
        <v>207.82554224999998</v>
      </c>
      <c r="M92" s="7">
        <f t="shared" si="22"/>
        <v>379.6601775</v>
      </c>
      <c r="N92" s="7">
        <f t="shared" si="22"/>
        <v>1499.369092638672</v>
      </c>
      <c r="O92" s="7">
        <f t="shared" si="22"/>
        <v>30.723944999999993</v>
      </c>
      <c r="P92" s="7">
        <f t="shared" si="23"/>
        <v>117.517305654</v>
      </c>
      <c r="Q92" s="7">
        <f t="shared" si="23"/>
        <v>217.86139287359998</v>
      </c>
      <c r="R92" s="7">
        <f t="shared" si="23"/>
        <v>816.2454299277048</v>
      </c>
      <c r="S92" s="7">
        <f t="shared" si="23"/>
        <v>17.2738343988</v>
      </c>
    </row>
    <row r="93" spans="1:19" ht="12.75">
      <c r="A93">
        <v>24</v>
      </c>
      <c r="B93" s="6" t="s">
        <v>333</v>
      </c>
      <c r="C93" s="88">
        <v>38185</v>
      </c>
      <c r="D93" s="10">
        <v>0.75</v>
      </c>
      <c r="E93" s="4">
        <f t="shared" si="20"/>
        <v>9696</v>
      </c>
      <c r="F93" s="6">
        <v>565</v>
      </c>
      <c r="G93" s="7">
        <f t="shared" si="21"/>
        <v>15.999104999999998</v>
      </c>
      <c r="H93" s="5">
        <v>11.3</v>
      </c>
      <c r="I93" s="5">
        <v>21.3</v>
      </c>
      <c r="J93" s="5">
        <v>74.99514583333332</v>
      </c>
      <c r="K93" s="23">
        <v>1.65</v>
      </c>
      <c r="L93" s="7">
        <f t="shared" si="22"/>
        <v>180.7898865</v>
      </c>
      <c r="M93" s="7">
        <f t="shared" si="22"/>
        <v>340.7809365</v>
      </c>
      <c r="N93" s="7">
        <f t="shared" si="22"/>
        <v>1199.8552126778122</v>
      </c>
      <c r="O93" s="7">
        <f t="shared" si="22"/>
        <v>26.398523249999997</v>
      </c>
      <c r="P93" s="7">
        <f t="shared" si="23"/>
        <v>115.40693931983999</v>
      </c>
      <c r="Q93" s="7">
        <f t="shared" si="23"/>
        <v>201.58900843536</v>
      </c>
      <c r="R93" s="7">
        <f t="shared" si="23"/>
        <v>705.6557594071712</v>
      </c>
      <c r="S93" s="7">
        <f t="shared" si="23"/>
        <v>15.543068549903998</v>
      </c>
    </row>
    <row r="94" spans="1:19" ht="12.75">
      <c r="A94">
        <v>25</v>
      </c>
      <c r="B94" s="6" t="s">
        <v>334</v>
      </c>
      <c r="C94" s="88">
        <v>38192</v>
      </c>
      <c r="D94" s="10">
        <v>0.6458333333333334</v>
      </c>
      <c r="E94" s="4">
        <f t="shared" si="20"/>
        <v>9703</v>
      </c>
      <c r="F94" s="6">
        <v>496</v>
      </c>
      <c r="G94" s="7">
        <f t="shared" si="21"/>
        <v>14.045231999999999</v>
      </c>
      <c r="H94" s="5">
        <v>14.3</v>
      </c>
      <c r="I94" s="5">
        <v>23.2</v>
      </c>
      <c r="J94" s="5">
        <v>80.71511458333333</v>
      </c>
      <c r="K94" s="23">
        <v>1.78</v>
      </c>
      <c r="L94" s="7">
        <f t="shared" si="22"/>
        <v>200.84681759999998</v>
      </c>
      <c r="M94" s="7">
        <f t="shared" si="22"/>
        <v>325.84938239999997</v>
      </c>
      <c r="N94" s="7">
        <f t="shared" si="22"/>
        <v>1133.6625102295</v>
      </c>
      <c r="O94" s="7">
        <f t="shared" si="22"/>
        <v>25.00051296</v>
      </c>
      <c r="P94" s="7">
        <f t="shared" si="23"/>
        <v>307.15527828384</v>
      </c>
      <c r="Q94" s="7">
        <f t="shared" si="23"/>
        <v>543.24657129456</v>
      </c>
      <c r="R94" s="7">
        <f t="shared" si="23"/>
        <v>1722.1032963009256</v>
      </c>
      <c r="S94" s="7">
        <f t="shared" si="23"/>
        <v>38.336480679168</v>
      </c>
    </row>
    <row r="95" spans="1:19" ht="12.75">
      <c r="A95">
        <v>26</v>
      </c>
      <c r="B95" s="6" t="s">
        <v>335</v>
      </c>
      <c r="C95" s="88">
        <v>38213</v>
      </c>
      <c r="D95" s="10">
        <v>0.6770833333333334</v>
      </c>
      <c r="E95" s="4">
        <f t="shared" si="20"/>
        <v>9724</v>
      </c>
      <c r="F95" s="6">
        <v>293</v>
      </c>
      <c r="G95" s="7">
        <f t="shared" si="21"/>
        <v>8.296880999999999</v>
      </c>
      <c r="H95" s="5">
        <v>16.6</v>
      </c>
      <c r="I95" s="5">
        <v>32.9</v>
      </c>
      <c r="J95" s="5">
        <v>92.15505208333333</v>
      </c>
      <c r="K95" s="23">
        <v>2.08</v>
      </c>
      <c r="L95" s="7">
        <f t="shared" si="22"/>
        <v>137.7282246</v>
      </c>
      <c r="M95" s="7">
        <f t="shared" si="22"/>
        <v>272.96738489999996</v>
      </c>
      <c r="N95" s="7">
        <f t="shared" si="22"/>
        <v>764.5995006842187</v>
      </c>
      <c r="O95" s="7">
        <f t="shared" si="22"/>
        <v>17.25751248</v>
      </c>
      <c r="P95" s="7">
        <f t="shared" si="23"/>
        <v>193.56627677183997</v>
      </c>
      <c r="Q95" s="7">
        <f t="shared" si="23"/>
        <v>359.9482607279999</v>
      </c>
      <c r="R95" s="7">
        <f t="shared" si="23"/>
        <v>1084.040544342637</v>
      </c>
      <c r="S95" s="7">
        <f t="shared" si="23"/>
        <v>25.467056602847997</v>
      </c>
    </row>
    <row r="96" spans="1:19" ht="12.75">
      <c r="A96">
        <v>27</v>
      </c>
      <c r="B96" s="6" t="s">
        <v>336</v>
      </c>
      <c r="C96" s="88">
        <v>38227</v>
      </c>
      <c r="D96" s="10">
        <v>0.6145833333333334</v>
      </c>
      <c r="E96" s="4">
        <f t="shared" si="20"/>
        <v>9738</v>
      </c>
      <c r="F96" s="6">
        <v>441</v>
      </c>
      <c r="G96" s="7">
        <f t="shared" si="21"/>
        <v>12.487796999999999</v>
      </c>
      <c r="H96" s="5">
        <v>14.6</v>
      </c>
      <c r="I96" s="5">
        <v>25.8</v>
      </c>
      <c r="J96" s="5">
        <v>82.30399479166665</v>
      </c>
      <c r="K96" s="23">
        <v>1.99</v>
      </c>
      <c r="L96" s="7">
        <f t="shared" si="22"/>
        <v>182.32183619999998</v>
      </c>
      <c r="M96" s="7">
        <f t="shared" si="22"/>
        <v>322.18516259999996</v>
      </c>
      <c r="N96" s="7">
        <f t="shared" si="22"/>
        <v>1027.7955792473904</v>
      </c>
      <c r="O96" s="7">
        <f t="shared" si="22"/>
        <v>24.850716029999997</v>
      </c>
      <c r="P96" s="7">
        <f t="shared" si="23"/>
        <v>259.91800968672</v>
      </c>
      <c r="Q96" s="7">
        <f t="shared" si="23"/>
        <v>459.3071678025599</v>
      </c>
      <c r="R96" s="7">
        <f t="shared" si="23"/>
        <v>1465.2253777750798</v>
      </c>
      <c r="S96" s="7">
        <f t="shared" si="23"/>
        <v>35.427180772368</v>
      </c>
    </row>
    <row r="97" spans="1:19" ht="12.75">
      <c r="A97">
        <v>28</v>
      </c>
      <c r="C97" s="85">
        <v>38260</v>
      </c>
      <c r="E97" s="15">
        <f t="shared" si="20"/>
        <v>9771</v>
      </c>
      <c r="F97" s="93">
        <v>404</v>
      </c>
      <c r="G97" s="7">
        <f t="shared" si="21"/>
        <v>11.440068</v>
      </c>
      <c r="H97" s="5">
        <f>79.371*G97^-0.6831</f>
        <v>15.019285448460238</v>
      </c>
      <c r="I97" s="5">
        <f>115.46*G97^-0.599</f>
        <v>26.818397169780475</v>
      </c>
      <c r="J97" s="5">
        <f>155.8*G97^-0.253</f>
        <v>84.09787382499857</v>
      </c>
      <c r="K97" s="23">
        <f>6.4233*G97^-0.4885</f>
        <v>1.9530611096160917</v>
      </c>
      <c r="L97" s="7"/>
      <c r="M97" s="7"/>
      <c r="N97" s="7"/>
      <c r="O97" s="7"/>
      <c r="P97" s="7"/>
      <c r="Q97" s="95"/>
      <c r="R97" s="95"/>
      <c r="S97" s="95"/>
    </row>
    <row r="98" spans="2:19" ht="12.75">
      <c r="B98" s="17"/>
      <c r="C98" s="96"/>
      <c r="D98" s="17"/>
      <c r="E98" s="17"/>
      <c r="F98" s="17"/>
      <c r="G98" s="17"/>
      <c r="H98" s="91"/>
      <c r="I98" s="91"/>
      <c r="J98" s="91"/>
      <c r="K98" s="84"/>
      <c r="L98" s="17"/>
      <c r="M98" s="17"/>
      <c r="N98" s="17"/>
      <c r="O98" s="17"/>
      <c r="P98" s="17"/>
      <c r="Q98" s="17"/>
      <c r="R98" s="17"/>
      <c r="S98" s="17"/>
    </row>
    <row r="99" spans="2:19" ht="12.75">
      <c r="B99" s="35" t="s">
        <v>223</v>
      </c>
      <c r="C99" s="86"/>
      <c r="M99" s="11"/>
      <c r="N99" s="11"/>
      <c r="O99" s="11"/>
      <c r="P99" s="11">
        <f>SUM(P70:P96)</f>
        <v>5925.834796976063</v>
      </c>
      <c r="Q99" s="11">
        <f>SUM(Q70:Q96)</f>
        <v>10415.476063672286</v>
      </c>
      <c r="R99" s="11">
        <f>SUM(R70:R96)</f>
        <v>39684.94811941904</v>
      </c>
      <c r="S99" s="11">
        <f>SUM(S70:S96)</f>
        <v>826.1183740545644</v>
      </c>
    </row>
    <row r="100" spans="3:15" ht="12.75">
      <c r="C100" s="86"/>
      <c r="G100" s="11"/>
      <c r="M100" s="11"/>
      <c r="N100" s="11"/>
      <c r="O100" s="11"/>
    </row>
    <row r="103" spans="2:4" ht="12.75">
      <c r="B103" t="s">
        <v>606</v>
      </c>
      <c r="D103" t="s">
        <v>605</v>
      </c>
    </row>
    <row r="104" spans="2:4" ht="12.75">
      <c r="B104" t="s">
        <v>608</v>
      </c>
      <c r="D104" t="s">
        <v>607</v>
      </c>
    </row>
    <row r="105" spans="2:4" ht="12.75">
      <c r="B105" t="s">
        <v>610</v>
      </c>
      <c r="D105" t="s">
        <v>609</v>
      </c>
    </row>
    <row r="106" spans="2:4" ht="12.75">
      <c r="B106" t="s">
        <v>612</v>
      </c>
      <c r="D106" t="s">
        <v>611</v>
      </c>
    </row>
  </sheetData>
  <dataValidations count="1">
    <dataValidation type="textLength" operator="greaterThanOrEqual" allowBlank="1" showInputMessage="1" showErrorMessage="1" sqref="L3:O31 Q97:S97 L35:O66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02"/>
  <sheetViews>
    <sheetView workbookViewId="0" topLeftCell="A1">
      <pane xSplit="2" ySplit="2" topLeftCell="F6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96" sqref="P96:S96"/>
    </sheetView>
  </sheetViews>
  <sheetFormatPr defaultColWidth="9.140625" defaultRowHeight="12.75"/>
  <cols>
    <col min="2" max="2" width="14.8515625" style="0" customWidth="1"/>
    <col min="3" max="3" width="10.140625" style="120" customWidth="1"/>
    <col min="4" max="5" width="8.8515625" style="0" customWidth="1"/>
    <col min="6" max="6" width="11.8515625" style="0" customWidth="1"/>
    <col min="7" max="7" width="12.140625" style="0" customWidth="1"/>
    <col min="8" max="10" width="8.8515625" style="5" customWidth="1"/>
    <col min="11" max="11" width="8.8515625" style="23" customWidth="1"/>
    <col min="12" max="15" width="10.7109375" style="0" customWidth="1"/>
    <col min="16" max="16" width="11.7109375" style="0" customWidth="1"/>
    <col min="17" max="16384" width="8.8515625" style="0" customWidth="1"/>
  </cols>
  <sheetData>
    <row r="1" spans="2:20" s="77" customFormat="1" ht="13.5" thickBot="1">
      <c r="B1" s="67" t="s">
        <v>187</v>
      </c>
      <c r="C1" s="118"/>
      <c r="D1" s="69"/>
      <c r="E1" s="69"/>
      <c r="F1" s="69"/>
      <c r="G1" s="70"/>
      <c r="H1" s="109"/>
      <c r="I1" s="110"/>
      <c r="J1" s="110"/>
      <c r="K1" s="71"/>
      <c r="L1" s="74"/>
      <c r="M1" s="74"/>
      <c r="N1" s="74"/>
      <c r="O1" s="74"/>
      <c r="P1" s="75"/>
      <c r="Q1" s="75"/>
      <c r="R1" s="75"/>
      <c r="S1" s="75"/>
      <c r="T1" s="76"/>
    </row>
    <row r="2" spans="2:19" s="77" customFormat="1" ht="39.75" thickBot="1" thickTop="1">
      <c r="B2" s="78" t="s">
        <v>0</v>
      </c>
      <c r="C2" s="119" t="s">
        <v>1</v>
      </c>
      <c r="D2" s="79" t="s">
        <v>163</v>
      </c>
      <c r="E2" s="79" t="s">
        <v>29</v>
      </c>
      <c r="F2" s="79" t="s">
        <v>162</v>
      </c>
      <c r="G2" s="80" t="s">
        <v>161</v>
      </c>
      <c r="H2" s="111" t="s">
        <v>2</v>
      </c>
      <c r="I2" s="111" t="s">
        <v>158</v>
      </c>
      <c r="J2" s="111" t="s">
        <v>159</v>
      </c>
      <c r="K2" s="113" t="s">
        <v>160</v>
      </c>
      <c r="L2" s="80" t="s">
        <v>176</v>
      </c>
      <c r="M2" s="80" t="s">
        <v>177</v>
      </c>
      <c r="N2" s="80" t="s">
        <v>178</v>
      </c>
      <c r="O2" s="80" t="s">
        <v>179</v>
      </c>
      <c r="P2" s="81" t="s">
        <v>180</v>
      </c>
      <c r="Q2" s="81" t="s">
        <v>181</v>
      </c>
      <c r="R2" s="81" t="s">
        <v>182</v>
      </c>
      <c r="S2" s="81" t="s">
        <v>183</v>
      </c>
    </row>
    <row r="3" spans="1:19" ht="12.75">
      <c r="A3">
        <v>1</v>
      </c>
      <c r="C3" s="120">
        <v>37165</v>
      </c>
      <c r="D3" s="3">
        <v>0.9583333333333334</v>
      </c>
      <c r="E3" s="4">
        <f aca="true" t="shared" si="0" ref="E3:E30">C3-28489</f>
        <v>8676</v>
      </c>
      <c r="F3" s="5">
        <v>343</v>
      </c>
      <c r="G3" s="11">
        <f>F3*0.028317</f>
        <v>9.712731</v>
      </c>
      <c r="H3" s="5">
        <f>81.214*G3^-0.7323</f>
        <v>15.36741510463013</v>
      </c>
      <c r="I3" s="5">
        <f>9.8759*G3^-0.4114</f>
        <v>3.8760060646948746</v>
      </c>
      <c r="J3" s="5">
        <f>327.24*G3^-0.5458</f>
        <v>94.61837154533988</v>
      </c>
      <c r="K3" s="23">
        <f>20.422*G3^-0.6995</f>
        <v>4.163446514993753</v>
      </c>
      <c r="L3" s="11">
        <f aca="true" t="shared" si="1" ref="L3:O4">(H3*$G3)</f>
        <v>149.2595690766093</v>
      </c>
      <c r="M3" s="11">
        <f t="shared" si="1"/>
        <v>37.64660426074991</v>
      </c>
      <c r="N3" s="11">
        <f t="shared" si="1"/>
        <v>919.0027904779406</v>
      </c>
      <c r="O3" s="11">
        <f t="shared" si="1"/>
        <v>40.43843603302179</v>
      </c>
      <c r="P3" s="11">
        <f aca="true" t="shared" si="2" ref="P3:S4">(((L3+L4)/2)*(($E4-$E3)*24*60*60))/1000000</f>
        <v>414.2047939544147</v>
      </c>
      <c r="Q3" s="11">
        <f t="shared" si="2"/>
        <v>109.181750854866</v>
      </c>
      <c r="R3" s="11">
        <f t="shared" si="2"/>
        <v>2615.9423016172495</v>
      </c>
      <c r="S3" s="11">
        <f t="shared" si="2"/>
        <v>112.71717934585129</v>
      </c>
    </row>
    <row r="4" spans="1:19" ht="12.75">
      <c r="A4">
        <v>2</v>
      </c>
      <c r="C4" s="120">
        <v>37196</v>
      </c>
      <c r="D4" s="3"/>
      <c r="E4" s="4">
        <f t="shared" si="0"/>
        <v>8707</v>
      </c>
      <c r="F4" s="5">
        <v>445</v>
      </c>
      <c r="G4" s="11">
        <f>F4*0.028317</f>
        <v>12.601065</v>
      </c>
      <c r="H4" s="5">
        <f>81.214*G4^-0.7323</f>
        <v>12.699969286403203</v>
      </c>
      <c r="I4" s="5">
        <f>9.8759*G4^-0.4114</f>
        <v>3.4823237144443393</v>
      </c>
      <c r="J4" s="5">
        <f>327.24*G4^-0.5458</f>
        <v>82.08505735242981</v>
      </c>
      <c r="K4" s="23">
        <f>20.422*G4^-0.6995</f>
        <v>3.4702710658377787</v>
      </c>
      <c r="L4" s="11">
        <f t="shared" si="1"/>
        <v>160.0331384759704</v>
      </c>
      <c r="M4" s="11">
        <f t="shared" si="1"/>
        <v>43.88098747675456</v>
      </c>
      <c r="N4" s="11">
        <f t="shared" si="1"/>
        <v>1034.359143226696</v>
      </c>
      <c r="O4" s="11">
        <f t="shared" si="1"/>
        <v>43.72911126824113</v>
      </c>
      <c r="P4" s="11">
        <f t="shared" si="2"/>
        <v>190.97852959410892</v>
      </c>
      <c r="Q4" s="11">
        <f t="shared" si="2"/>
        <v>51.537547208866435</v>
      </c>
      <c r="R4" s="11">
        <f t="shared" si="2"/>
        <v>1222.9422780599523</v>
      </c>
      <c r="S4" s="11">
        <f t="shared" si="2"/>
        <v>52.09930435299847</v>
      </c>
    </row>
    <row r="5" spans="1:19" ht="12.75">
      <c r="A5">
        <v>3</v>
      </c>
      <c r="C5" s="120">
        <v>37210</v>
      </c>
      <c r="D5" s="3"/>
      <c r="E5" s="4">
        <f t="shared" si="0"/>
        <v>8721</v>
      </c>
      <c r="F5" s="5">
        <v>402</v>
      </c>
      <c r="G5" s="11">
        <f>F5*0.028317</f>
        <v>11.383434</v>
      </c>
      <c r="H5" s="5">
        <f>81.214*G5^-0.7323</f>
        <v>13.681129949114418</v>
      </c>
      <c r="I5" s="5">
        <f>9.8759*G5^-0.4114</f>
        <v>3.6309966703021224</v>
      </c>
      <c r="J5" s="5">
        <f>327.24*G5^-0.5458</f>
        <v>86.76656812994226</v>
      </c>
      <c r="K5" s="23">
        <f>20.422*G5^-0.6995</f>
        <v>3.725933529016769</v>
      </c>
      <c r="L5" s="11">
        <f aca="true" t="shared" si="3" ref="L5:L30">(H5*$G5)</f>
        <v>155.73823982116733</v>
      </c>
      <c r="M5" s="11">
        <f aca="true" t="shared" si="4" ref="M5:M30">(I5*$G5)</f>
        <v>41.33321095060397</v>
      </c>
      <c r="N5" s="11">
        <f aca="true" t="shared" si="5" ref="N5:N30">(J5*$G5)</f>
        <v>987.7015017137011</v>
      </c>
      <c r="O5" s="11">
        <f aca="true" t="shared" si="6" ref="O5:O30">(K5*$G5)</f>
        <v>42.413918415949475</v>
      </c>
      <c r="P5" s="11">
        <f aca="true" t="shared" si="7" ref="P5:P29">(((L5+L6)/2)*(($E6-$E5)*24*60*60))/1000000</f>
        <v>394.8227812482437</v>
      </c>
      <c r="Q5" s="11">
        <f aca="true" t="shared" si="8" ref="Q5:Q29">(((M5+M6)/2)*(($E6-$E5)*24*60*60))/1000000</f>
        <v>102.10621071107973</v>
      </c>
      <c r="R5" s="11">
        <f aca="true" t="shared" si="9" ref="R5:R29">(((N5+N6)/2)*(($E6-$E5)*24*60*60))/1000000</f>
        <v>2466.3459479866924</v>
      </c>
      <c r="S5" s="11">
        <f aca="true" t="shared" si="10" ref="S5:S29">(((O5+O6)/2)*(($E6-$E5)*24*60*60))/1000000</f>
        <v>107.23848445103947</v>
      </c>
    </row>
    <row r="6" spans="1:19" ht="12.75">
      <c r="A6">
        <v>4</v>
      </c>
      <c r="C6" s="120">
        <v>37240</v>
      </c>
      <c r="D6" s="3"/>
      <c r="E6" s="4">
        <f t="shared" si="0"/>
        <v>8751</v>
      </c>
      <c r="F6" s="5">
        <v>340</v>
      </c>
      <c r="G6" s="11">
        <f>F6*0.028317</f>
        <v>9.62778</v>
      </c>
      <c r="H6" s="5">
        <f>81.214*G6^-0.7323</f>
        <v>15.46659436880643</v>
      </c>
      <c r="I6" s="5">
        <f>9.8759*G6^-0.4114</f>
        <v>3.89003960022624</v>
      </c>
      <c r="J6" s="5">
        <f>327.24*G6^-0.5458</f>
        <v>95.07313329126688</v>
      </c>
      <c r="K6" s="23">
        <f>20.422*G6^-0.6995</f>
        <v>4.189109613974904</v>
      </c>
      <c r="L6" s="11">
        <f t="shared" si="3"/>
        <v>148.90896793210715</v>
      </c>
      <c r="M6" s="11">
        <f t="shared" si="4"/>
        <v>37.45244546226619</v>
      </c>
      <c r="N6" s="11">
        <f t="shared" si="5"/>
        <v>915.3432112389935</v>
      </c>
      <c r="O6" s="11">
        <f t="shared" si="6"/>
        <v>40.3318257592353</v>
      </c>
      <c r="P6" s="11">
        <f t="shared" si="7"/>
        <v>406.72317237197194</v>
      </c>
      <c r="Q6" s="11">
        <f t="shared" si="8"/>
        <v>104.77692993052342</v>
      </c>
      <c r="R6" s="11">
        <f t="shared" si="9"/>
        <v>2535.023954244992</v>
      </c>
      <c r="S6" s="11">
        <f t="shared" si="10"/>
        <v>110.42793667940776</v>
      </c>
    </row>
    <row r="7" spans="1:19" ht="12.75">
      <c r="A7">
        <v>5</v>
      </c>
      <c r="C7" s="120">
        <v>37271</v>
      </c>
      <c r="D7" s="3"/>
      <c r="E7" s="4">
        <f t="shared" si="0"/>
        <v>8782</v>
      </c>
      <c r="F7" s="5">
        <v>393</v>
      </c>
      <c r="G7" s="11">
        <f>F7*0.028317</f>
        <v>11.128580999999999</v>
      </c>
      <c r="H7" s="5">
        <f>81.214*G7^-0.7323</f>
        <v>13.90986906844719</v>
      </c>
      <c r="I7" s="5">
        <f>9.8759*G7^-0.4114</f>
        <v>3.6649778451730963</v>
      </c>
      <c r="J7" s="5">
        <f>327.24*G7^-0.5458</f>
        <v>87.84550543285252</v>
      </c>
      <c r="K7" s="23">
        <f>20.422*G7^-0.6995</f>
        <v>3.7854162133343996</v>
      </c>
      <c r="L7" s="11">
        <f t="shared" si="3"/>
        <v>154.7971046276091</v>
      </c>
      <c r="M7" s="11">
        <f t="shared" si="4"/>
        <v>40.78600281321426</v>
      </c>
      <c r="N7" s="11">
        <f t="shared" si="5"/>
        <v>977.5958226954392</v>
      </c>
      <c r="O7" s="11">
        <f t="shared" si="6"/>
        <v>42.12631094880514</v>
      </c>
      <c r="P7" s="11">
        <f t="shared" si="7"/>
        <v>340.692627293556</v>
      </c>
      <c r="Q7" s="11">
        <f t="shared" si="8"/>
        <v>88.79333316926396</v>
      </c>
      <c r="R7" s="11">
        <f t="shared" si="9"/>
        <v>2103.767564213475</v>
      </c>
      <c r="S7" s="11">
        <f t="shared" si="10"/>
        <v>88.2224263252747</v>
      </c>
    </row>
    <row r="8" spans="1:19" ht="12.75">
      <c r="A8">
        <v>6</v>
      </c>
      <c r="B8" s="1" t="s">
        <v>104</v>
      </c>
      <c r="C8" s="120">
        <v>37299</v>
      </c>
      <c r="D8" s="31">
        <v>0.75</v>
      </c>
      <c r="E8" s="4">
        <f t="shared" si="0"/>
        <v>8810</v>
      </c>
      <c r="F8" s="32">
        <v>320</v>
      </c>
      <c r="G8" s="11">
        <f aca="true" t="shared" si="11" ref="G8:G30">F8*0.028317</f>
        <v>9.06144</v>
      </c>
      <c r="H8" s="5">
        <v>14</v>
      </c>
      <c r="I8" s="57">
        <v>3.6</v>
      </c>
      <c r="J8" s="57">
        <v>84.05176302083333</v>
      </c>
      <c r="K8" s="39">
        <v>3.4</v>
      </c>
      <c r="L8" s="11">
        <f t="shared" si="3"/>
        <v>126.86016</v>
      </c>
      <c r="M8" s="11">
        <f t="shared" si="4"/>
        <v>32.621184</v>
      </c>
      <c r="N8" s="11">
        <f t="shared" si="5"/>
        <v>761.6300075075</v>
      </c>
      <c r="O8" s="11">
        <f t="shared" si="6"/>
        <v>30.808895999999997</v>
      </c>
      <c r="P8" s="11">
        <f t="shared" si="7"/>
        <v>390.35813621759996</v>
      </c>
      <c r="Q8" s="11">
        <f t="shared" si="8"/>
        <v>100.20542679936</v>
      </c>
      <c r="R8" s="11">
        <f t="shared" si="9"/>
        <v>2307.986330121052</v>
      </c>
      <c r="S8" s="11">
        <f t="shared" si="10"/>
        <v>93.76698371328</v>
      </c>
    </row>
    <row r="9" spans="1:19" ht="12.75">
      <c r="A9">
        <v>7</v>
      </c>
      <c r="B9" s="1" t="s">
        <v>105</v>
      </c>
      <c r="C9" s="120">
        <v>37335</v>
      </c>
      <c r="D9" s="33">
        <v>0.49652777777777773</v>
      </c>
      <c r="E9" s="4">
        <f t="shared" si="0"/>
        <v>8846</v>
      </c>
      <c r="F9" s="34">
        <v>274</v>
      </c>
      <c r="G9" s="11">
        <f t="shared" si="11"/>
        <v>7.758857999999999</v>
      </c>
      <c r="H9" s="5">
        <v>16</v>
      </c>
      <c r="I9" s="57">
        <v>4.1</v>
      </c>
      <c r="J9" s="57">
        <v>93.10838020833334</v>
      </c>
      <c r="K9" s="39">
        <v>3.8</v>
      </c>
      <c r="L9" s="11">
        <f t="shared" si="3"/>
        <v>124.14172799999999</v>
      </c>
      <c r="M9" s="11">
        <f t="shared" si="4"/>
        <v>31.811317799999994</v>
      </c>
      <c r="N9" s="11">
        <f t="shared" si="5"/>
        <v>722.4147006464688</v>
      </c>
      <c r="O9" s="11">
        <f t="shared" si="6"/>
        <v>29.483660399999994</v>
      </c>
      <c r="P9" s="11">
        <f t="shared" si="7"/>
        <v>309.91429647359996</v>
      </c>
      <c r="Q9" s="11">
        <f t="shared" si="8"/>
        <v>91.33531910495999</v>
      </c>
      <c r="R9" s="11">
        <f t="shared" si="9"/>
        <v>1898.8247244716283</v>
      </c>
      <c r="S9" s="11">
        <f t="shared" si="10"/>
        <v>71.13848390207998</v>
      </c>
    </row>
    <row r="10" spans="1:19" ht="12.75">
      <c r="A10">
        <v>8</v>
      </c>
      <c r="B10" s="1" t="s">
        <v>106</v>
      </c>
      <c r="C10" s="120">
        <v>37356</v>
      </c>
      <c r="D10" s="33">
        <v>0.46875</v>
      </c>
      <c r="E10" s="4">
        <f t="shared" si="0"/>
        <v>8867</v>
      </c>
      <c r="F10" s="34">
        <v>640</v>
      </c>
      <c r="G10" s="11">
        <f t="shared" si="11"/>
        <v>18.12288</v>
      </c>
      <c r="H10" s="5">
        <v>12</v>
      </c>
      <c r="I10" s="57">
        <v>3.8</v>
      </c>
      <c r="J10" s="57">
        <v>75.63069791666668</v>
      </c>
      <c r="K10" s="39">
        <v>2.7</v>
      </c>
      <c r="L10" s="11">
        <f t="shared" si="3"/>
        <v>217.47456</v>
      </c>
      <c r="M10" s="11">
        <f t="shared" si="4"/>
        <v>68.86694399999999</v>
      </c>
      <c r="N10" s="11">
        <f t="shared" si="5"/>
        <v>1370.64606266</v>
      </c>
      <c r="O10" s="11">
        <f t="shared" si="6"/>
        <v>48.931776</v>
      </c>
      <c r="P10" s="11">
        <f t="shared" si="7"/>
        <v>136.9747205568</v>
      </c>
      <c r="Q10" s="11">
        <f t="shared" si="8"/>
        <v>43.483222742399995</v>
      </c>
      <c r="R10" s="11">
        <f t="shared" si="9"/>
        <v>853.6909764455825</v>
      </c>
      <c r="S10" s="11">
        <f t="shared" si="10"/>
        <v>28.39168438848</v>
      </c>
    </row>
    <row r="11" spans="1:19" ht="12.75">
      <c r="A11">
        <v>9</v>
      </c>
      <c r="B11" s="1" t="s">
        <v>107</v>
      </c>
      <c r="C11" s="120">
        <v>37363</v>
      </c>
      <c r="D11" s="33">
        <v>0.5868055555555556</v>
      </c>
      <c r="E11" s="4">
        <f t="shared" si="0"/>
        <v>8874</v>
      </c>
      <c r="F11" s="34">
        <v>756</v>
      </c>
      <c r="G11" s="11">
        <f t="shared" si="11"/>
        <v>21.407652</v>
      </c>
      <c r="H11" s="5">
        <v>11</v>
      </c>
      <c r="I11" s="57">
        <v>3.5</v>
      </c>
      <c r="J11" s="57">
        <v>67.84518489583334</v>
      </c>
      <c r="K11" s="39">
        <v>2.1</v>
      </c>
      <c r="L11" s="11">
        <f t="shared" si="3"/>
        <v>235.484172</v>
      </c>
      <c r="M11" s="11">
        <f t="shared" si="4"/>
        <v>74.926782</v>
      </c>
      <c r="N11" s="11">
        <f t="shared" si="5"/>
        <v>1452.4061081256564</v>
      </c>
      <c r="O11" s="11">
        <f t="shared" si="6"/>
        <v>44.9560692</v>
      </c>
      <c r="P11" s="11">
        <f t="shared" si="7"/>
        <v>144.78423200639998</v>
      </c>
      <c r="Q11" s="11">
        <f t="shared" si="8"/>
        <v>47.182465008</v>
      </c>
      <c r="R11" s="11">
        <f t="shared" si="9"/>
        <v>936.0325386598821</v>
      </c>
      <c r="S11" s="11">
        <f t="shared" si="10"/>
        <v>25.857018391679997</v>
      </c>
    </row>
    <row r="12" spans="1:19" ht="12.75">
      <c r="A12">
        <v>10</v>
      </c>
      <c r="B12" s="1" t="s">
        <v>108</v>
      </c>
      <c r="C12" s="120">
        <v>37370</v>
      </c>
      <c r="D12" s="33">
        <v>0.3680555555555556</v>
      </c>
      <c r="E12" s="4">
        <f t="shared" si="0"/>
        <v>8881</v>
      </c>
      <c r="F12" s="34">
        <v>716</v>
      </c>
      <c r="G12" s="11">
        <f t="shared" si="11"/>
        <v>20.274971999999998</v>
      </c>
      <c r="H12" s="5">
        <v>12</v>
      </c>
      <c r="I12" s="57">
        <v>4</v>
      </c>
      <c r="J12" s="57">
        <v>81.03289062500001</v>
      </c>
      <c r="K12" s="39">
        <v>2</v>
      </c>
      <c r="L12" s="11">
        <f t="shared" si="3"/>
        <v>243.29966399999998</v>
      </c>
      <c r="M12" s="11">
        <f t="shared" si="4"/>
        <v>81.09988799999999</v>
      </c>
      <c r="N12" s="11">
        <f t="shared" si="5"/>
        <v>1642.9395885009376</v>
      </c>
      <c r="O12" s="11">
        <f t="shared" si="6"/>
        <v>40.549943999999996</v>
      </c>
      <c r="P12" s="11">
        <f t="shared" si="7"/>
        <v>166.1918840064</v>
      </c>
      <c r="Q12" s="11">
        <f t="shared" si="8"/>
        <v>60.703538011199996</v>
      </c>
      <c r="R12" s="11">
        <f t="shared" si="9"/>
        <v>1145.24432548355</v>
      </c>
      <c r="S12" s="11">
        <f t="shared" si="10"/>
        <v>29.628190368</v>
      </c>
    </row>
    <row r="13" spans="1:19" ht="12.75">
      <c r="A13">
        <v>11</v>
      </c>
      <c r="B13" s="1" t="s">
        <v>109</v>
      </c>
      <c r="C13" s="120">
        <v>37377</v>
      </c>
      <c r="D13" s="33">
        <v>0.3993055555555556</v>
      </c>
      <c r="E13" s="4">
        <f t="shared" si="0"/>
        <v>8888</v>
      </c>
      <c r="F13" s="34">
        <v>1690</v>
      </c>
      <c r="G13" s="11">
        <f t="shared" si="11"/>
        <v>47.855729999999994</v>
      </c>
      <c r="H13" s="5">
        <v>6.4</v>
      </c>
      <c r="I13" s="57">
        <v>2.5</v>
      </c>
      <c r="J13" s="57">
        <v>44.806421875</v>
      </c>
      <c r="K13" s="39">
        <v>1.2</v>
      </c>
      <c r="L13" s="11">
        <f t="shared" si="3"/>
        <v>306.27667199999996</v>
      </c>
      <c r="M13" s="11">
        <f t="shared" si="4"/>
        <v>119.63932499999999</v>
      </c>
      <c r="N13" s="11">
        <f t="shared" si="5"/>
        <v>2144.2440275160934</v>
      </c>
      <c r="O13" s="11">
        <f t="shared" si="6"/>
        <v>57.42687599999999</v>
      </c>
      <c r="P13" s="11">
        <f t="shared" si="7"/>
        <v>158.973223752</v>
      </c>
      <c r="Q13" s="11">
        <f t="shared" si="8"/>
        <v>66.72336975359998</v>
      </c>
      <c r="R13" s="11">
        <f t="shared" si="9"/>
        <v>1209.041348818456</v>
      </c>
      <c r="S13" s="11">
        <f t="shared" si="10"/>
        <v>32.111478</v>
      </c>
    </row>
    <row r="14" spans="1:19" ht="12.75">
      <c r="A14">
        <v>12</v>
      </c>
      <c r="B14" s="1" t="s">
        <v>110</v>
      </c>
      <c r="C14" s="120">
        <v>37384</v>
      </c>
      <c r="D14" s="33">
        <v>0.4236111111111111</v>
      </c>
      <c r="E14" s="4">
        <f t="shared" si="0"/>
        <v>8895</v>
      </c>
      <c r="F14" s="1">
        <v>1230</v>
      </c>
      <c r="G14" s="11">
        <f t="shared" si="11"/>
        <v>34.82991</v>
      </c>
      <c r="H14" s="5">
        <v>6.3</v>
      </c>
      <c r="I14" s="57">
        <v>2.9</v>
      </c>
      <c r="J14" s="57">
        <v>53.22748697916667</v>
      </c>
      <c r="K14" s="39">
        <v>1.4</v>
      </c>
      <c r="L14" s="11">
        <f t="shared" si="3"/>
        <v>219.42843299999998</v>
      </c>
      <c r="M14" s="11">
        <f t="shared" si="4"/>
        <v>101.006739</v>
      </c>
      <c r="N14" s="11">
        <f t="shared" si="5"/>
        <v>1853.9085810105469</v>
      </c>
      <c r="O14" s="11">
        <f t="shared" si="6"/>
        <v>48.76187399999999</v>
      </c>
      <c r="P14" s="11">
        <f t="shared" si="7"/>
        <v>133.06140177119997</v>
      </c>
      <c r="Q14" s="11">
        <f t="shared" si="8"/>
        <v>64.7110504656</v>
      </c>
      <c r="R14" s="11">
        <f t="shared" si="9"/>
        <v>1157.7751547630232</v>
      </c>
      <c r="S14" s="11">
        <f t="shared" si="10"/>
        <v>34.269369321599996</v>
      </c>
    </row>
    <row r="15" spans="1:19" ht="12.75">
      <c r="A15">
        <v>13</v>
      </c>
      <c r="B15" s="1" t="s">
        <v>111</v>
      </c>
      <c r="C15" s="120">
        <v>37391</v>
      </c>
      <c r="D15" s="33">
        <v>0.5069444444444444</v>
      </c>
      <c r="E15" s="4">
        <f t="shared" si="0"/>
        <v>8902</v>
      </c>
      <c r="F15" s="1">
        <v>1900</v>
      </c>
      <c r="G15" s="11">
        <f t="shared" si="11"/>
        <v>53.802299999999995</v>
      </c>
      <c r="H15" s="5">
        <v>4.1</v>
      </c>
      <c r="I15" s="57">
        <v>2.1</v>
      </c>
      <c r="J15" s="57">
        <v>36.7031328125</v>
      </c>
      <c r="K15" s="39">
        <v>1.2</v>
      </c>
      <c r="L15" s="11">
        <f t="shared" si="3"/>
        <v>220.58942999999996</v>
      </c>
      <c r="M15" s="11">
        <f t="shared" si="4"/>
        <v>112.98482999999999</v>
      </c>
      <c r="N15" s="11">
        <f t="shared" si="5"/>
        <v>1974.7129625179687</v>
      </c>
      <c r="O15" s="11">
        <f t="shared" si="6"/>
        <v>64.56276</v>
      </c>
      <c r="P15" s="11">
        <f t="shared" si="7"/>
        <v>145.2808895328</v>
      </c>
      <c r="Q15" s="11">
        <f t="shared" si="8"/>
        <v>78.76303323839998</v>
      </c>
      <c r="R15" s="11">
        <f t="shared" si="9"/>
        <v>1339.4789821542938</v>
      </c>
      <c r="S15" s="11">
        <f t="shared" si="10"/>
        <v>40.547805500159996</v>
      </c>
    </row>
    <row r="16" spans="1:19" ht="12.75">
      <c r="A16">
        <v>14</v>
      </c>
      <c r="B16" s="1" t="s">
        <v>112</v>
      </c>
      <c r="C16" s="120">
        <v>37398</v>
      </c>
      <c r="D16" s="33">
        <v>0.5902777777777778</v>
      </c>
      <c r="E16" s="4">
        <f t="shared" si="0"/>
        <v>8909</v>
      </c>
      <c r="F16" s="1">
        <v>2480</v>
      </c>
      <c r="G16" s="11">
        <f t="shared" si="11"/>
        <v>70.22616</v>
      </c>
      <c r="H16" s="5">
        <v>3.7</v>
      </c>
      <c r="I16" s="57">
        <v>2.1</v>
      </c>
      <c r="J16" s="57">
        <v>34.955364583333335</v>
      </c>
      <c r="K16" s="39">
        <v>0.99</v>
      </c>
      <c r="L16" s="11">
        <f t="shared" si="3"/>
        <v>259.836792</v>
      </c>
      <c r="M16" s="11">
        <f t="shared" si="4"/>
        <v>147.47493599999999</v>
      </c>
      <c r="N16" s="11">
        <f t="shared" si="5"/>
        <v>2454.7810260875</v>
      </c>
      <c r="O16" s="11">
        <f t="shared" si="6"/>
        <v>69.5238984</v>
      </c>
      <c r="P16" s="11">
        <f t="shared" si="7"/>
        <v>144.6986013984</v>
      </c>
      <c r="Q16" s="11">
        <f t="shared" si="8"/>
        <v>81.8971134912</v>
      </c>
      <c r="R16" s="11">
        <f t="shared" si="9"/>
        <v>1386.1736684595605</v>
      </c>
      <c r="S16" s="11">
        <f t="shared" si="10"/>
        <v>41.36985933696</v>
      </c>
    </row>
    <row r="17" spans="1:19" ht="12.75">
      <c r="A17">
        <v>15</v>
      </c>
      <c r="B17" s="1" t="s">
        <v>113</v>
      </c>
      <c r="C17" s="120">
        <v>37405</v>
      </c>
      <c r="D17" s="33">
        <v>0.3680555555555556</v>
      </c>
      <c r="E17" s="4">
        <f t="shared" si="0"/>
        <v>8916</v>
      </c>
      <c r="F17" s="1">
        <v>1980</v>
      </c>
      <c r="G17" s="11">
        <f t="shared" si="11"/>
        <v>56.06766</v>
      </c>
      <c r="H17" s="5">
        <v>3.9</v>
      </c>
      <c r="I17" s="57">
        <v>2.2</v>
      </c>
      <c r="J17" s="57">
        <v>37.97423697916667</v>
      </c>
      <c r="K17" s="39">
        <v>1.2</v>
      </c>
      <c r="L17" s="11">
        <f t="shared" si="3"/>
        <v>218.663874</v>
      </c>
      <c r="M17" s="11">
        <f t="shared" si="4"/>
        <v>123.34885200000001</v>
      </c>
      <c r="N17" s="11">
        <f t="shared" si="5"/>
        <v>2129.1266077073437</v>
      </c>
      <c r="O17" s="11">
        <f t="shared" si="6"/>
        <v>67.28119199999999</v>
      </c>
      <c r="P17" s="11">
        <f t="shared" si="7"/>
        <v>138.464693136</v>
      </c>
      <c r="Q17" s="11">
        <f t="shared" si="8"/>
        <v>77.9923577664</v>
      </c>
      <c r="R17" s="11">
        <f t="shared" si="9"/>
        <v>1339.2395222245227</v>
      </c>
      <c r="S17" s="11">
        <f t="shared" si="10"/>
        <v>42.500183362559994</v>
      </c>
    </row>
    <row r="18" spans="1:19" ht="12.75">
      <c r="A18">
        <v>16</v>
      </c>
      <c r="B18" s="1" t="s">
        <v>114</v>
      </c>
      <c r="C18" s="120">
        <v>37412</v>
      </c>
      <c r="D18" s="33">
        <v>0.8611111111111112</v>
      </c>
      <c r="E18" s="4">
        <f t="shared" si="0"/>
        <v>8923</v>
      </c>
      <c r="F18" s="1">
        <v>2640</v>
      </c>
      <c r="G18" s="11">
        <f t="shared" si="11"/>
        <v>74.75688</v>
      </c>
      <c r="H18" s="5">
        <v>3.2</v>
      </c>
      <c r="I18" s="57">
        <v>1.8</v>
      </c>
      <c r="J18" s="57">
        <v>30.76072083333333</v>
      </c>
      <c r="K18" s="39">
        <v>0.98</v>
      </c>
      <c r="L18" s="11">
        <f t="shared" si="3"/>
        <v>239.222016</v>
      </c>
      <c r="M18" s="11">
        <f t="shared" si="4"/>
        <v>134.562384</v>
      </c>
      <c r="N18" s="11">
        <f t="shared" si="5"/>
        <v>2299.575516051</v>
      </c>
      <c r="O18" s="11">
        <f t="shared" si="6"/>
        <v>73.26174239999999</v>
      </c>
      <c r="P18" s="11">
        <f t="shared" si="7"/>
        <v>143.14012433279999</v>
      </c>
      <c r="Q18" s="11">
        <f t="shared" si="8"/>
        <v>72.7517645568</v>
      </c>
      <c r="R18" s="11">
        <f t="shared" si="9"/>
        <v>1276.9527291285112</v>
      </c>
      <c r="S18" s="11">
        <f t="shared" si="10"/>
        <v>42.19191317376</v>
      </c>
    </row>
    <row r="19" spans="1:19" ht="12.75">
      <c r="A19">
        <v>17</v>
      </c>
      <c r="B19" s="1" t="s">
        <v>115</v>
      </c>
      <c r="C19" s="120">
        <v>37419</v>
      </c>
      <c r="D19" s="33">
        <v>0.3854166666666667</v>
      </c>
      <c r="E19" s="4">
        <f t="shared" si="0"/>
        <v>8930</v>
      </c>
      <c r="F19" s="1">
        <v>1560</v>
      </c>
      <c r="G19" s="11">
        <f t="shared" si="11"/>
        <v>44.174519999999994</v>
      </c>
      <c r="H19" s="5">
        <v>5.3</v>
      </c>
      <c r="I19" s="57">
        <v>2.4</v>
      </c>
      <c r="J19" s="57">
        <v>43.53531770833333</v>
      </c>
      <c r="K19" s="39">
        <v>1.5</v>
      </c>
      <c r="L19" s="11">
        <f t="shared" si="3"/>
        <v>234.12495599999997</v>
      </c>
      <c r="M19" s="11">
        <f t="shared" si="4"/>
        <v>106.01884799999998</v>
      </c>
      <c r="N19" s="11">
        <f t="shared" si="5"/>
        <v>1923.1517628131246</v>
      </c>
      <c r="O19" s="11">
        <f t="shared" si="6"/>
        <v>66.26177999999999</v>
      </c>
      <c r="P19" s="11">
        <f t="shared" si="7"/>
        <v>145.65663458061056</v>
      </c>
      <c r="Q19" s="11">
        <f t="shared" si="8"/>
        <v>66.68514061531374</v>
      </c>
      <c r="R19" s="11">
        <f t="shared" si="9"/>
        <v>1237.2154808307766</v>
      </c>
      <c r="S19" s="11">
        <f t="shared" si="10"/>
        <v>41.61530569297908</v>
      </c>
    </row>
    <row r="20" spans="1:19" ht="12.75">
      <c r="A20">
        <v>18</v>
      </c>
      <c r="B20" s="1"/>
      <c r="C20" s="120">
        <v>37426</v>
      </c>
      <c r="D20" s="33"/>
      <c r="E20" s="4">
        <f>C20-28489</f>
        <v>8937</v>
      </c>
      <c r="F20" s="1">
        <v>2270</v>
      </c>
      <c r="G20" s="11">
        <f>F20*0.028317</f>
        <v>64.27959</v>
      </c>
      <c r="H20" s="5">
        <f>81.214*G20^-0.7323</f>
        <v>3.851048352167798</v>
      </c>
      <c r="I20" s="5">
        <f>9.8759*G20^-0.4114</f>
        <v>1.7812932050735004</v>
      </c>
      <c r="J20" s="5">
        <f>327.24*G20^-0.5458</f>
        <v>33.73029093185231</v>
      </c>
      <c r="K20" s="23">
        <f>20.422*G20^-0.6995</f>
        <v>1.1100719782161308</v>
      </c>
      <c r="L20" s="11">
        <f t="shared" si="3"/>
        <v>247.54380914752167</v>
      </c>
      <c r="M20" s="11">
        <f t="shared" si="4"/>
        <v>114.50079689191053</v>
      </c>
      <c r="N20" s="11">
        <f t="shared" si="5"/>
        <v>2168.1692716801845</v>
      </c>
      <c r="O20" s="11">
        <f t="shared" si="6"/>
        <v>71.35497163022181</v>
      </c>
      <c r="P20" s="11">
        <f t="shared" si="7"/>
        <v>131.32207080141055</v>
      </c>
      <c r="Q20" s="11">
        <f t="shared" si="8"/>
        <v>61.513051892113744</v>
      </c>
      <c r="R20" s="11">
        <f t="shared" si="9"/>
        <v>1164.044145472465</v>
      </c>
      <c r="S20" s="11">
        <f t="shared" si="10"/>
        <v>41.743751604979074</v>
      </c>
    </row>
    <row r="21" spans="1:19" ht="12.75">
      <c r="A21">
        <v>19</v>
      </c>
      <c r="B21" s="1" t="s">
        <v>116</v>
      </c>
      <c r="C21" s="120">
        <v>37433</v>
      </c>
      <c r="D21" s="33">
        <v>0.34027777777777773</v>
      </c>
      <c r="E21" s="4">
        <f t="shared" si="0"/>
        <v>8944</v>
      </c>
      <c r="F21" s="1">
        <v>1570</v>
      </c>
      <c r="G21" s="11">
        <f t="shared" si="11"/>
        <v>44.45769</v>
      </c>
      <c r="H21" s="5">
        <v>4.2</v>
      </c>
      <c r="I21" s="57">
        <v>2</v>
      </c>
      <c r="J21" s="57">
        <v>37.81534895833334</v>
      </c>
      <c r="K21" s="39">
        <v>1.5</v>
      </c>
      <c r="L21" s="11">
        <f t="shared" si="3"/>
        <v>186.722298</v>
      </c>
      <c r="M21" s="11">
        <f t="shared" si="4"/>
        <v>88.91538</v>
      </c>
      <c r="N21" s="11">
        <f t="shared" si="5"/>
        <v>1681.1830612314066</v>
      </c>
      <c r="O21" s="11">
        <f t="shared" si="6"/>
        <v>66.68653499999999</v>
      </c>
      <c r="P21" s="11">
        <f t="shared" si="7"/>
        <v>106.75567899360001</v>
      </c>
      <c r="Q21" s="11">
        <f t="shared" si="8"/>
        <v>49.87811654784</v>
      </c>
      <c r="R21" s="11">
        <f t="shared" si="9"/>
        <v>902.2129052831333</v>
      </c>
      <c r="S21" s="11">
        <f t="shared" si="10"/>
        <v>35.971705808639996</v>
      </c>
    </row>
    <row r="22" spans="1:19" ht="12.75">
      <c r="A22">
        <v>20</v>
      </c>
      <c r="B22" s="1" t="s">
        <v>117</v>
      </c>
      <c r="C22" s="120">
        <v>37440</v>
      </c>
      <c r="D22" s="33">
        <v>0.6597222222222222</v>
      </c>
      <c r="E22" s="4">
        <f t="shared" si="0"/>
        <v>8951</v>
      </c>
      <c r="F22" s="1">
        <v>839</v>
      </c>
      <c r="G22" s="11">
        <f t="shared" si="11"/>
        <v>23.757963</v>
      </c>
      <c r="H22" s="5">
        <v>7</v>
      </c>
      <c r="I22" s="57">
        <v>3.2</v>
      </c>
      <c r="J22" s="57">
        <v>54.816367187500006</v>
      </c>
      <c r="K22" s="39">
        <v>2.2</v>
      </c>
      <c r="L22" s="11">
        <f t="shared" si="3"/>
        <v>166.305741</v>
      </c>
      <c r="M22" s="11">
        <f t="shared" si="4"/>
        <v>76.0254816</v>
      </c>
      <c r="N22" s="11">
        <f t="shared" si="5"/>
        <v>1302.3252234350393</v>
      </c>
      <c r="O22" s="11">
        <f t="shared" si="6"/>
        <v>52.2675186</v>
      </c>
      <c r="P22" s="11">
        <f t="shared" si="7"/>
        <v>99.54472549391998</v>
      </c>
      <c r="Q22" s="11">
        <f t="shared" si="8"/>
        <v>40.1992889256</v>
      </c>
      <c r="R22" s="11">
        <f t="shared" si="9"/>
        <v>767.2010430615637</v>
      </c>
      <c r="S22" s="11">
        <f t="shared" si="10"/>
        <v>32.42146080096</v>
      </c>
    </row>
    <row r="23" spans="1:19" ht="12.75">
      <c r="A23">
        <v>21</v>
      </c>
      <c r="B23" s="1" t="s">
        <v>118</v>
      </c>
      <c r="C23" s="120">
        <v>37447</v>
      </c>
      <c r="D23" s="33">
        <v>0.2534722222222222</v>
      </c>
      <c r="E23" s="4">
        <f t="shared" si="0"/>
        <v>8958</v>
      </c>
      <c r="F23" s="1">
        <v>693</v>
      </c>
      <c r="G23" s="11">
        <f t="shared" si="11"/>
        <v>19.623680999999998</v>
      </c>
      <c r="H23" s="5">
        <v>8.3</v>
      </c>
      <c r="I23" s="57">
        <v>2.9</v>
      </c>
      <c r="J23" s="57">
        <v>62.919656249999996</v>
      </c>
      <c r="K23" s="39">
        <v>2.8</v>
      </c>
      <c r="L23" s="11">
        <f t="shared" si="3"/>
        <v>162.8765523</v>
      </c>
      <c r="M23" s="11">
        <f t="shared" si="4"/>
        <v>56.908674899999994</v>
      </c>
      <c r="N23" s="11">
        <f t="shared" si="5"/>
        <v>1234.715262879656</v>
      </c>
      <c r="O23" s="11">
        <f t="shared" si="6"/>
        <v>54.94630679999999</v>
      </c>
      <c r="P23" s="11">
        <f t="shared" si="7"/>
        <v>97.75504578671999</v>
      </c>
      <c r="Q23" s="11">
        <f t="shared" si="8"/>
        <v>34.18459501968</v>
      </c>
      <c r="R23" s="11">
        <f t="shared" si="9"/>
        <v>742.3148977465977</v>
      </c>
      <c r="S23" s="11">
        <f t="shared" si="10"/>
        <v>32.984910201599995</v>
      </c>
    </row>
    <row r="24" spans="1:19" ht="12.75">
      <c r="A24">
        <v>22</v>
      </c>
      <c r="B24" s="1" t="s">
        <v>119</v>
      </c>
      <c r="C24" s="120">
        <v>37454</v>
      </c>
      <c r="D24" s="33">
        <v>0.40277777777777773</v>
      </c>
      <c r="E24" s="4">
        <f t="shared" si="0"/>
        <v>8965</v>
      </c>
      <c r="F24" s="1">
        <v>708</v>
      </c>
      <c r="G24" s="11">
        <f t="shared" si="11"/>
        <v>20.048436</v>
      </c>
      <c r="H24" s="5">
        <v>8</v>
      </c>
      <c r="I24" s="57">
        <v>2.8</v>
      </c>
      <c r="J24" s="57">
        <v>60.854111979166674</v>
      </c>
      <c r="K24" s="39">
        <v>2.7</v>
      </c>
      <c r="L24" s="11">
        <f t="shared" si="3"/>
        <v>160.387488</v>
      </c>
      <c r="M24" s="11">
        <f t="shared" si="4"/>
        <v>56.13562079999999</v>
      </c>
      <c r="N24" s="11">
        <f t="shared" si="5"/>
        <v>1220.0297693511563</v>
      </c>
      <c r="O24" s="11">
        <f t="shared" si="6"/>
        <v>54.1307772</v>
      </c>
      <c r="P24" s="11">
        <f t="shared" si="7"/>
        <v>94.97290733279999</v>
      </c>
      <c r="Q24" s="11">
        <f t="shared" si="8"/>
        <v>34.18716393792</v>
      </c>
      <c r="R24" s="11">
        <f t="shared" si="9"/>
        <v>735.3923288677748</v>
      </c>
      <c r="S24" s="11">
        <f t="shared" si="10"/>
        <v>32.433449086079996</v>
      </c>
    </row>
    <row r="25" spans="1:19" ht="12.75">
      <c r="A25">
        <v>23</v>
      </c>
      <c r="B25" s="1" t="s">
        <v>120</v>
      </c>
      <c r="C25" s="120">
        <v>37461</v>
      </c>
      <c r="D25" s="33">
        <v>0.8118055555555556</v>
      </c>
      <c r="E25" s="4">
        <f t="shared" si="0"/>
        <v>8972</v>
      </c>
      <c r="F25" s="1">
        <v>670</v>
      </c>
      <c r="G25" s="11">
        <f t="shared" si="11"/>
        <v>18.972389999999997</v>
      </c>
      <c r="H25" s="5">
        <v>8.1</v>
      </c>
      <c r="I25" s="57">
        <v>3</v>
      </c>
      <c r="J25" s="57">
        <v>63.872984375</v>
      </c>
      <c r="K25" s="39">
        <v>2.8</v>
      </c>
      <c r="L25" s="11">
        <f t="shared" si="3"/>
        <v>153.67635899999996</v>
      </c>
      <c r="M25" s="11">
        <f t="shared" si="4"/>
        <v>56.91716999999999</v>
      </c>
      <c r="N25" s="11">
        <f t="shared" si="5"/>
        <v>1211.8231700264062</v>
      </c>
      <c r="O25" s="11">
        <f t="shared" si="6"/>
        <v>53.12269199999999</v>
      </c>
      <c r="P25" s="11">
        <f t="shared" si="7"/>
        <v>112.70145610487347</v>
      </c>
      <c r="Q25" s="11">
        <f t="shared" si="8"/>
        <v>37.53877858983544</v>
      </c>
      <c r="R25" s="11">
        <f t="shared" si="9"/>
        <v>824.5118311566806</v>
      </c>
      <c r="S25" s="11">
        <f t="shared" si="10"/>
        <v>34.7919462958907</v>
      </c>
    </row>
    <row r="26" spans="1:19" ht="12.75">
      <c r="A26">
        <v>24</v>
      </c>
      <c r="B26" s="1"/>
      <c r="C26" s="120">
        <v>37469</v>
      </c>
      <c r="D26" s="33"/>
      <c r="E26" s="4">
        <f t="shared" si="0"/>
        <v>8980</v>
      </c>
      <c r="F26" s="1">
        <v>588</v>
      </c>
      <c r="G26" s="11">
        <f t="shared" si="11"/>
        <v>16.650396</v>
      </c>
      <c r="H26" s="5">
        <f>81.214*G26^-0.7323</f>
        <v>10.355753178690366</v>
      </c>
      <c r="I26" s="5">
        <f>9.8759*G26^-0.4114</f>
        <v>3.1051502325983904</v>
      </c>
      <c r="J26" s="5">
        <f>327.24*G26^-0.5458</f>
        <v>70.50385361183378</v>
      </c>
      <c r="K26" s="23">
        <f>20.422*G26^-0.6995</f>
        <v>2.8556947776173933</v>
      </c>
      <c r="L26" s="11">
        <f t="shared" si="3"/>
        <v>172.42739130345336</v>
      </c>
      <c r="M26" s="11">
        <f t="shared" si="4"/>
        <v>51.70198101225531</v>
      </c>
      <c r="N26" s="11">
        <f t="shared" si="5"/>
        <v>1173.9170821630628</v>
      </c>
      <c r="O26" s="11">
        <f t="shared" si="6"/>
        <v>47.54844890246154</v>
      </c>
      <c r="P26" s="11">
        <f t="shared" si="7"/>
        <v>207.3132421462128</v>
      </c>
      <c r="Q26" s="11">
        <f t="shared" si="8"/>
        <v>61.71732282321647</v>
      </c>
      <c r="R26" s="11">
        <f t="shared" si="9"/>
        <v>1405.5348956812118</v>
      </c>
      <c r="S26" s="11">
        <f t="shared" si="10"/>
        <v>57.12643160940759</v>
      </c>
    </row>
    <row r="27" spans="1:19" ht="12.75">
      <c r="A27">
        <v>25</v>
      </c>
      <c r="B27" s="1"/>
      <c r="C27" s="120">
        <v>37483</v>
      </c>
      <c r="D27" s="33"/>
      <c r="E27" s="4">
        <f t="shared" si="0"/>
        <v>8994</v>
      </c>
      <c r="F27" s="1">
        <v>562</v>
      </c>
      <c r="G27" s="11">
        <f t="shared" si="11"/>
        <v>15.914154</v>
      </c>
      <c r="H27" s="5">
        <f>81.214*G27^-0.7323</f>
        <v>10.704460965220454</v>
      </c>
      <c r="I27" s="5">
        <f>9.8759*G27^-0.4114</f>
        <v>3.1634642337314736</v>
      </c>
      <c r="J27" s="5">
        <f>327.24*G27^-0.5458</f>
        <v>72.26581732722134</v>
      </c>
      <c r="K27" s="23">
        <f>20.422*G27^-0.6995</f>
        <v>2.947478692037104</v>
      </c>
      <c r="L27" s="11">
        <f t="shared" si="3"/>
        <v>170.35244028750694</v>
      </c>
      <c r="M27" s="11">
        <f t="shared" si="4"/>
        <v>50.34385698909467</v>
      </c>
      <c r="N27" s="11">
        <f t="shared" si="5"/>
        <v>1150.049345881269</v>
      </c>
      <c r="O27" s="11">
        <f t="shared" si="6"/>
        <v>46.90662981679704</v>
      </c>
      <c r="P27" s="11">
        <f t="shared" si="7"/>
        <v>182.5566171553839</v>
      </c>
      <c r="Q27" s="11">
        <f t="shared" si="8"/>
        <v>71.21710465595555</v>
      </c>
      <c r="R27" s="11">
        <f t="shared" si="9"/>
        <v>1642.3848751910991</v>
      </c>
      <c r="S27" s="11">
        <f t="shared" si="10"/>
        <v>54.30629465359321</v>
      </c>
    </row>
    <row r="28" spans="1:19" ht="12.75">
      <c r="A28">
        <v>26</v>
      </c>
      <c r="B28" s="1" t="s">
        <v>121</v>
      </c>
      <c r="C28" s="120">
        <v>37496</v>
      </c>
      <c r="D28" s="33">
        <v>0.2951388888888889</v>
      </c>
      <c r="E28" s="4">
        <f t="shared" si="0"/>
        <v>9007</v>
      </c>
      <c r="F28" s="1">
        <v>628</v>
      </c>
      <c r="G28" s="11">
        <f t="shared" si="11"/>
        <v>17.783075999999998</v>
      </c>
      <c r="H28" s="5">
        <v>8.7</v>
      </c>
      <c r="I28" s="57">
        <v>4.3</v>
      </c>
      <c r="J28" s="57">
        <v>99.78167708333332</v>
      </c>
      <c r="K28" s="39">
        <v>2.8</v>
      </c>
      <c r="L28" s="11">
        <f t="shared" si="3"/>
        <v>154.71276119999996</v>
      </c>
      <c r="M28" s="11">
        <f t="shared" si="4"/>
        <v>76.46722679999999</v>
      </c>
      <c r="N28" s="11">
        <f t="shared" si="5"/>
        <v>1774.4251469803746</v>
      </c>
      <c r="O28" s="11">
        <f t="shared" si="6"/>
        <v>49.79261279999999</v>
      </c>
      <c r="P28" s="11">
        <f t="shared" si="7"/>
        <v>184.68124488575995</v>
      </c>
      <c r="Q28" s="11">
        <f t="shared" si="8"/>
        <v>79.95843652607999</v>
      </c>
      <c r="R28" s="11">
        <f t="shared" si="9"/>
        <v>1786.8608804904795</v>
      </c>
      <c r="S28" s="11">
        <f t="shared" si="10"/>
        <v>58.35897196416</v>
      </c>
    </row>
    <row r="29" spans="1:19" ht="12.75">
      <c r="A29">
        <v>27</v>
      </c>
      <c r="B29" s="1" t="s">
        <v>122</v>
      </c>
      <c r="C29" s="120">
        <v>37510</v>
      </c>
      <c r="D29" s="33">
        <v>0.34722222222222227</v>
      </c>
      <c r="E29" s="4">
        <f t="shared" si="0"/>
        <v>9021</v>
      </c>
      <c r="F29" s="1">
        <v>532</v>
      </c>
      <c r="G29" s="11">
        <f t="shared" si="11"/>
        <v>15.064644</v>
      </c>
      <c r="H29" s="5">
        <v>10</v>
      </c>
      <c r="I29" s="57">
        <v>3.7</v>
      </c>
      <c r="J29" s="57">
        <v>78.33179427083334</v>
      </c>
      <c r="K29" s="39">
        <v>3.1</v>
      </c>
      <c r="L29" s="11">
        <f t="shared" si="3"/>
        <v>150.64643999999998</v>
      </c>
      <c r="M29" s="11">
        <f t="shared" si="4"/>
        <v>55.7391828</v>
      </c>
      <c r="N29" s="11">
        <f t="shared" si="5"/>
        <v>1180.040594571344</v>
      </c>
      <c r="O29" s="11">
        <f t="shared" si="6"/>
        <v>46.7003964</v>
      </c>
      <c r="P29" s="11">
        <f t="shared" si="7"/>
        <v>243.34995499199997</v>
      </c>
      <c r="Q29" s="11">
        <f t="shared" si="8"/>
        <v>93.63046405824</v>
      </c>
      <c r="R29" s="11">
        <f t="shared" si="9"/>
        <v>2050.7466949318114</v>
      </c>
      <c r="S29" s="11">
        <f t="shared" si="10"/>
        <v>74.24149247711999</v>
      </c>
    </row>
    <row r="30" spans="1:19" ht="12.75">
      <c r="A30">
        <v>28</v>
      </c>
      <c r="B30" s="1" t="s">
        <v>123</v>
      </c>
      <c r="C30" s="120">
        <v>37529</v>
      </c>
      <c r="D30" s="33">
        <v>0.4201388888888889</v>
      </c>
      <c r="E30" s="4">
        <f t="shared" si="0"/>
        <v>9040</v>
      </c>
      <c r="F30" s="1">
        <v>515</v>
      </c>
      <c r="G30" s="11">
        <f t="shared" si="11"/>
        <v>14.583255</v>
      </c>
      <c r="H30" s="5">
        <v>10</v>
      </c>
      <c r="I30" s="57">
        <v>4</v>
      </c>
      <c r="J30" s="57">
        <v>90.40728385416666</v>
      </c>
      <c r="K30" s="39">
        <v>3</v>
      </c>
      <c r="L30" s="11">
        <f t="shared" si="3"/>
        <v>145.83255</v>
      </c>
      <c r="M30" s="11">
        <f t="shared" si="4"/>
        <v>58.33302</v>
      </c>
      <c r="N30" s="11">
        <f t="shared" si="5"/>
        <v>1318.4324743026953</v>
      </c>
      <c r="O30" s="11">
        <f t="shared" si="6"/>
        <v>43.749765</v>
      </c>
      <c r="P30" s="11"/>
      <c r="Q30" s="11"/>
      <c r="R30" s="11"/>
      <c r="S30" s="11"/>
    </row>
    <row r="31" spans="2:16" ht="12.75">
      <c r="B31" s="1"/>
      <c r="D31" s="3"/>
      <c r="E31" s="4"/>
      <c r="F31" s="1"/>
      <c r="G31" s="11"/>
      <c r="L31" s="11"/>
      <c r="M31" s="11"/>
      <c r="N31" s="11"/>
      <c r="O31" s="11"/>
      <c r="P31" s="11"/>
    </row>
    <row r="32" spans="2:19" ht="12.75">
      <c r="B32" s="35" t="s">
        <v>190</v>
      </c>
      <c r="G32" s="11"/>
      <c r="L32" s="11"/>
      <c r="M32" s="11"/>
      <c r="N32" s="11"/>
      <c r="O32" s="11"/>
      <c r="P32" s="11">
        <f>SUM(P3:P30)</f>
        <v>5365.873685919586</v>
      </c>
      <c r="Q32" s="11">
        <f>SUM(Q3:Q30)</f>
        <v>1872.8538964043144</v>
      </c>
      <c r="R32" s="11">
        <f>SUM(R3:R30)</f>
        <v>39052.88232556602</v>
      </c>
      <c r="S32" s="11">
        <f>SUM(S3:S30)</f>
        <v>1448.474020808541</v>
      </c>
    </row>
    <row r="33" spans="7:15" ht="12.75">
      <c r="G33" s="11"/>
      <c r="L33" s="11"/>
      <c r="M33" s="11"/>
      <c r="N33" s="11"/>
      <c r="O33" s="11"/>
    </row>
    <row r="34" spans="1:19" ht="12.75">
      <c r="A34">
        <v>1</v>
      </c>
      <c r="B34" s="1"/>
      <c r="C34" s="120">
        <v>37530</v>
      </c>
      <c r="D34" s="10">
        <v>0.0006944444444444445</v>
      </c>
      <c r="E34" s="4">
        <f>C34-28489</f>
        <v>9041</v>
      </c>
      <c r="F34" s="1">
        <v>489</v>
      </c>
      <c r="G34" s="7">
        <f aca="true" t="shared" si="12" ref="G34:G63">F34*0.028317</f>
        <v>13.847012999999999</v>
      </c>
      <c r="H34" s="5">
        <f>81.214*G34^-0.7323</f>
        <v>11.852660069827342</v>
      </c>
      <c r="I34" s="5">
        <f>9.8759*G34^-0.4114</f>
        <v>3.3498301280287577</v>
      </c>
      <c r="J34" s="5">
        <f>327.24*G34^-0.5458</f>
        <v>77.9676105345684</v>
      </c>
      <c r="K34" s="23">
        <f>20.422*G34^-0.6995</f>
        <v>3.2487753399524073</v>
      </c>
      <c r="L34" s="7">
        <f>(H34*$G34)</f>
        <v>164.1239380714801</v>
      </c>
      <c r="M34" s="7">
        <f>(I34*$G34)</f>
        <v>46.38514133060587</v>
      </c>
      <c r="N34" s="7">
        <f>(J34*$G34)</f>
        <v>1079.6185166511054</v>
      </c>
      <c r="O34" s="7">
        <f>(K34*$G34)</f>
        <v>44.9858343664004</v>
      </c>
      <c r="P34" s="7">
        <f>(((L34+L35)/2)*(($E35-$E34)*24*60*60))/1000000</f>
        <v>97.19888161681558</v>
      </c>
      <c r="Q34" s="7">
        <f>(((M34+M35)/2)*(($E35-$E34)*24*60*60))/1000000</f>
        <v>30.026945843175216</v>
      </c>
      <c r="R34" s="7">
        <f>(((N34+N35)/2)*(($E35-$E34)*24*60*60))/1000000</f>
        <v>671.3941780497534</v>
      </c>
      <c r="S34" s="7">
        <f>(((O34+O35)/2)*(($E35-$E34)*24*60*60))/1000000</f>
        <v>27.874057135599475</v>
      </c>
    </row>
    <row r="35" spans="1:19" ht="12.75">
      <c r="A35">
        <v>2</v>
      </c>
      <c r="B35" s="29" t="s">
        <v>337</v>
      </c>
      <c r="C35" s="121">
        <v>37537</v>
      </c>
      <c r="D35" s="9">
        <v>0.37152777777777773</v>
      </c>
      <c r="E35" s="4">
        <f>C35-28489</f>
        <v>9048</v>
      </c>
      <c r="F35" s="29">
        <v>505</v>
      </c>
      <c r="G35" s="7">
        <f t="shared" si="12"/>
        <v>14.300085</v>
      </c>
      <c r="H35" s="57">
        <v>11</v>
      </c>
      <c r="I35" s="57">
        <v>3.7</v>
      </c>
      <c r="J35" s="89">
        <v>79.76178645833333</v>
      </c>
      <c r="K35" s="39">
        <v>3.3</v>
      </c>
      <c r="L35" s="7">
        <f aca="true" t="shared" si="13" ref="L35:O63">(H35*$G35)</f>
        <v>157.30093499999998</v>
      </c>
      <c r="M35" s="7">
        <f t="shared" si="13"/>
        <v>52.9103145</v>
      </c>
      <c r="N35" s="7">
        <f t="shared" si="13"/>
        <v>1140.6003261060155</v>
      </c>
      <c r="O35" s="7">
        <f t="shared" si="13"/>
        <v>47.19028049999999</v>
      </c>
      <c r="P35" s="7">
        <f aca="true" t="shared" si="14" ref="P35:S62">(((L35+L36)/2)*(($E36-$E35)*24*60*60))/1000000</f>
        <v>225.20360586239997</v>
      </c>
      <c r="Q35" s="7">
        <f t="shared" si="14"/>
        <v>75.75030379008</v>
      </c>
      <c r="R35" s="7">
        <f t="shared" si="14"/>
        <v>1688.4879424584208</v>
      </c>
      <c r="S35" s="7">
        <f t="shared" si="14"/>
        <v>64.38443086079998</v>
      </c>
    </row>
    <row r="36" spans="1:19" ht="12.75">
      <c r="A36">
        <v>3</v>
      </c>
      <c r="B36" s="29" t="s">
        <v>338</v>
      </c>
      <c r="C36" s="121">
        <v>37553</v>
      </c>
      <c r="D36" s="9">
        <v>0.7118055555555555</v>
      </c>
      <c r="E36" s="4">
        <f>C36-28489</f>
        <v>9064</v>
      </c>
      <c r="F36" s="29">
        <v>541</v>
      </c>
      <c r="G36" s="7">
        <f t="shared" si="12"/>
        <v>15.319496999999998</v>
      </c>
      <c r="H36" s="57">
        <v>11</v>
      </c>
      <c r="I36" s="57">
        <v>3.7</v>
      </c>
      <c r="J36" s="89">
        <v>85.00509114583332</v>
      </c>
      <c r="K36" s="39">
        <v>3</v>
      </c>
      <c r="L36" s="7">
        <f t="shared" si="13"/>
        <v>168.51446699999997</v>
      </c>
      <c r="M36" s="7">
        <f t="shared" si="13"/>
        <v>56.6821389</v>
      </c>
      <c r="N36" s="7">
        <f t="shared" si="13"/>
        <v>1302.23523879332</v>
      </c>
      <c r="O36" s="7">
        <f t="shared" si="13"/>
        <v>45.958490999999995</v>
      </c>
      <c r="P36" s="7">
        <f t="shared" si="14"/>
        <v>314.2291370737768</v>
      </c>
      <c r="Q36" s="7">
        <f t="shared" si="14"/>
        <v>96.77670528659117</v>
      </c>
      <c r="R36" s="7">
        <f t="shared" si="14"/>
        <v>2242.483169460338</v>
      </c>
      <c r="S36" s="7">
        <f t="shared" si="14"/>
        <v>85.84613568593642</v>
      </c>
    </row>
    <row r="37" spans="1:19" ht="12.75">
      <c r="A37">
        <v>4</v>
      </c>
      <c r="B37" s="29"/>
      <c r="C37" s="121">
        <v>37575</v>
      </c>
      <c r="D37" s="9"/>
      <c r="E37" s="4">
        <f>C37-28489</f>
        <v>9086</v>
      </c>
      <c r="F37" s="82">
        <v>467</v>
      </c>
      <c r="G37" s="7">
        <f t="shared" si="12"/>
        <v>13.224039</v>
      </c>
      <c r="H37" s="5">
        <f>81.214*G37^-0.7323</f>
        <v>12.259025687470782</v>
      </c>
      <c r="I37" s="5">
        <f>9.8759*G37^-0.4114</f>
        <v>3.4138739700538214</v>
      </c>
      <c r="J37" s="5">
        <f>327.24*G37^-0.5458</f>
        <v>79.95135832466536</v>
      </c>
      <c r="K37" s="23">
        <f>20.422*G37^-0.6995</f>
        <v>3.3550891840509136</v>
      </c>
      <c r="L37" s="7">
        <f t="shared" si="13"/>
        <v>162.11383379311542</v>
      </c>
      <c r="M37" s="7">
        <f t="shared" si="13"/>
        <v>45.14520252107656</v>
      </c>
      <c r="N37" s="7">
        <f t="shared" si="13"/>
        <v>1057.2798805883494</v>
      </c>
      <c r="O37" s="7">
        <f t="shared" si="13"/>
        <v>44.36783021836746</v>
      </c>
      <c r="P37" s="7">
        <f t="shared" si="14"/>
        <v>449.4234932570653</v>
      </c>
      <c r="Q37" s="7">
        <f t="shared" si="14"/>
        <v>123.13585004524676</v>
      </c>
      <c r="R37" s="7">
        <f t="shared" si="14"/>
        <v>2838.723824414078</v>
      </c>
      <c r="S37" s="7">
        <f t="shared" si="14"/>
        <v>120.34828953818464</v>
      </c>
    </row>
    <row r="38" spans="1:19" ht="12.75">
      <c r="A38">
        <v>5</v>
      </c>
      <c r="B38" s="29" t="s">
        <v>339</v>
      </c>
      <c r="C38" s="121">
        <v>37608</v>
      </c>
      <c r="D38" s="9">
        <v>0.4618055555555556</v>
      </c>
      <c r="E38" s="4">
        <f aca="true" t="shared" si="15" ref="E38:E63">C38-28489</f>
        <v>9119</v>
      </c>
      <c r="F38" s="29">
        <v>416</v>
      </c>
      <c r="G38" s="7">
        <f t="shared" si="12"/>
        <v>11.779872</v>
      </c>
      <c r="H38" s="57">
        <v>13</v>
      </c>
      <c r="I38" s="57">
        <v>3.5</v>
      </c>
      <c r="J38" s="5">
        <v>79.28512239583334</v>
      </c>
      <c r="K38" s="39">
        <v>3.4</v>
      </c>
      <c r="L38" s="7">
        <f t="shared" si="13"/>
        <v>153.13833599999998</v>
      </c>
      <c r="M38" s="7">
        <f t="shared" si="13"/>
        <v>41.229552</v>
      </c>
      <c r="N38" s="7">
        <f t="shared" si="13"/>
        <v>933.96859332725</v>
      </c>
      <c r="O38" s="7">
        <f t="shared" si="13"/>
        <v>40.051564799999994</v>
      </c>
      <c r="P38" s="7">
        <f t="shared" si="14"/>
        <v>373.3657542902503</v>
      </c>
      <c r="Q38" s="7">
        <f t="shared" si="14"/>
        <v>99.721359775511</v>
      </c>
      <c r="R38" s="7">
        <f t="shared" si="14"/>
        <v>2321.748753085394</v>
      </c>
      <c r="S38" s="7">
        <f t="shared" si="14"/>
        <v>99.67341408737262</v>
      </c>
    </row>
    <row r="39" spans="1:19" ht="12.75">
      <c r="A39">
        <v>6</v>
      </c>
      <c r="B39" s="29"/>
      <c r="C39" s="121">
        <v>37636</v>
      </c>
      <c r="D39" s="9"/>
      <c r="E39" s="4">
        <f t="shared" si="15"/>
        <v>9147</v>
      </c>
      <c r="F39" s="82">
        <v>400</v>
      </c>
      <c r="G39" s="7">
        <f t="shared" si="12"/>
        <v>11.326799999999999</v>
      </c>
      <c r="H39" s="5">
        <f>81.214*G39^-0.7323</f>
        <v>13.731189952009503</v>
      </c>
      <c r="I39" s="5">
        <f>9.8759*G39^-0.4114</f>
        <v>3.6384546688836297</v>
      </c>
      <c r="J39" s="5">
        <f>327.24*G39^-0.5458</f>
        <v>87.00308587356642</v>
      </c>
      <c r="K39" s="23">
        <f>20.422*G39^-0.6995</f>
        <v>3.7389552128145445</v>
      </c>
      <c r="L39" s="7">
        <f t="shared" si="13"/>
        <v>155.53044234842122</v>
      </c>
      <c r="M39" s="7">
        <f t="shared" si="13"/>
        <v>41.21204834351109</v>
      </c>
      <c r="N39" s="7">
        <f t="shared" si="13"/>
        <v>985.466553072712</v>
      </c>
      <c r="O39" s="7">
        <f t="shared" si="13"/>
        <v>42.35039790450778</v>
      </c>
      <c r="P39" s="7">
        <f t="shared" si="14"/>
        <v>415.3077039936431</v>
      </c>
      <c r="Q39" s="7">
        <f t="shared" si="14"/>
        <v>109.6480067517482</v>
      </c>
      <c r="R39" s="7">
        <f t="shared" si="14"/>
        <v>2625.9027775067534</v>
      </c>
      <c r="S39" s="7">
        <f t="shared" si="14"/>
        <v>113.04478032258122</v>
      </c>
    </row>
    <row r="40" spans="1:19" ht="12.75">
      <c r="A40">
        <v>7</v>
      </c>
      <c r="B40" s="29"/>
      <c r="C40" s="121">
        <v>37667</v>
      </c>
      <c r="D40" s="9"/>
      <c r="E40" s="4">
        <f t="shared" si="15"/>
        <v>9178</v>
      </c>
      <c r="F40" s="82">
        <v>391</v>
      </c>
      <c r="G40" s="7">
        <f t="shared" si="12"/>
        <v>11.071947</v>
      </c>
      <c r="H40" s="5">
        <f>81.214*G40^-0.7323</f>
        <v>13.961936782622788</v>
      </c>
      <c r="I40" s="5">
        <f>9.8759*G40^-0.4114</f>
        <v>3.6726786546732297</v>
      </c>
      <c r="J40" s="5">
        <f>327.24*G40^-0.5458</f>
        <v>88.09046972236771</v>
      </c>
      <c r="K40" s="23">
        <f>20.422*G40^-0.6995</f>
        <v>3.7989500656034085</v>
      </c>
      <c r="L40" s="7">
        <f t="shared" si="13"/>
        <v>154.58582407455003</v>
      </c>
      <c r="M40" s="7">
        <f t="shared" si="13"/>
        <v>40.6637034125733</v>
      </c>
      <c r="N40" s="7">
        <f t="shared" si="13"/>
        <v>975.33301197116</v>
      </c>
      <c r="O40" s="7">
        <f t="shared" si="13"/>
        <v>42.061773782007464</v>
      </c>
      <c r="P40" s="7">
        <f t="shared" si="14"/>
        <v>264.7340109594101</v>
      </c>
      <c r="Q40" s="7">
        <f t="shared" si="14"/>
        <v>65.43777587096099</v>
      </c>
      <c r="R40" s="7">
        <f t="shared" si="14"/>
        <v>1571.9070922412468</v>
      </c>
      <c r="S40" s="7">
        <f t="shared" si="14"/>
        <v>66.997229358073</v>
      </c>
    </row>
    <row r="41" spans="1:19" ht="12.75">
      <c r="A41">
        <v>8</v>
      </c>
      <c r="B41" s="1" t="s">
        <v>340</v>
      </c>
      <c r="C41" s="120">
        <v>37685</v>
      </c>
      <c r="D41" s="9">
        <v>0.5347222222222222</v>
      </c>
      <c r="E41" s="4">
        <f t="shared" si="15"/>
        <v>9196</v>
      </c>
      <c r="F41" s="32">
        <v>429</v>
      </c>
      <c r="G41" s="7">
        <f t="shared" si="12"/>
        <v>12.147993</v>
      </c>
      <c r="H41" s="5">
        <v>15.3</v>
      </c>
      <c r="I41" s="5">
        <v>3.58</v>
      </c>
      <c r="J41" s="89">
        <v>86.11730729166666</v>
      </c>
      <c r="K41" s="23">
        <v>3.63</v>
      </c>
      <c r="L41" s="7">
        <f t="shared" si="13"/>
        <v>185.8642929</v>
      </c>
      <c r="M41" s="7">
        <f t="shared" si="13"/>
        <v>43.48981494</v>
      </c>
      <c r="N41" s="7">
        <f t="shared" si="13"/>
        <v>1046.1524461580154</v>
      </c>
      <c r="O41" s="7">
        <f t="shared" si="13"/>
        <v>44.09721459</v>
      </c>
      <c r="P41" s="7">
        <f t="shared" si="14"/>
        <v>218.14739910432002</v>
      </c>
      <c r="Q41" s="7">
        <f t="shared" si="14"/>
        <v>51.765757670592</v>
      </c>
      <c r="R41" s="7">
        <f t="shared" si="14"/>
        <v>1231.5805147081137</v>
      </c>
      <c r="S41" s="7">
        <f t="shared" si="14"/>
        <v>50.334870210911994</v>
      </c>
    </row>
    <row r="42" spans="1:19" ht="12.75">
      <c r="A42">
        <v>9</v>
      </c>
      <c r="B42" s="1" t="s">
        <v>341</v>
      </c>
      <c r="C42" s="120">
        <v>37699</v>
      </c>
      <c r="D42" s="10">
        <v>0.4444444444444444</v>
      </c>
      <c r="E42" s="4">
        <f t="shared" si="15"/>
        <v>9210</v>
      </c>
      <c r="F42" s="34">
        <v>420</v>
      </c>
      <c r="G42" s="7">
        <f t="shared" si="12"/>
        <v>11.893139999999999</v>
      </c>
      <c r="H42" s="5">
        <v>14.7</v>
      </c>
      <c r="I42" s="5">
        <v>3.54</v>
      </c>
      <c r="J42" s="5">
        <v>83.25732291666667</v>
      </c>
      <c r="K42" s="23">
        <v>3.29</v>
      </c>
      <c r="L42" s="7">
        <f t="shared" si="13"/>
        <v>174.82915799999998</v>
      </c>
      <c r="M42" s="7">
        <f t="shared" si="13"/>
        <v>42.1017156</v>
      </c>
      <c r="N42" s="7">
        <f t="shared" si="13"/>
        <v>990.1909974731249</v>
      </c>
      <c r="O42" s="7">
        <f t="shared" si="13"/>
        <v>39.128430599999994</v>
      </c>
      <c r="P42" s="7">
        <f t="shared" si="14"/>
        <v>325.5872666558399</v>
      </c>
      <c r="Q42" s="7">
        <f t="shared" si="14"/>
        <v>79.407317932992</v>
      </c>
      <c r="R42" s="7">
        <f t="shared" si="14"/>
        <v>1955.797139808072</v>
      </c>
      <c r="S42" s="7">
        <f t="shared" si="14"/>
        <v>73.038712724208</v>
      </c>
    </row>
    <row r="43" spans="1:19" ht="12.75">
      <c r="A43">
        <v>10</v>
      </c>
      <c r="B43" s="1" t="s">
        <v>342</v>
      </c>
      <c r="C43" s="120">
        <v>37720</v>
      </c>
      <c r="D43" s="10">
        <v>0.7534722222222222</v>
      </c>
      <c r="E43" s="4">
        <f t="shared" si="15"/>
        <v>9231</v>
      </c>
      <c r="F43" s="34">
        <v>461</v>
      </c>
      <c r="G43" s="7">
        <f t="shared" si="12"/>
        <v>13.054136999999999</v>
      </c>
      <c r="H43" s="5">
        <v>14.1</v>
      </c>
      <c r="I43" s="5">
        <v>3.48</v>
      </c>
      <c r="J43" s="5">
        <v>89.29506770833333</v>
      </c>
      <c r="K43" s="23">
        <v>3.17</v>
      </c>
      <c r="L43" s="7">
        <f t="shared" si="13"/>
        <v>184.0633317</v>
      </c>
      <c r="M43" s="7">
        <f t="shared" si="13"/>
        <v>45.42839676</v>
      </c>
      <c r="N43" s="7">
        <f t="shared" si="13"/>
        <v>1165.6700472888592</v>
      </c>
      <c r="O43" s="7">
        <f t="shared" si="13"/>
        <v>41.381614289999995</v>
      </c>
      <c r="P43" s="7">
        <f t="shared" si="14"/>
        <v>130.50190289808</v>
      </c>
      <c r="Q43" s="7">
        <f t="shared" si="14"/>
        <v>35.366639932512</v>
      </c>
      <c r="R43" s="7">
        <f t="shared" si="14"/>
        <v>823.3965741940359</v>
      </c>
      <c r="S43" s="7">
        <f t="shared" si="14"/>
        <v>28.005918499439996</v>
      </c>
    </row>
    <row r="44" spans="1:19" ht="12.75">
      <c r="A44">
        <v>11</v>
      </c>
      <c r="B44" s="1" t="s">
        <v>343</v>
      </c>
      <c r="C44" s="120">
        <v>37727</v>
      </c>
      <c r="D44" s="10">
        <v>0.7048611111111112</v>
      </c>
      <c r="E44" s="4">
        <f t="shared" si="15"/>
        <v>9238</v>
      </c>
      <c r="F44" s="34">
        <v>874</v>
      </c>
      <c r="G44" s="7">
        <f t="shared" si="12"/>
        <v>24.749057999999998</v>
      </c>
      <c r="H44" s="5">
        <v>10</v>
      </c>
      <c r="I44" s="5">
        <v>2.89</v>
      </c>
      <c r="J44" s="5">
        <v>62.919656249999996</v>
      </c>
      <c r="K44" s="23">
        <v>2.07</v>
      </c>
      <c r="L44" s="7">
        <f t="shared" si="13"/>
        <v>247.49057999999997</v>
      </c>
      <c r="M44" s="7">
        <f t="shared" si="13"/>
        <v>71.52477762</v>
      </c>
      <c r="N44" s="7">
        <f t="shared" si="13"/>
        <v>1557.2022218713123</v>
      </c>
      <c r="O44" s="7">
        <f t="shared" si="13"/>
        <v>51.23055005999999</v>
      </c>
      <c r="P44" s="7">
        <f t="shared" si="14"/>
        <v>171.4667294592</v>
      </c>
      <c r="Q44" s="7">
        <f t="shared" si="14"/>
        <v>48.791121609887995</v>
      </c>
      <c r="R44" s="7">
        <f t="shared" si="14"/>
        <v>1029.8191970629898</v>
      </c>
      <c r="S44" s="7">
        <f t="shared" si="14"/>
        <v>33.525924382944</v>
      </c>
    </row>
    <row r="45" spans="1:19" ht="12.75">
      <c r="A45">
        <v>12</v>
      </c>
      <c r="B45" s="1" t="s">
        <v>344</v>
      </c>
      <c r="C45" s="120">
        <v>37734</v>
      </c>
      <c r="D45" s="10">
        <v>0.6284722222222222</v>
      </c>
      <c r="E45" s="4">
        <f t="shared" si="15"/>
        <v>9245</v>
      </c>
      <c r="F45" s="34">
        <v>1300</v>
      </c>
      <c r="G45" s="7">
        <f t="shared" si="12"/>
        <v>36.8121</v>
      </c>
      <c r="H45" s="5">
        <v>8.68</v>
      </c>
      <c r="I45" s="5">
        <v>2.44</v>
      </c>
      <c r="J45" s="5">
        <v>50.208614583333336</v>
      </c>
      <c r="K45" s="23">
        <v>1.62</v>
      </c>
      <c r="L45" s="7">
        <f t="shared" si="13"/>
        <v>319.529028</v>
      </c>
      <c r="M45" s="7">
        <f t="shared" si="13"/>
        <v>89.821524</v>
      </c>
      <c r="N45" s="7">
        <f t="shared" si="13"/>
        <v>1848.2845409031252</v>
      </c>
      <c r="O45" s="7">
        <f t="shared" si="13"/>
        <v>59.635602000000006</v>
      </c>
      <c r="P45" s="7">
        <f t="shared" si="14"/>
        <v>174.1041521856</v>
      </c>
      <c r="Q45" s="7">
        <f t="shared" si="14"/>
        <v>61.5855332736</v>
      </c>
      <c r="R45" s="7">
        <f t="shared" si="14"/>
        <v>1332.812200018635</v>
      </c>
      <c r="S45" s="7">
        <f t="shared" si="14"/>
        <v>33.036288566399996</v>
      </c>
    </row>
    <row r="46" spans="1:19" ht="12.75">
      <c r="A46">
        <v>13</v>
      </c>
      <c r="B46" s="1" t="s">
        <v>345</v>
      </c>
      <c r="C46" s="120">
        <v>37741</v>
      </c>
      <c r="D46" s="10">
        <v>0.8055555555555555</v>
      </c>
      <c r="E46" s="4">
        <f t="shared" si="15"/>
        <v>9252</v>
      </c>
      <c r="F46" s="34">
        <v>1200</v>
      </c>
      <c r="G46" s="7">
        <f t="shared" si="12"/>
        <v>33.980399999999996</v>
      </c>
      <c r="H46" s="5">
        <v>7.54</v>
      </c>
      <c r="I46" s="5">
        <v>3.35</v>
      </c>
      <c r="J46" s="5">
        <v>75.312921875</v>
      </c>
      <c r="K46" s="23">
        <v>1.46</v>
      </c>
      <c r="L46" s="7">
        <f t="shared" si="13"/>
        <v>256.21221599999996</v>
      </c>
      <c r="M46" s="7">
        <f t="shared" si="13"/>
        <v>113.83433999999998</v>
      </c>
      <c r="N46" s="7">
        <f t="shared" si="13"/>
        <v>2559.1632104812497</v>
      </c>
      <c r="O46" s="7">
        <f t="shared" si="13"/>
        <v>49.611383999999994</v>
      </c>
      <c r="P46" s="7">
        <f t="shared" si="14"/>
        <v>178.97286389759998</v>
      </c>
      <c r="Q46" s="7">
        <f t="shared" si="14"/>
        <v>77.4492150528</v>
      </c>
      <c r="R46" s="7">
        <f t="shared" si="14"/>
        <v>1754.712607451472</v>
      </c>
      <c r="S46" s="7">
        <f t="shared" si="14"/>
        <v>35.23087871999999</v>
      </c>
    </row>
    <row r="47" spans="1:19" ht="12.75">
      <c r="A47">
        <v>14</v>
      </c>
      <c r="B47" s="1" t="s">
        <v>346</v>
      </c>
      <c r="C47" s="120">
        <v>37749</v>
      </c>
      <c r="D47" s="10">
        <v>0.3055555555555555</v>
      </c>
      <c r="E47" s="4">
        <f t="shared" si="15"/>
        <v>9260</v>
      </c>
      <c r="F47" s="34">
        <v>1320</v>
      </c>
      <c r="G47" s="7">
        <f t="shared" si="12"/>
        <v>37.37844</v>
      </c>
      <c r="H47" s="5">
        <v>7</v>
      </c>
      <c r="I47" s="5">
        <v>2.95</v>
      </c>
      <c r="J47" s="5">
        <v>67.36852083333333</v>
      </c>
      <c r="K47" s="23">
        <v>1.4</v>
      </c>
      <c r="L47" s="7">
        <f t="shared" si="13"/>
        <v>261.64907999999997</v>
      </c>
      <c r="M47" s="7">
        <f t="shared" si="13"/>
        <v>110.266398</v>
      </c>
      <c r="N47" s="7">
        <f t="shared" si="13"/>
        <v>2518.1302138574997</v>
      </c>
      <c r="O47" s="7">
        <f t="shared" si="13"/>
        <v>52.329815999999994</v>
      </c>
      <c r="P47" s="7">
        <f t="shared" si="14"/>
        <v>141.95842194239998</v>
      </c>
      <c r="Q47" s="7">
        <f t="shared" si="14"/>
        <v>52.343544081599994</v>
      </c>
      <c r="R47" s="7">
        <f t="shared" si="14"/>
        <v>1174.8075197352612</v>
      </c>
      <c r="S47" s="7">
        <f t="shared" si="14"/>
        <v>29.5865983584</v>
      </c>
    </row>
    <row r="48" spans="1:19" ht="12.75">
      <c r="A48">
        <v>15</v>
      </c>
      <c r="B48" s="1" t="s">
        <v>347</v>
      </c>
      <c r="C48" s="120">
        <v>37755</v>
      </c>
      <c r="D48" s="10">
        <v>0.6597222222222222</v>
      </c>
      <c r="E48" s="4">
        <f t="shared" si="15"/>
        <v>9266</v>
      </c>
      <c r="F48" s="34">
        <v>1850</v>
      </c>
      <c r="G48" s="7">
        <f t="shared" si="12"/>
        <v>52.386449999999996</v>
      </c>
      <c r="H48" s="5">
        <v>5.46</v>
      </c>
      <c r="I48" s="5">
        <v>1.75</v>
      </c>
      <c r="J48" s="5">
        <v>38.45090104166666</v>
      </c>
      <c r="K48" s="23">
        <v>1.18</v>
      </c>
      <c r="L48" s="7">
        <f t="shared" si="13"/>
        <v>286.030017</v>
      </c>
      <c r="M48" s="7">
        <f t="shared" si="13"/>
        <v>91.6762875</v>
      </c>
      <c r="N48" s="7">
        <f t="shared" si="13"/>
        <v>2014.3062048742183</v>
      </c>
      <c r="O48" s="7">
        <f t="shared" si="13"/>
        <v>61.816010999999996</v>
      </c>
      <c r="P48" s="7">
        <f t="shared" si="14"/>
        <v>157.27688140752</v>
      </c>
      <c r="Q48" s="7">
        <f t="shared" si="14"/>
        <v>54.09542399184001</v>
      </c>
      <c r="R48" s="7">
        <f t="shared" si="14"/>
        <v>1134.1148810203483</v>
      </c>
      <c r="S48" s="7">
        <f t="shared" si="14"/>
        <v>37.18423521792</v>
      </c>
    </row>
    <row r="49" spans="1:19" ht="12.75">
      <c r="A49">
        <v>16</v>
      </c>
      <c r="B49" s="1" t="s">
        <v>348</v>
      </c>
      <c r="C49" s="120">
        <v>37762</v>
      </c>
      <c r="D49" s="10">
        <v>0.611111111111111</v>
      </c>
      <c r="E49" s="4">
        <f t="shared" si="15"/>
        <v>9273</v>
      </c>
      <c r="F49" s="34">
        <v>1770</v>
      </c>
      <c r="G49" s="7">
        <f t="shared" si="12"/>
        <v>50.121089999999995</v>
      </c>
      <c r="H49" s="5">
        <v>4.67</v>
      </c>
      <c r="I49" s="5">
        <v>1.74</v>
      </c>
      <c r="J49" s="5">
        <v>34.637588541666666</v>
      </c>
      <c r="K49" s="23">
        <v>1.22</v>
      </c>
      <c r="L49" s="7">
        <f t="shared" si="13"/>
        <v>234.06549029999996</v>
      </c>
      <c r="M49" s="7">
        <f t="shared" si="13"/>
        <v>87.21069659999999</v>
      </c>
      <c r="N49" s="7">
        <f t="shared" si="13"/>
        <v>1736.0736926798436</v>
      </c>
      <c r="O49" s="7">
        <f t="shared" si="13"/>
        <v>61.14772979999999</v>
      </c>
      <c r="P49" s="7">
        <f t="shared" si="14"/>
        <v>146.55935451023998</v>
      </c>
      <c r="Q49" s="7">
        <f t="shared" si="14"/>
        <v>61.869826892159985</v>
      </c>
      <c r="R49" s="7">
        <f t="shared" si="14"/>
        <v>1181.0000468152057</v>
      </c>
      <c r="S49" s="7">
        <f t="shared" si="14"/>
        <v>40.39367040576</v>
      </c>
    </row>
    <row r="50" spans="1:19" ht="12.75">
      <c r="A50">
        <v>17</v>
      </c>
      <c r="B50" s="1" t="s">
        <v>349</v>
      </c>
      <c r="C50" s="120">
        <v>37769</v>
      </c>
      <c r="D50" s="10">
        <v>0.8819444444444445</v>
      </c>
      <c r="E50" s="4">
        <f t="shared" si="15"/>
        <v>9280</v>
      </c>
      <c r="F50" s="34">
        <v>2940</v>
      </c>
      <c r="G50" s="7">
        <f t="shared" si="12"/>
        <v>83.25197999999999</v>
      </c>
      <c r="H50" s="5">
        <v>3.01</v>
      </c>
      <c r="I50" s="5">
        <v>1.41</v>
      </c>
      <c r="J50" s="5">
        <v>26.057635416666663</v>
      </c>
      <c r="K50" s="23">
        <v>0.87</v>
      </c>
      <c r="L50" s="7">
        <f t="shared" si="13"/>
        <v>250.58845979999995</v>
      </c>
      <c r="M50" s="7">
        <f t="shared" si="13"/>
        <v>117.38529179999998</v>
      </c>
      <c r="N50" s="7">
        <f t="shared" si="13"/>
        <v>2169.3497425556243</v>
      </c>
      <c r="O50" s="7">
        <f t="shared" si="13"/>
        <v>72.42922259999999</v>
      </c>
      <c r="P50" s="7">
        <f t="shared" si="14"/>
        <v>144.79622029151997</v>
      </c>
      <c r="Q50" s="7">
        <f t="shared" si="14"/>
        <v>66.07771496928</v>
      </c>
      <c r="R50" s="7">
        <f t="shared" si="14"/>
        <v>1216.1299069667787</v>
      </c>
      <c r="S50" s="7">
        <f t="shared" si="14"/>
        <v>42.50189597471999</v>
      </c>
    </row>
    <row r="51" spans="1:19" ht="12.75">
      <c r="A51">
        <v>18</v>
      </c>
      <c r="B51" s="1" t="s">
        <v>350</v>
      </c>
      <c r="C51" s="120">
        <v>37776</v>
      </c>
      <c r="D51" s="10">
        <v>0.7118055555555555</v>
      </c>
      <c r="E51" s="4">
        <f t="shared" si="15"/>
        <v>9287</v>
      </c>
      <c r="F51" s="34">
        <v>2480</v>
      </c>
      <c r="G51" s="7">
        <f t="shared" si="12"/>
        <v>70.22616</v>
      </c>
      <c r="H51" s="5">
        <v>3.25</v>
      </c>
      <c r="I51" s="5">
        <v>1.44</v>
      </c>
      <c r="J51" s="5">
        <v>26.375411458333335</v>
      </c>
      <c r="K51" s="23">
        <v>0.97</v>
      </c>
      <c r="L51" s="7">
        <f t="shared" si="13"/>
        <v>228.23501999999996</v>
      </c>
      <c r="M51" s="7">
        <f t="shared" si="13"/>
        <v>101.12567039999999</v>
      </c>
      <c r="N51" s="7">
        <f t="shared" si="13"/>
        <v>1852.24386513875</v>
      </c>
      <c r="O51" s="7">
        <f t="shared" si="13"/>
        <v>68.1193752</v>
      </c>
      <c r="P51" s="7">
        <f t="shared" si="14"/>
        <v>131.90538856319998</v>
      </c>
      <c r="Q51" s="7">
        <f t="shared" si="14"/>
        <v>55.36532590847999</v>
      </c>
      <c r="R51" s="7">
        <f t="shared" si="14"/>
        <v>1077.351993122454</v>
      </c>
      <c r="S51" s="7">
        <f t="shared" si="14"/>
        <v>40.390245181439994</v>
      </c>
    </row>
    <row r="52" spans="1:19" ht="12.75">
      <c r="A52">
        <v>19</v>
      </c>
      <c r="B52" s="1" t="s">
        <v>351</v>
      </c>
      <c r="C52" s="120">
        <v>37783</v>
      </c>
      <c r="D52" s="10">
        <v>0.8090277777777778</v>
      </c>
      <c r="E52" s="4">
        <f t="shared" si="15"/>
        <v>9294</v>
      </c>
      <c r="F52" s="34">
        <v>2160</v>
      </c>
      <c r="G52" s="7">
        <f t="shared" si="12"/>
        <v>61.164719999999996</v>
      </c>
      <c r="H52" s="5">
        <v>3.4</v>
      </c>
      <c r="I52" s="5">
        <v>1.34</v>
      </c>
      <c r="J52" s="5">
        <v>27.964291666666664</v>
      </c>
      <c r="K52" s="23">
        <v>1.07</v>
      </c>
      <c r="L52" s="7">
        <f t="shared" si="13"/>
        <v>207.96004799999997</v>
      </c>
      <c r="M52" s="7">
        <f t="shared" si="13"/>
        <v>81.9607248</v>
      </c>
      <c r="N52" s="7">
        <f t="shared" si="13"/>
        <v>1710.4280697899997</v>
      </c>
      <c r="O52" s="7">
        <f t="shared" si="13"/>
        <v>65.4462504</v>
      </c>
      <c r="P52" s="7">
        <f t="shared" si="14"/>
        <v>124.035935688</v>
      </c>
      <c r="Q52" s="7">
        <f t="shared" si="14"/>
        <v>46.765443947040005</v>
      </c>
      <c r="R52" s="7">
        <f t="shared" si="14"/>
        <v>979.3911127617538</v>
      </c>
      <c r="S52" s="7">
        <f t="shared" si="14"/>
        <v>38.961926639999994</v>
      </c>
    </row>
    <row r="53" spans="1:19" ht="12.75">
      <c r="A53">
        <v>20</v>
      </c>
      <c r="B53" s="1" t="s">
        <v>352</v>
      </c>
      <c r="C53" s="120">
        <v>37790</v>
      </c>
      <c r="D53" s="10">
        <v>0.7673611111111112</v>
      </c>
      <c r="E53" s="4">
        <f t="shared" si="15"/>
        <v>9301</v>
      </c>
      <c r="F53" s="34">
        <v>1930</v>
      </c>
      <c r="G53" s="7">
        <f t="shared" si="12"/>
        <v>54.65181</v>
      </c>
      <c r="H53" s="5">
        <v>3.7</v>
      </c>
      <c r="I53" s="5">
        <v>1.33</v>
      </c>
      <c r="J53" s="5">
        <v>27.964291666666664</v>
      </c>
      <c r="K53" s="23">
        <v>1.16</v>
      </c>
      <c r="L53" s="7">
        <f t="shared" si="13"/>
        <v>202.211697</v>
      </c>
      <c r="M53" s="7">
        <f t="shared" si="13"/>
        <v>72.6869073</v>
      </c>
      <c r="N53" s="7">
        <f t="shared" si="13"/>
        <v>1528.2991549512499</v>
      </c>
      <c r="O53" s="7">
        <f t="shared" si="13"/>
        <v>63.39609959999999</v>
      </c>
      <c r="P53" s="7">
        <f t="shared" si="14"/>
        <v>104.79938658911999</v>
      </c>
      <c r="Q53" s="7">
        <f t="shared" si="14"/>
        <v>35.29767059424</v>
      </c>
      <c r="R53" s="7">
        <f t="shared" si="14"/>
        <v>787.0690256599574</v>
      </c>
      <c r="S53" s="7">
        <f t="shared" si="14"/>
        <v>32.726550424319996</v>
      </c>
    </row>
    <row r="54" spans="1:19" ht="12.75">
      <c r="A54">
        <v>21</v>
      </c>
      <c r="B54" s="1" t="s">
        <v>353</v>
      </c>
      <c r="C54" s="120">
        <v>37796</v>
      </c>
      <c r="D54" s="10">
        <v>0.8368055555555555</v>
      </c>
      <c r="E54" s="4">
        <f t="shared" si="15"/>
        <v>9307</v>
      </c>
      <c r="F54" s="34">
        <v>1110</v>
      </c>
      <c r="G54" s="7">
        <f t="shared" si="12"/>
        <v>31.43187</v>
      </c>
      <c r="H54" s="5">
        <v>6.43</v>
      </c>
      <c r="I54" s="5">
        <v>2.02</v>
      </c>
      <c r="J54" s="5">
        <v>47.98418229166666</v>
      </c>
      <c r="K54" s="23">
        <v>2</v>
      </c>
      <c r="L54" s="7">
        <f t="shared" si="13"/>
        <v>202.1069241</v>
      </c>
      <c r="M54" s="7">
        <f t="shared" si="13"/>
        <v>63.4923774</v>
      </c>
      <c r="N54" s="7">
        <f t="shared" si="13"/>
        <v>1508.2325798479687</v>
      </c>
      <c r="O54" s="7">
        <f t="shared" si="13"/>
        <v>62.86374</v>
      </c>
      <c r="P54" s="7">
        <f t="shared" si="14"/>
        <v>103.45986843447191</v>
      </c>
      <c r="Q54" s="7">
        <f t="shared" si="14"/>
        <v>34.42825227871453</v>
      </c>
      <c r="R54" s="7">
        <f t="shared" si="14"/>
        <v>772.5316522056877</v>
      </c>
      <c r="S54" s="7">
        <f t="shared" si="14"/>
        <v>30.61052270745632</v>
      </c>
    </row>
    <row r="55" spans="1:19" ht="12.75">
      <c r="A55">
        <v>22</v>
      </c>
      <c r="B55" s="1"/>
      <c r="C55" s="120">
        <v>37802</v>
      </c>
      <c r="D55" s="10"/>
      <c r="E55" s="4">
        <f t="shared" si="15"/>
        <v>9313</v>
      </c>
      <c r="F55" s="82">
        <v>968</v>
      </c>
      <c r="G55" s="7">
        <f t="shared" si="12"/>
        <v>27.410856</v>
      </c>
      <c r="H55" s="5">
        <f>81.214*G55^-0.7323</f>
        <v>7.1885315396514935</v>
      </c>
      <c r="I55" s="5">
        <f>9.8759*G55^-0.4114</f>
        <v>2.5293872607110064</v>
      </c>
      <c r="J55" s="5">
        <f>327.24*G55^-0.5458</f>
        <v>53.70914389602368</v>
      </c>
      <c r="K55" s="23">
        <f>20.422*G55^-0.6995</f>
        <v>2.0149831300686842</v>
      </c>
      <c r="L55" s="7">
        <f t="shared" si="13"/>
        <v>197.04380288484538</v>
      </c>
      <c r="M55" s="7">
        <f t="shared" si="13"/>
        <v>69.33266997158385</v>
      </c>
      <c r="N55" s="7">
        <f t="shared" si="13"/>
        <v>1472.213609217184</v>
      </c>
      <c r="O55" s="7">
        <f t="shared" si="13"/>
        <v>55.23241242074197</v>
      </c>
      <c r="P55" s="7">
        <f t="shared" si="14"/>
        <v>141.07983572434787</v>
      </c>
      <c r="Q55" s="7">
        <f t="shared" si="14"/>
        <v>48.4462771391918</v>
      </c>
      <c r="R55" s="7">
        <f t="shared" si="14"/>
        <v>1088.475560621029</v>
      </c>
      <c r="S55" s="7">
        <f t="shared" si="14"/>
        <v>42.38994377678447</v>
      </c>
    </row>
    <row r="56" spans="1:19" ht="12.75">
      <c r="A56">
        <v>23</v>
      </c>
      <c r="B56" s="1" t="s">
        <v>354</v>
      </c>
      <c r="C56" s="120">
        <v>37811</v>
      </c>
      <c r="D56" s="10">
        <v>0.8020833333333334</v>
      </c>
      <c r="E56" s="4">
        <f t="shared" si="15"/>
        <v>9322</v>
      </c>
      <c r="F56" s="34">
        <v>745</v>
      </c>
      <c r="G56" s="7">
        <f t="shared" si="12"/>
        <v>21.096165</v>
      </c>
      <c r="H56" s="5">
        <v>7.86</v>
      </c>
      <c r="I56" s="5">
        <v>2.62</v>
      </c>
      <c r="J56" s="5">
        <v>62.919656249999996</v>
      </c>
      <c r="K56" s="23">
        <v>2.55</v>
      </c>
      <c r="L56" s="7">
        <f t="shared" si="13"/>
        <v>165.8158569</v>
      </c>
      <c r="M56" s="7">
        <f t="shared" si="13"/>
        <v>55.2719523</v>
      </c>
      <c r="N56" s="7">
        <f t="shared" si="13"/>
        <v>1327.3634499932812</v>
      </c>
      <c r="O56" s="7">
        <f t="shared" si="13"/>
        <v>53.79522074999999</v>
      </c>
      <c r="P56" s="7">
        <f t="shared" si="14"/>
        <v>100.51277951735999</v>
      </c>
      <c r="Q56" s="7">
        <f t="shared" si="14"/>
        <v>31.337805456719998</v>
      </c>
      <c r="R56" s="7">
        <f t="shared" si="14"/>
        <v>762.8295387754675</v>
      </c>
      <c r="S56" s="7">
        <f t="shared" si="14"/>
        <v>32.71106351721599</v>
      </c>
    </row>
    <row r="57" spans="1:19" ht="12.75">
      <c r="A57">
        <v>24</v>
      </c>
      <c r="B57" s="1" t="s">
        <v>355</v>
      </c>
      <c r="C57" s="120">
        <v>37818</v>
      </c>
      <c r="D57" s="10">
        <v>0.37152777777777773</v>
      </c>
      <c r="E57" s="4">
        <f t="shared" si="15"/>
        <v>9329</v>
      </c>
      <c r="F57" s="34">
        <v>759</v>
      </c>
      <c r="G57" s="7">
        <f t="shared" si="12"/>
        <v>21.492603</v>
      </c>
      <c r="H57" s="5">
        <v>7.75</v>
      </c>
      <c r="I57" s="5">
        <v>2.25</v>
      </c>
      <c r="J57" s="5">
        <v>55.61080729166667</v>
      </c>
      <c r="K57" s="23">
        <v>2.53</v>
      </c>
      <c r="L57" s="7">
        <f t="shared" si="13"/>
        <v>166.56767324999998</v>
      </c>
      <c r="M57" s="7">
        <f t="shared" si="13"/>
        <v>48.35835675</v>
      </c>
      <c r="N57" s="7">
        <f t="shared" si="13"/>
        <v>1195.2210036292968</v>
      </c>
      <c r="O57" s="7">
        <f t="shared" si="13"/>
        <v>54.376285589999995</v>
      </c>
      <c r="P57" s="7">
        <f t="shared" si="14"/>
        <v>99.25144066152</v>
      </c>
      <c r="Q57" s="7">
        <f t="shared" si="14"/>
        <v>28.66784309928</v>
      </c>
      <c r="R57" s="7">
        <f t="shared" si="14"/>
        <v>689.875894262402</v>
      </c>
      <c r="S57" s="7">
        <f t="shared" si="14"/>
        <v>32.919574047695995</v>
      </c>
    </row>
    <row r="58" spans="1:19" ht="12.75">
      <c r="A58">
        <v>25</v>
      </c>
      <c r="B58" s="1" t="s">
        <v>356</v>
      </c>
      <c r="C58" s="120">
        <v>37825</v>
      </c>
      <c r="D58" s="10">
        <v>0.6944444444444445</v>
      </c>
      <c r="E58" s="4">
        <f t="shared" si="15"/>
        <v>9336</v>
      </c>
      <c r="F58" s="34">
        <v>710</v>
      </c>
      <c r="G58" s="7">
        <f t="shared" si="12"/>
        <v>20.105069999999998</v>
      </c>
      <c r="H58" s="5">
        <v>8.04</v>
      </c>
      <c r="I58" s="5">
        <v>2.31</v>
      </c>
      <c r="J58" s="5">
        <v>54.021927083333345</v>
      </c>
      <c r="K58" s="23">
        <v>2.71</v>
      </c>
      <c r="L58" s="7">
        <f t="shared" si="13"/>
        <v>161.64476279999997</v>
      </c>
      <c r="M58" s="7">
        <f t="shared" si="13"/>
        <v>46.4427117</v>
      </c>
      <c r="N58" s="7">
        <f t="shared" si="13"/>
        <v>1086.1146255453127</v>
      </c>
      <c r="O58" s="7">
        <f t="shared" si="13"/>
        <v>54.48473969999999</v>
      </c>
      <c r="P58" s="7">
        <f t="shared" si="14"/>
        <v>102.89948230078221</v>
      </c>
      <c r="Q58" s="7">
        <f t="shared" si="14"/>
        <v>30.942550178745496</v>
      </c>
      <c r="R58" s="7">
        <f t="shared" si="14"/>
        <v>705.3751348360586</v>
      </c>
      <c r="S58" s="7">
        <f t="shared" si="14"/>
        <v>31.43683215028993</v>
      </c>
    </row>
    <row r="59" spans="1:19" ht="12.75">
      <c r="A59">
        <v>26</v>
      </c>
      <c r="B59" s="1"/>
      <c r="C59" s="120">
        <v>37832</v>
      </c>
      <c r="D59" s="10"/>
      <c r="E59" s="4">
        <f t="shared" si="15"/>
        <v>9343</v>
      </c>
      <c r="F59" s="82">
        <v>671</v>
      </c>
      <c r="G59" s="7">
        <f t="shared" si="12"/>
        <v>19.000707</v>
      </c>
      <c r="H59" s="5">
        <f>81.214*G59^-0.7323</f>
        <v>9.401297699578494</v>
      </c>
      <c r="I59" s="5">
        <f>9.8759*G59^-0.4114</f>
        <v>2.940971419936477</v>
      </c>
      <c r="J59" s="5">
        <f>327.24*G59^-0.5458</f>
        <v>65.60151188350048</v>
      </c>
      <c r="K59" s="23">
        <f>20.422*G59^-0.6995</f>
        <v>2.603747248708603</v>
      </c>
      <c r="L59" s="7">
        <f t="shared" si="13"/>
        <v>178.63130300946497</v>
      </c>
      <c r="M59" s="7">
        <f t="shared" si="13"/>
        <v>55.88053624558695</v>
      </c>
      <c r="N59" s="7">
        <f t="shared" si="13"/>
        <v>1246.4751060554106</v>
      </c>
      <c r="O59" s="7">
        <f t="shared" si="13"/>
        <v>49.47303857476829</v>
      </c>
      <c r="P59" s="7">
        <f t="shared" si="14"/>
        <v>195.0423901470364</v>
      </c>
      <c r="Q59" s="7">
        <f t="shared" si="14"/>
        <v>66.86777417579499</v>
      </c>
      <c r="R59" s="7">
        <f t="shared" si="14"/>
        <v>1621.4097006166712</v>
      </c>
      <c r="S59" s="7">
        <f t="shared" si="14"/>
        <v>58.55342886576386</v>
      </c>
    </row>
    <row r="60" spans="1:19" ht="12.75">
      <c r="A60">
        <v>27</v>
      </c>
      <c r="B60" s="1" t="s">
        <v>357</v>
      </c>
      <c r="C60" s="120">
        <v>37846</v>
      </c>
      <c r="D60" s="10">
        <v>0.3090277777777778</v>
      </c>
      <c r="E60" s="4">
        <f t="shared" si="15"/>
        <v>9357</v>
      </c>
      <c r="F60" s="34">
        <v>648</v>
      </c>
      <c r="G60" s="7">
        <f t="shared" si="12"/>
        <v>18.349415999999998</v>
      </c>
      <c r="H60" s="5">
        <v>7.84</v>
      </c>
      <c r="I60" s="5">
        <v>2.98</v>
      </c>
      <c r="J60" s="5">
        <v>78.17290625</v>
      </c>
      <c r="K60" s="23">
        <v>2.58</v>
      </c>
      <c r="L60" s="7">
        <f t="shared" si="13"/>
        <v>143.85942143999998</v>
      </c>
      <c r="M60" s="7">
        <f t="shared" si="13"/>
        <v>54.68125968</v>
      </c>
      <c r="N60" s="7">
        <f t="shared" si="13"/>
        <v>1434.4271767102498</v>
      </c>
      <c r="O60" s="7">
        <f t="shared" si="13"/>
        <v>47.341493279999995</v>
      </c>
      <c r="P60" s="7">
        <f t="shared" si="14"/>
        <v>174.35796130771197</v>
      </c>
      <c r="Q60" s="7">
        <f t="shared" si="14"/>
        <v>55.644310429343996</v>
      </c>
      <c r="R60" s="7">
        <f t="shared" si="14"/>
        <v>1450.1911037752782</v>
      </c>
      <c r="S60" s="7">
        <f t="shared" si="14"/>
        <v>56.30794764134399</v>
      </c>
    </row>
    <row r="61" spans="1:19" ht="12.75">
      <c r="A61">
        <v>28</v>
      </c>
      <c r="B61" s="1" t="s">
        <v>358</v>
      </c>
      <c r="C61" s="120">
        <v>37860</v>
      </c>
      <c r="D61" s="10">
        <v>0.4270833333333333</v>
      </c>
      <c r="E61" s="4">
        <f t="shared" si="15"/>
        <v>9371</v>
      </c>
      <c r="F61" s="34">
        <v>505</v>
      </c>
      <c r="G61" s="7">
        <f t="shared" si="12"/>
        <v>14.300085</v>
      </c>
      <c r="H61" s="5">
        <v>10.1</v>
      </c>
      <c r="I61" s="5">
        <v>2.61</v>
      </c>
      <c r="J61" s="5">
        <v>67.36852083333333</v>
      </c>
      <c r="K61" s="23">
        <v>3.2</v>
      </c>
      <c r="L61" s="7">
        <f t="shared" si="13"/>
        <v>144.4308585</v>
      </c>
      <c r="M61" s="7">
        <f t="shared" si="13"/>
        <v>37.323221849999996</v>
      </c>
      <c r="N61" s="7">
        <f t="shared" si="13"/>
        <v>963.3755742409375</v>
      </c>
      <c r="O61" s="7">
        <f t="shared" si="13"/>
        <v>45.760272</v>
      </c>
      <c r="P61" s="7">
        <f t="shared" si="14"/>
        <v>201.87110012399998</v>
      </c>
      <c r="Q61" s="7">
        <f t="shared" si="14"/>
        <v>52.54447018679999</v>
      </c>
      <c r="R61" s="7">
        <f t="shared" si="14"/>
        <v>1322.2736307068153</v>
      </c>
      <c r="S61" s="7">
        <f t="shared" si="14"/>
        <v>62.03350368287999</v>
      </c>
    </row>
    <row r="62" spans="1:19" ht="12.75">
      <c r="A62">
        <v>29</v>
      </c>
      <c r="B62" s="1" t="s">
        <v>359</v>
      </c>
      <c r="C62" s="120">
        <v>37875</v>
      </c>
      <c r="D62" s="10">
        <v>0.6458333333333334</v>
      </c>
      <c r="E62" s="4">
        <f t="shared" si="15"/>
        <v>9386</v>
      </c>
      <c r="F62" s="34">
        <v>562</v>
      </c>
      <c r="G62" s="7">
        <f t="shared" si="12"/>
        <v>15.914154</v>
      </c>
      <c r="H62" s="5">
        <v>10.5</v>
      </c>
      <c r="I62" s="5">
        <v>2.75</v>
      </c>
      <c r="J62" s="5">
        <v>67.686296875</v>
      </c>
      <c r="K62" s="23">
        <v>3.14</v>
      </c>
      <c r="L62" s="7">
        <f t="shared" si="13"/>
        <v>167.098617</v>
      </c>
      <c r="M62" s="7">
        <f t="shared" si="13"/>
        <v>43.7639235</v>
      </c>
      <c r="N62" s="7">
        <f t="shared" si="13"/>
        <v>1077.1701521584687</v>
      </c>
      <c r="O62" s="7">
        <f t="shared" si="13"/>
        <v>49.97044356</v>
      </c>
      <c r="P62" s="7">
        <f t="shared" si="14"/>
        <v>270.0647874482873</v>
      </c>
      <c r="Q62" s="7">
        <f t="shared" si="14"/>
        <v>72.88312056091819</v>
      </c>
      <c r="R62" s="7">
        <f t="shared" si="14"/>
        <v>1750.2665508544067</v>
      </c>
      <c r="S62" s="7">
        <f t="shared" si="14"/>
        <v>77.38591818137338</v>
      </c>
    </row>
    <row r="63" spans="1:16" ht="12.75">
      <c r="A63">
        <v>30</v>
      </c>
      <c r="C63" s="120">
        <v>37894</v>
      </c>
      <c r="D63" s="1"/>
      <c r="E63" s="4">
        <f t="shared" si="15"/>
        <v>9405</v>
      </c>
      <c r="F63" s="1">
        <v>465</v>
      </c>
      <c r="G63" s="7">
        <f t="shared" si="12"/>
        <v>13.167404999999999</v>
      </c>
      <c r="H63" s="5">
        <f>81.214*G63^-0.7323</f>
        <v>12.297615475291154</v>
      </c>
      <c r="I63" s="5">
        <f>9.8759*G63^-0.4114</f>
        <v>3.419907062547238</v>
      </c>
      <c r="J63" s="5">
        <f>327.24*G63^-0.5458</f>
        <v>80.1388633400158</v>
      </c>
      <c r="K63" s="23">
        <f>20.422*G63^-0.6995</f>
        <v>3.365176801523005</v>
      </c>
      <c r="L63" s="7">
        <f t="shared" si="13"/>
        <v>161.9276834974261</v>
      </c>
      <c r="M63" s="7">
        <f t="shared" si="13"/>
        <v>45.031301354919805</v>
      </c>
      <c r="N63" s="7">
        <f t="shared" si="13"/>
        <v>1055.2208698376407</v>
      </c>
      <c r="O63" s="7">
        <f t="shared" si="13"/>
        <v>44.31064584225802</v>
      </c>
      <c r="P63" s="7"/>
    </row>
    <row r="64" spans="4:15" ht="12.75">
      <c r="D64" s="1"/>
      <c r="F64" s="38"/>
      <c r="G64" s="11"/>
      <c r="L64" s="11"/>
      <c r="M64" s="11"/>
      <c r="N64" s="11"/>
      <c r="O64" s="11"/>
    </row>
    <row r="65" spans="2:19" ht="12.75">
      <c r="B65" s="35" t="s">
        <v>223</v>
      </c>
      <c r="D65" s="1"/>
      <c r="F65" s="38"/>
      <c r="G65" s="18"/>
      <c r="P65" s="11">
        <f>SUM(P34:P62)</f>
        <v>5678.11413591152</v>
      </c>
      <c r="Q65" s="11">
        <f>SUM(Q34:Q62)</f>
        <v>1748.439886725846</v>
      </c>
      <c r="R65" s="11">
        <f>SUM(R34:R62)</f>
        <v>39801.85922319489</v>
      </c>
      <c r="S65" s="11">
        <f>SUM(S34:S62)</f>
        <v>1517.4347868658153</v>
      </c>
    </row>
    <row r="67" spans="1:19" ht="12.75">
      <c r="A67">
        <v>1</v>
      </c>
      <c r="B67" s="1"/>
      <c r="C67" s="120">
        <v>37895</v>
      </c>
      <c r="D67" s="10">
        <v>0.0006944444444444445</v>
      </c>
      <c r="E67" s="4">
        <f>C67-28489</f>
        <v>9406</v>
      </c>
      <c r="F67" s="82">
        <v>464</v>
      </c>
      <c r="G67" s="7">
        <f aca="true" t="shared" si="16" ref="G67:G94">F67*0.028317</f>
        <v>13.139088</v>
      </c>
      <c r="H67" s="5">
        <f aca="true" t="shared" si="17" ref="H67:H76">81.214*G67^-0.7323</f>
        <v>12.317018381213245</v>
      </c>
      <c r="I67" s="5">
        <f aca="true" t="shared" si="18" ref="I67:I76">9.8759*G67^-0.4114</f>
        <v>3.4229373608239317</v>
      </c>
      <c r="J67" s="5">
        <f aca="true" t="shared" si="19" ref="J67:J76">327.24*G67^-0.5458</f>
        <v>80.23308404251041</v>
      </c>
      <c r="K67" s="23">
        <f aca="true" t="shared" si="20" ref="K67:K76">20.422*G67^-0.6995</f>
        <v>3.3702483093748823</v>
      </c>
      <c r="L67" s="7">
        <f>(H67*$G67)</f>
        <v>161.83438840837837</v>
      </c>
      <c r="M67" s="7">
        <f>(I67*$G67)</f>
        <v>44.97427520235339</v>
      </c>
      <c r="N67" s="7">
        <f>(J67*$G67)</f>
        <v>1054.18955174594</v>
      </c>
      <c r="O67" s="7">
        <f>(K67*$G67)</f>
        <v>44.2819891187278</v>
      </c>
      <c r="P67" s="7">
        <f>(((L67+L68)/2)*(($E68-$E67)*24*60*60))/1000000</f>
        <v>432.95548195345924</v>
      </c>
      <c r="Q67" s="7">
        <f>(((M67+M68)/2)*(($E68-$E67)*24*60*60))/1000000</f>
        <v>120.15294151537707</v>
      </c>
      <c r="R67" s="7">
        <f>(((N67+N68)/2)*(($E68-$E67)*24*60*60))/1000000</f>
        <v>2818.0004203444196</v>
      </c>
      <c r="S67" s="7">
        <f>(((O67+O68)/2)*(($E68-$E67)*24*60*60))/1000000</f>
        <v>118.45079019790188</v>
      </c>
    </row>
    <row r="68" spans="1:19" ht="12.75">
      <c r="A68">
        <v>2</v>
      </c>
      <c r="B68" s="1"/>
      <c r="C68" s="120">
        <v>37926</v>
      </c>
      <c r="D68" s="10"/>
      <c r="E68" s="4">
        <f aca="true" t="shared" si="21" ref="E68:E82">C68-28489</f>
        <v>9437</v>
      </c>
      <c r="F68" s="82">
        <v>460</v>
      </c>
      <c r="G68" s="7">
        <f t="shared" si="16"/>
        <v>13.02582</v>
      </c>
      <c r="H68" s="5">
        <f t="shared" si="17"/>
        <v>12.395360057208034</v>
      </c>
      <c r="I68" s="5">
        <f t="shared" si="18"/>
        <v>3.435151353633493</v>
      </c>
      <c r="J68" s="5">
        <f t="shared" si="19"/>
        <v>80.61312840524593</v>
      </c>
      <c r="K68" s="23">
        <f t="shared" si="20"/>
        <v>3.390721527941168</v>
      </c>
      <c r="L68" s="7">
        <f aca="true" t="shared" si="22" ref="L68:L94">(H68*$G68)</f>
        <v>161.45972894038155</v>
      </c>
      <c r="M68" s="7">
        <f aca="true" t="shared" si="23" ref="M68:M94">(I68*$G68)</f>
        <v>44.745663205186226</v>
      </c>
      <c r="N68" s="7">
        <f aca="true" t="shared" si="24" ref="N68:N94">(J68*$G68)</f>
        <v>1050.0521002436205</v>
      </c>
      <c r="O68" s="7">
        <f aca="true" t="shared" si="25" ref="O68:O94">(K68*$G68)</f>
        <v>44.16692829308663</v>
      </c>
      <c r="P68" s="7">
        <f aca="true" t="shared" si="26" ref="P68:P93">(((L68+L69)/2)*(($E69-$E68)*24*60*60))/1000000</f>
        <v>417.27604629170133</v>
      </c>
      <c r="Q68" s="7">
        <f aca="true" t="shared" si="27" ref="Q68:Q93">(((M68+M69)/2)*(($E69-$E68)*24*60*60))/1000000</f>
        <v>115.23538177328517</v>
      </c>
      <c r="R68" s="7">
        <f aca="true" t="shared" si="28" ref="R68:R93">(((N68+N69)/2)*(($E69-$E68)*24*60*60))/1000000</f>
        <v>2708.217333779707</v>
      </c>
      <c r="S68" s="7">
        <f aca="true" t="shared" si="29" ref="S68:S93">(((O68+O69)/2)*(($E69-$E68)*24*60*60))/1000000</f>
        <v>114.10387078600147</v>
      </c>
    </row>
    <row r="69" spans="1:19" ht="12.75">
      <c r="A69">
        <v>3</v>
      </c>
      <c r="B69" s="1"/>
      <c r="C69" s="120">
        <v>37956</v>
      </c>
      <c r="D69" s="10"/>
      <c r="E69" s="4">
        <f t="shared" si="21"/>
        <v>9467</v>
      </c>
      <c r="F69" s="82">
        <v>450</v>
      </c>
      <c r="G69" s="7">
        <f t="shared" si="16"/>
        <v>12.74265</v>
      </c>
      <c r="H69" s="5">
        <f t="shared" si="17"/>
        <v>12.596479460767268</v>
      </c>
      <c r="I69" s="5">
        <f t="shared" si="18"/>
        <v>3.4663532651916444</v>
      </c>
      <c r="J69" s="5">
        <f t="shared" si="19"/>
        <v>81.5859941545566</v>
      </c>
      <c r="K69" s="23">
        <f t="shared" si="20"/>
        <v>3.4432541018781193</v>
      </c>
      <c r="L69" s="7">
        <f t="shared" si="22"/>
        <v>160.512529000746</v>
      </c>
      <c r="M69" s="7">
        <f t="shared" si="23"/>
        <v>44.1705264346943</v>
      </c>
      <c r="N69" s="7">
        <f t="shared" si="24"/>
        <v>1039.6217684135606</v>
      </c>
      <c r="O69" s="7">
        <f t="shared" si="25"/>
        <v>43.876181881297214</v>
      </c>
      <c r="P69" s="7">
        <f t="shared" si="26"/>
        <v>420.40426858544356</v>
      </c>
      <c r="Q69" s="7">
        <f t="shared" si="27"/>
        <v>112.70295693891437</v>
      </c>
      <c r="R69" s="7">
        <f t="shared" si="28"/>
        <v>2681.607216144154</v>
      </c>
      <c r="S69" s="7">
        <f t="shared" si="29"/>
        <v>114.60714405326681</v>
      </c>
    </row>
    <row r="70" spans="1:19" ht="12.75">
      <c r="A70">
        <v>4</v>
      </c>
      <c r="B70" s="1"/>
      <c r="C70" s="120">
        <v>37987</v>
      </c>
      <c r="D70" s="10"/>
      <c r="E70" s="4">
        <f t="shared" si="21"/>
        <v>9498</v>
      </c>
      <c r="F70" s="82">
        <v>380</v>
      </c>
      <c r="G70" s="7">
        <f t="shared" si="16"/>
        <v>10.76046</v>
      </c>
      <c r="H70" s="5">
        <f t="shared" si="17"/>
        <v>14.256771167855057</v>
      </c>
      <c r="I70" s="5">
        <f t="shared" si="18"/>
        <v>3.7160493872663563</v>
      </c>
      <c r="J70" s="5">
        <f t="shared" si="19"/>
        <v>89.47322942012262</v>
      </c>
      <c r="K70" s="23">
        <f t="shared" si="20"/>
        <v>3.875543367947403</v>
      </c>
      <c r="L70" s="7">
        <f t="shared" si="22"/>
        <v>153.40941588085764</v>
      </c>
      <c r="M70" s="7">
        <f t="shared" si="23"/>
        <v>39.986400789704135</v>
      </c>
      <c r="N70" s="7">
        <f t="shared" si="24"/>
        <v>962.7731062460526</v>
      </c>
      <c r="O70" s="7">
        <f t="shared" si="25"/>
        <v>41.70262938906331</v>
      </c>
      <c r="P70" s="7">
        <f t="shared" si="26"/>
        <v>413.73225814065023</v>
      </c>
      <c r="Q70" s="7">
        <f t="shared" si="27"/>
        <v>108.74096307920185</v>
      </c>
      <c r="R70" s="7">
        <f t="shared" si="28"/>
        <v>2609.0825517596895</v>
      </c>
      <c r="S70" s="7">
        <f t="shared" si="29"/>
        <v>112.56381415155042</v>
      </c>
    </row>
    <row r="71" spans="1:19" ht="12.75">
      <c r="A71">
        <v>5</v>
      </c>
      <c r="B71" s="1"/>
      <c r="C71" s="120">
        <v>38018</v>
      </c>
      <c r="D71" s="10"/>
      <c r="E71" s="4">
        <f t="shared" si="21"/>
        <v>9529</v>
      </c>
      <c r="F71" s="82">
        <v>400</v>
      </c>
      <c r="G71" s="7">
        <f t="shared" si="16"/>
        <v>11.326799999999999</v>
      </c>
      <c r="H71" s="5">
        <f t="shared" si="17"/>
        <v>13.731189952009503</v>
      </c>
      <c r="I71" s="5">
        <f t="shared" si="18"/>
        <v>3.6384546688836297</v>
      </c>
      <c r="J71" s="5">
        <f t="shared" si="19"/>
        <v>87.00308587356642</v>
      </c>
      <c r="K71" s="23">
        <f t="shared" si="20"/>
        <v>3.7389552128145445</v>
      </c>
      <c r="L71" s="7">
        <f t="shared" si="22"/>
        <v>155.53044234842122</v>
      </c>
      <c r="M71" s="7">
        <f t="shared" si="23"/>
        <v>41.21204834351109</v>
      </c>
      <c r="N71" s="7">
        <f t="shared" si="24"/>
        <v>985.466553072712</v>
      </c>
      <c r="O71" s="7">
        <f t="shared" si="25"/>
        <v>42.35039790450778</v>
      </c>
      <c r="P71" s="7">
        <f t="shared" si="26"/>
        <v>386.9043300074558</v>
      </c>
      <c r="Q71" s="7">
        <f t="shared" si="27"/>
        <v>101.64778055793013</v>
      </c>
      <c r="R71" s="7">
        <f t="shared" si="28"/>
        <v>2439.3119272562085</v>
      </c>
      <c r="S71" s="7">
        <f t="shared" si="29"/>
        <v>105.26027967180283</v>
      </c>
    </row>
    <row r="72" spans="1:19" ht="12.75">
      <c r="A72">
        <v>6</v>
      </c>
      <c r="B72" s="1"/>
      <c r="C72" s="120">
        <v>38047</v>
      </c>
      <c r="D72" s="10"/>
      <c r="E72" s="4">
        <f t="shared" si="21"/>
        <v>9558</v>
      </c>
      <c r="F72" s="82">
        <v>379</v>
      </c>
      <c r="G72" s="7">
        <f t="shared" si="16"/>
        <v>10.732142999999999</v>
      </c>
      <c r="H72" s="5">
        <f t="shared" si="17"/>
        <v>14.28430824039643</v>
      </c>
      <c r="I72" s="5">
        <f t="shared" si="18"/>
        <v>3.7200799868645893</v>
      </c>
      <c r="J72" s="5">
        <f t="shared" si="19"/>
        <v>89.60200320361781</v>
      </c>
      <c r="K72" s="23">
        <f t="shared" si="20"/>
        <v>3.8826934183237616</v>
      </c>
      <c r="L72" s="7">
        <f t="shared" si="22"/>
        <v>153.30123869201284</v>
      </c>
      <c r="M72" s="7">
        <f t="shared" si="23"/>
        <v>39.92443039046889</v>
      </c>
      <c r="N72" s="7">
        <f t="shared" si="24"/>
        <v>961.6215114676844</v>
      </c>
      <c r="O72" s="7">
        <f t="shared" si="25"/>
        <v>41.669620990609424</v>
      </c>
      <c r="P72" s="7">
        <f t="shared" si="26"/>
        <v>445.94408579926466</v>
      </c>
      <c r="Q72" s="7">
        <f t="shared" si="27"/>
        <v>129.28221013513644</v>
      </c>
      <c r="R72" s="7">
        <f t="shared" si="28"/>
        <v>2973.929798068603</v>
      </c>
      <c r="S72" s="7">
        <f t="shared" si="29"/>
        <v>122.49988220097772</v>
      </c>
    </row>
    <row r="73" spans="1:19" ht="12.75">
      <c r="A73">
        <v>7</v>
      </c>
      <c r="B73" s="1"/>
      <c r="C73" s="120">
        <v>38078</v>
      </c>
      <c r="D73" s="10"/>
      <c r="E73" s="4">
        <f t="shared" si="21"/>
        <v>9589</v>
      </c>
      <c r="F73" s="82">
        <v>686</v>
      </c>
      <c r="G73" s="7">
        <f t="shared" si="16"/>
        <v>19.425462</v>
      </c>
      <c r="H73" s="5">
        <f t="shared" si="17"/>
        <v>9.250315741100883</v>
      </c>
      <c r="I73" s="5">
        <f t="shared" si="18"/>
        <v>2.914343291898527</v>
      </c>
      <c r="J73" s="5">
        <f t="shared" si="19"/>
        <v>64.8146675247525</v>
      </c>
      <c r="K73" s="23">
        <f t="shared" si="20"/>
        <v>2.5637903466678154</v>
      </c>
      <c r="L73" s="7">
        <f t="shared" si="22"/>
        <v>179.69165691675704</v>
      </c>
      <c r="M73" s="7">
        <f t="shared" si="23"/>
        <v>56.61246487172974</v>
      </c>
      <c r="N73" s="7">
        <f t="shared" si="24"/>
        <v>1259.0548610447136</v>
      </c>
      <c r="O73" s="7">
        <f t="shared" si="25"/>
        <v>49.802811955162475</v>
      </c>
      <c r="P73" s="7">
        <f t="shared" si="26"/>
        <v>116.73731400794111</v>
      </c>
      <c r="Q73" s="7">
        <f t="shared" si="27"/>
        <v>40.32346878249481</v>
      </c>
      <c r="R73" s="7">
        <f t="shared" si="28"/>
        <v>862.1724435747611</v>
      </c>
      <c r="S73" s="7">
        <f t="shared" si="29"/>
        <v>32.65013202506647</v>
      </c>
    </row>
    <row r="74" spans="1:19" ht="12.75">
      <c r="A74">
        <v>8</v>
      </c>
      <c r="B74" s="1"/>
      <c r="C74" s="120">
        <v>38085</v>
      </c>
      <c r="D74" s="10"/>
      <c r="E74" s="4">
        <f t="shared" si="21"/>
        <v>9596</v>
      </c>
      <c r="F74" s="82">
        <v>1150</v>
      </c>
      <c r="G74" s="7">
        <f t="shared" si="16"/>
        <v>32.56455</v>
      </c>
      <c r="H74" s="5">
        <f t="shared" si="17"/>
        <v>6.33647430654944</v>
      </c>
      <c r="I74" s="5">
        <f t="shared" si="18"/>
        <v>2.3563150512808235</v>
      </c>
      <c r="J74" s="5">
        <f t="shared" si="19"/>
        <v>48.88888344537005</v>
      </c>
      <c r="K74" s="23">
        <f t="shared" si="20"/>
        <v>1.7862123491724136</v>
      </c>
      <c r="L74" s="7">
        <f t="shared" si="22"/>
        <v>206.34443437934453</v>
      </c>
      <c r="M74" s="7">
        <f t="shared" si="23"/>
        <v>76.73233930318693</v>
      </c>
      <c r="N74" s="7">
        <f t="shared" si="24"/>
        <v>1592.0444894009252</v>
      </c>
      <c r="O74" s="7">
        <f t="shared" si="25"/>
        <v>58.16720135524251</v>
      </c>
      <c r="P74" s="7">
        <f t="shared" si="26"/>
        <v>125.79198847819542</v>
      </c>
      <c r="Q74" s="7">
        <f t="shared" si="27"/>
        <v>47.22894108638826</v>
      </c>
      <c r="R74" s="7">
        <f t="shared" si="28"/>
        <v>975.964276438479</v>
      </c>
      <c r="S74" s="7">
        <f t="shared" si="29"/>
        <v>35.494640411218015</v>
      </c>
    </row>
    <row r="75" spans="1:19" ht="12.75">
      <c r="A75">
        <v>9</v>
      </c>
      <c r="B75" s="1"/>
      <c r="C75" s="120">
        <v>38092</v>
      </c>
      <c r="D75" s="10"/>
      <c r="E75" s="4">
        <f t="shared" si="21"/>
        <v>9603</v>
      </c>
      <c r="F75" s="82">
        <v>1220</v>
      </c>
      <c r="G75" s="7">
        <f t="shared" si="16"/>
        <v>34.54674</v>
      </c>
      <c r="H75" s="5">
        <f t="shared" si="17"/>
        <v>6.068137355313</v>
      </c>
      <c r="I75" s="5">
        <f t="shared" si="18"/>
        <v>2.29972557272333</v>
      </c>
      <c r="J75" s="5">
        <f t="shared" si="19"/>
        <v>47.33733500300359</v>
      </c>
      <c r="K75" s="23">
        <f t="shared" si="20"/>
        <v>1.7138883446328206</v>
      </c>
      <c r="L75" s="7">
        <f t="shared" si="22"/>
        <v>209.6343634982858</v>
      </c>
      <c r="M75" s="7">
        <f t="shared" si="23"/>
        <v>79.44802143222398</v>
      </c>
      <c r="N75" s="7">
        <f t="shared" si="24"/>
        <v>1635.3506046416642</v>
      </c>
      <c r="O75" s="7">
        <f t="shared" si="25"/>
        <v>59.20925503106045</v>
      </c>
      <c r="P75" s="7">
        <f t="shared" si="26"/>
        <v>121.35434846191684</v>
      </c>
      <c r="Q75" s="7">
        <f t="shared" si="27"/>
        <v>43.75450814139534</v>
      </c>
      <c r="R75" s="7">
        <f t="shared" si="28"/>
        <v>919.3223826867406</v>
      </c>
      <c r="S75" s="7">
        <f t="shared" si="29"/>
        <v>34.09667514091525</v>
      </c>
    </row>
    <row r="76" spans="1:19" ht="12.75">
      <c r="A76">
        <v>10</v>
      </c>
      <c r="B76" s="1"/>
      <c r="C76" s="120">
        <v>38099</v>
      </c>
      <c r="D76" s="10"/>
      <c r="E76" s="4">
        <f t="shared" si="21"/>
        <v>9610</v>
      </c>
      <c r="F76" s="82">
        <v>873</v>
      </c>
      <c r="G76" s="7">
        <f t="shared" si="16"/>
        <v>24.720741</v>
      </c>
      <c r="H76" s="5">
        <f t="shared" si="17"/>
        <v>7.753396181602237</v>
      </c>
      <c r="I76" s="5">
        <f t="shared" si="18"/>
        <v>2.6391932332726804</v>
      </c>
      <c r="J76" s="5">
        <f t="shared" si="19"/>
        <v>56.82421249803133</v>
      </c>
      <c r="K76" s="23">
        <f t="shared" si="20"/>
        <v>2.165966640284328</v>
      </c>
      <c r="L76" s="7">
        <f t="shared" si="22"/>
        <v>191.66969887577787</v>
      </c>
      <c r="M76" s="7">
        <f t="shared" si="23"/>
        <v>65.24281236868651</v>
      </c>
      <c r="N76" s="7">
        <f t="shared" si="24"/>
        <v>1404.7366396927955</v>
      </c>
      <c r="O76" s="7">
        <f t="shared" si="25"/>
        <v>53.544300329109035</v>
      </c>
      <c r="P76" s="7">
        <f t="shared" si="26"/>
        <v>180.41198877570244</v>
      </c>
      <c r="Q76" s="7">
        <f t="shared" si="27"/>
        <v>56.80996470654531</v>
      </c>
      <c r="R76" s="7">
        <f t="shared" si="28"/>
        <v>1168.2131958030038</v>
      </c>
      <c r="S76" s="7">
        <f t="shared" si="29"/>
        <v>42.39693718395759</v>
      </c>
    </row>
    <row r="77" spans="1:19" ht="12.75">
      <c r="A77">
        <v>11</v>
      </c>
      <c r="B77" t="s">
        <v>360</v>
      </c>
      <c r="C77" s="120">
        <v>38108</v>
      </c>
      <c r="D77" s="10">
        <v>0.5</v>
      </c>
      <c r="E77" s="4">
        <f t="shared" si="21"/>
        <v>9619</v>
      </c>
      <c r="F77" s="1">
        <v>1400</v>
      </c>
      <c r="G77" s="7">
        <f t="shared" si="16"/>
        <v>39.6438</v>
      </c>
      <c r="H77" s="5">
        <v>6.87</v>
      </c>
      <c r="I77" s="5">
        <v>2.04</v>
      </c>
      <c r="J77" s="5">
        <v>40.357557291666666</v>
      </c>
      <c r="K77" s="23">
        <v>1.4</v>
      </c>
      <c r="L77" s="7">
        <f t="shared" si="22"/>
        <v>272.352906</v>
      </c>
      <c r="M77" s="7">
        <f t="shared" si="23"/>
        <v>80.873352</v>
      </c>
      <c r="N77" s="7">
        <f t="shared" si="24"/>
        <v>1599.9269297593748</v>
      </c>
      <c r="O77" s="7">
        <f t="shared" si="25"/>
        <v>55.50131999999999</v>
      </c>
      <c r="P77" s="7">
        <f t="shared" si="26"/>
        <v>159.58427403944196</v>
      </c>
      <c r="Q77" s="7">
        <f t="shared" si="27"/>
        <v>61.53467593660718</v>
      </c>
      <c r="R77" s="7">
        <f t="shared" si="28"/>
        <v>1175.041535371817</v>
      </c>
      <c r="S77" s="7">
        <f t="shared" si="29"/>
        <v>39.12886773351285</v>
      </c>
    </row>
    <row r="78" spans="1:19" ht="12.75">
      <c r="A78">
        <v>12</v>
      </c>
      <c r="C78" s="120">
        <v>38115</v>
      </c>
      <c r="D78" s="10"/>
      <c r="E78" s="4">
        <f t="shared" si="21"/>
        <v>9626</v>
      </c>
      <c r="F78" s="1">
        <v>2550</v>
      </c>
      <c r="G78" s="7">
        <f t="shared" si="16"/>
        <v>72.20835</v>
      </c>
      <c r="H78" s="5">
        <f>81.214*G78^-0.7323</f>
        <v>3.5366113190504076</v>
      </c>
      <c r="I78" s="5">
        <f>9.8759*G78^-0.4114</f>
        <v>1.698063076854032</v>
      </c>
      <c r="J78" s="5">
        <f>327.24*G78^-0.5458</f>
        <v>31.655513984776903</v>
      </c>
      <c r="K78" s="23">
        <f>20.422*G78^-0.6995</f>
        <v>1.0233315659569038</v>
      </c>
      <c r="L78" s="7">
        <f t="shared" si="22"/>
        <v>255.3728679399535</v>
      </c>
      <c r="M78" s="7">
        <f t="shared" si="23"/>
        <v>122.61433297555283</v>
      </c>
      <c r="N78" s="7">
        <f t="shared" si="24"/>
        <v>2285.792433242665</v>
      </c>
      <c r="O78" s="7">
        <f t="shared" si="25"/>
        <v>73.8930838806642</v>
      </c>
      <c r="P78" s="7">
        <f t="shared" si="26"/>
        <v>143.74027575629808</v>
      </c>
      <c r="Q78" s="7">
        <f t="shared" si="27"/>
        <v>63.78228210829138</v>
      </c>
      <c r="R78" s="7">
        <f t="shared" si="28"/>
        <v>1227.7821509232717</v>
      </c>
      <c r="S78" s="7">
        <f t="shared" si="29"/>
        <v>41.242939733703366</v>
      </c>
    </row>
    <row r="79" spans="1:19" ht="12.75">
      <c r="A79">
        <v>13</v>
      </c>
      <c r="C79" s="120">
        <v>38122</v>
      </c>
      <c r="D79" s="10"/>
      <c r="E79" s="4">
        <f t="shared" si="21"/>
        <v>9633</v>
      </c>
      <c r="F79" s="1">
        <v>1460</v>
      </c>
      <c r="G79" s="7">
        <f t="shared" si="16"/>
        <v>41.342819999999996</v>
      </c>
      <c r="H79" s="5">
        <f>81.214*G79^-0.7323</f>
        <v>5.320361111875156</v>
      </c>
      <c r="I79" s="5">
        <f>9.8759*G79^-0.4114</f>
        <v>2.135943123656013</v>
      </c>
      <c r="J79" s="5">
        <f>327.24*G79^-0.5458</f>
        <v>42.91757860779427</v>
      </c>
      <c r="K79" s="23">
        <f>20.422*G79^-0.6995</f>
        <v>1.5115635275147865</v>
      </c>
      <c r="L79" s="7">
        <f t="shared" si="22"/>
        <v>219.95873178325442</v>
      </c>
      <c r="M79" s="7">
        <f t="shared" si="23"/>
        <v>88.30591209154828</v>
      </c>
      <c r="N79" s="7">
        <f t="shared" si="24"/>
        <v>1774.333727217889</v>
      </c>
      <c r="O79" s="7">
        <f t="shared" si="25"/>
        <v>62.49229883660886</v>
      </c>
      <c r="P79" s="7">
        <f t="shared" si="26"/>
        <v>137.58738884222447</v>
      </c>
      <c r="Q79" s="7">
        <f t="shared" si="27"/>
        <v>57.59523977323823</v>
      </c>
      <c r="R79" s="7">
        <f t="shared" si="28"/>
        <v>1136.9554800461742</v>
      </c>
      <c r="S79" s="7">
        <f t="shared" si="29"/>
        <v>39.25443120771837</v>
      </c>
    </row>
    <row r="80" spans="1:19" ht="12.75">
      <c r="A80">
        <v>14</v>
      </c>
      <c r="C80" s="120">
        <v>38129</v>
      </c>
      <c r="D80" s="10"/>
      <c r="E80" s="4">
        <f t="shared" si="21"/>
        <v>9640</v>
      </c>
      <c r="F80" s="1">
        <v>1870</v>
      </c>
      <c r="G80" s="7">
        <f t="shared" si="16"/>
        <v>52.95279</v>
      </c>
      <c r="H80" s="5">
        <f>81.214*G80^-0.7323</f>
        <v>4.438406733226485</v>
      </c>
      <c r="I80" s="5">
        <f>9.8759*G80^-0.4114</f>
        <v>1.9291625029394646</v>
      </c>
      <c r="J80" s="5">
        <f>327.24*G80^-0.5458</f>
        <v>37.494524568643435</v>
      </c>
      <c r="K80" s="23">
        <f>20.422*G80^-0.6995</f>
        <v>1.271270657750835</v>
      </c>
      <c r="L80" s="7">
        <f t="shared" si="22"/>
        <v>235.0260196791281</v>
      </c>
      <c r="M80" s="7">
        <f t="shared" si="23"/>
        <v>102.15453689402786</v>
      </c>
      <c r="N80" s="7">
        <f t="shared" si="24"/>
        <v>1985.4396856332164</v>
      </c>
      <c r="O80" s="7">
        <f t="shared" si="25"/>
        <v>67.31732817304184</v>
      </c>
      <c r="P80" s="7">
        <f t="shared" si="26"/>
        <v>198.08729027336165</v>
      </c>
      <c r="Q80" s="7">
        <f t="shared" si="27"/>
        <v>83.6460044917363</v>
      </c>
      <c r="R80" s="7">
        <f t="shared" si="28"/>
        <v>1645.3334067662834</v>
      </c>
      <c r="S80" s="7">
        <f t="shared" si="29"/>
        <v>56.567424221046096</v>
      </c>
    </row>
    <row r="81" spans="1:19" ht="12.75">
      <c r="A81">
        <v>15</v>
      </c>
      <c r="C81" s="120">
        <v>38139</v>
      </c>
      <c r="D81" s="10"/>
      <c r="E81" s="4">
        <f t="shared" si="21"/>
        <v>9650</v>
      </c>
      <c r="F81" s="1">
        <v>1550</v>
      </c>
      <c r="G81" s="7">
        <f t="shared" si="16"/>
        <v>43.891349999999996</v>
      </c>
      <c r="H81" s="5">
        <f>81.214*G81^-0.7323</f>
        <v>5.092333101446458</v>
      </c>
      <c r="I81" s="5">
        <f>9.8759*G81^-0.4114</f>
        <v>2.0840205075375877</v>
      </c>
      <c r="J81" s="5">
        <f>327.24*G81^-0.5458</f>
        <v>41.5389925272088</v>
      </c>
      <c r="K81" s="23">
        <f>20.422*G81^-0.6995</f>
        <v>1.4496201062339173</v>
      </c>
      <c r="L81" s="7">
        <f t="shared" si="22"/>
        <v>223.509374472172</v>
      </c>
      <c r="M81" s="7">
        <f t="shared" si="23"/>
        <v>91.4704735035099</v>
      </c>
      <c r="N81" s="7">
        <f t="shared" si="24"/>
        <v>1823.2024596591057</v>
      </c>
      <c r="O81" s="7">
        <f t="shared" si="25"/>
        <v>63.625783449750045</v>
      </c>
      <c r="P81" s="7">
        <f t="shared" si="26"/>
        <v>143.31538295470654</v>
      </c>
      <c r="Q81" s="7">
        <f t="shared" si="27"/>
        <v>63.175551302548016</v>
      </c>
      <c r="R81" s="7">
        <f t="shared" si="28"/>
        <v>1219.9554433048406</v>
      </c>
      <c r="S81" s="7">
        <f t="shared" si="29"/>
        <v>41.09952965000497</v>
      </c>
    </row>
    <row r="82" spans="1:19" ht="12.75">
      <c r="A82">
        <v>16</v>
      </c>
      <c r="C82" s="120">
        <v>38146</v>
      </c>
      <c r="D82" s="10"/>
      <c r="E82" s="4">
        <f t="shared" si="21"/>
        <v>9657</v>
      </c>
      <c r="F82" s="1">
        <v>2370</v>
      </c>
      <c r="G82" s="7">
        <f t="shared" si="16"/>
        <v>67.11129</v>
      </c>
      <c r="H82" s="5">
        <f>81.214*G82^-0.7323</f>
        <v>3.731371524265205</v>
      </c>
      <c r="I82" s="5">
        <f>9.8759*G82^-0.4114</f>
        <v>1.7499795730936432</v>
      </c>
      <c r="J82" s="5">
        <f>327.24*G82^-0.5458</f>
        <v>32.94589824102293</v>
      </c>
      <c r="K82" s="23">
        <f>20.422*G82^-0.6995</f>
        <v>1.0770968576636388</v>
      </c>
      <c r="L82" s="7">
        <f t="shared" si="22"/>
        <v>250.41715646270418</v>
      </c>
      <c r="M82" s="7">
        <f t="shared" si="23"/>
        <v>117.44338662396368</v>
      </c>
      <c r="N82" s="7">
        <f t="shared" si="24"/>
        <v>2211.04173116378</v>
      </c>
      <c r="O82" s="7">
        <f t="shared" si="25"/>
        <v>72.28535957275318</v>
      </c>
      <c r="P82" s="7">
        <f t="shared" si="26"/>
        <v>132.74946671479057</v>
      </c>
      <c r="Q82" s="7">
        <f t="shared" si="27"/>
        <v>91.80826026300184</v>
      </c>
      <c r="R82" s="7">
        <f t="shared" si="28"/>
        <v>1856.8196706564104</v>
      </c>
      <c r="S82" s="7">
        <f t="shared" si="29"/>
        <v>56.1435324961835</v>
      </c>
    </row>
    <row r="83" spans="1:19" ht="12.75">
      <c r="A83">
        <v>17</v>
      </c>
      <c r="B83" t="s">
        <v>361</v>
      </c>
      <c r="C83" s="120">
        <v>38154</v>
      </c>
      <c r="D83" s="10">
        <v>0.6375</v>
      </c>
      <c r="E83" s="4">
        <f>C83-28489</f>
        <v>9665</v>
      </c>
      <c r="F83" s="1">
        <v>1830</v>
      </c>
      <c r="G83" s="7">
        <f t="shared" si="16"/>
        <v>51.82011</v>
      </c>
      <c r="H83" s="5">
        <v>2.58</v>
      </c>
      <c r="I83" s="5">
        <v>2.86</v>
      </c>
      <c r="J83" s="5">
        <v>61.01300000000001</v>
      </c>
      <c r="K83" s="23">
        <v>1.74</v>
      </c>
      <c r="L83" s="7">
        <f t="shared" si="22"/>
        <v>133.6958838</v>
      </c>
      <c r="M83" s="7">
        <f t="shared" si="23"/>
        <v>148.2055146</v>
      </c>
      <c r="N83" s="7">
        <f t="shared" si="24"/>
        <v>3161.700371430001</v>
      </c>
      <c r="O83" s="7">
        <f t="shared" si="25"/>
        <v>90.1669914</v>
      </c>
      <c r="P83" s="7">
        <f t="shared" si="26"/>
        <v>66.9545723952</v>
      </c>
      <c r="Q83" s="7">
        <f t="shared" si="27"/>
        <v>45.638667475199995</v>
      </c>
      <c r="R83" s="7">
        <f t="shared" si="28"/>
        <v>953.1749152557001</v>
      </c>
      <c r="S83" s="7">
        <f t="shared" si="29"/>
        <v>32.135943888</v>
      </c>
    </row>
    <row r="84" spans="1:19" ht="12.75">
      <c r="A84">
        <v>18</v>
      </c>
      <c r="B84" t="s">
        <v>362</v>
      </c>
      <c r="C84" s="120">
        <v>38159</v>
      </c>
      <c r="D84" s="10">
        <v>0.513888888888889</v>
      </c>
      <c r="E84" s="4">
        <f aca="true" t="shared" si="30" ref="E84:E94">C84-28489</f>
        <v>9670</v>
      </c>
      <c r="F84" s="1">
        <v>1580</v>
      </c>
      <c r="G84" s="7">
        <f t="shared" si="16"/>
        <v>44.74086</v>
      </c>
      <c r="H84" s="5">
        <v>3.94</v>
      </c>
      <c r="I84" s="5">
        <v>1.41</v>
      </c>
      <c r="J84" s="5">
        <v>27.964291666666664</v>
      </c>
      <c r="K84" s="23">
        <v>1.31</v>
      </c>
      <c r="L84" s="7">
        <f t="shared" si="22"/>
        <v>176.2789884</v>
      </c>
      <c r="M84" s="7">
        <f t="shared" si="23"/>
        <v>63.08461259999999</v>
      </c>
      <c r="N84" s="7">
        <f t="shared" si="24"/>
        <v>1251.1464584574999</v>
      </c>
      <c r="O84" s="7">
        <f t="shared" si="25"/>
        <v>58.6105266</v>
      </c>
      <c r="P84" s="7">
        <f t="shared" si="26"/>
        <v>105.24931426944</v>
      </c>
      <c r="Q84" s="7">
        <f t="shared" si="27"/>
        <v>32.99812178112</v>
      </c>
      <c r="R84" s="7">
        <f t="shared" si="28"/>
        <v>694.58928979563</v>
      </c>
      <c r="S84" s="7">
        <f t="shared" si="29"/>
        <v>33.318135596160005</v>
      </c>
    </row>
    <row r="85" spans="1:19" ht="12.75">
      <c r="A85">
        <v>19</v>
      </c>
      <c r="B85" t="s">
        <v>363</v>
      </c>
      <c r="C85" s="120">
        <v>38165</v>
      </c>
      <c r="D85" s="10">
        <v>0.8152777777777778</v>
      </c>
      <c r="E85" s="4">
        <f t="shared" si="30"/>
        <v>9676</v>
      </c>
      <c r="F85" s="1">
        <v>1260</v>
      </c>
      <c r="G85" s="7">
        <f t="shared" si="16"/>
        <v>35.67942</v>
      </c>
      <c r="H85" s="5">
        <v>6.44</v>
      </c>
      <c r="I85" s="5">
        <v>1.8</v>
      </c>
      <c r="J85" s="5">
        <v>40.039781250000004</v>
      </c>
      <c r="K85" s="23">
        <v>1.96</v>
      </c>
      <c r="L85" s="7">
        <f t="shared" si="22"/>
        <v>229.7754648</v>
      </c>
      <c r="M85" s="7">
        <f t="shared" si="23"/>
        <v>64.222956</v>
      </c>
      <c r="N85" s="7">
        <f t="shared" si="24"/>
        <v>1428.596171926875</v>
      </c>
      <c r="O85" s="7">
        <f t="shared" si="25"/>
        <v>69.9316632</v>
      </c>
      <c r="P85" s="7">
        <f t="shared" si="26"/>
        <v>182.32762646016</v>
      </c>
      <c r="Q85" s="7">
        <f t="shared" si="27"/>
        <v>49.41717921792001</v>
      </c>
      <c r="R85" s="7">
        <f t="shared" si="28"/>
        <v>1108.3573892239199</v>
      </c>
      <c r="S85" s="7">
        <f t="shared" si="29"/>
        <v>55.68827563008</v>
      </c>
    </row>
    <row r="86" spans="1:19" ht="12.75">
      <c r="A86">
        <v>20</v>
      </c>
      <c r="B86" t="s">
        <v>364</v>
      </c>
      <c r="C86" s="120">
        <v>38173</v>
      </c>
      <c r="D86" s="10">
        <v>0.5555555555555556</v>
      </c>
      <c r="E86" s="4">
        <f t="shared" si="30"/>
        <v>9684</v>
      </c>
      <c r="F86" s="1">
        <v>1220</v>
      </c>
      <c r="G86" s="7">
        <f t="shared" si="16"/>
        <v>34.54674</v>
      </c>
      <c r="H86" s="5">
        <v>8.62</v>
      </c>
      <c r="I86" s="5">
        <v>2.28</v>
      </c>
      <c r="J86" s="5">
        <v>51.479718749999996</v>
      </c>
      <c r="K86" s="23">
        <v>2.64</v>
      </c>
      <c r="L86" s="7">
        <f t="shared" si="22"/>
        <v>297.7928988</v>
      </c>
      <c r="M86" s="7">
        <f t="shared" si="23"/>
        <v>78.7665672</v>
      </c>
      <c r="N86" s="7">
        <f t="shared" si="24"/>
        <v>1778.4564589293748</v>
      </c>
      <c r="O86" s="7">
        <f t="shared" si="25"/>
        <v>91.2033936</v>
      </c>
      <c r="P86" s="7">
        <f t="shared" si="26"/>
        <v>148.75038487713599</v>
      </c>
      <c r="Q86" s="7">
        <f t="shared" si="27"/>
        <v>39.386397563856</v>
      </c>
      <c r="R86" s="7">
        <f t="shared" si="28"/>
        <v>884.7336909776619</v>
      </c>
      <c r="S86" s="7">
        <f t="shared" si="29"/>
        <v>46.382075715023994</v>
      </c>
    </row>
    <row r="87" spans="1:19" ht="12.75">
      <c r="A87">
        <v>21</v>
      </c>
      <c r="B87" t="s">
        <v>365</v>
      </c>
      <c r="C87" s="120">
        <v>38180</v>
      </c>
      <c r="D87" s="10">
        <v>0.6458333333333334</v>
      </c>
      <c r="E87" s="4">
        <f t="shared" si="30"/>
        <v>9691</v>
      </c>
      <c r="F87" s="1">
        <v>787</v>
      </c>
      <c r="G87" s="7">
        <f t="shared" si="16"/>
        <v>22.285479</v>
      </c>
      <c r="H87" s="5">
        <v>8.71</v>
      </c>
      <c r="I87" s="5">
        <v>2.31</v>
      </c>
      <c r="J87" s="5">
        <v>51.479718749999996</v>
      </c>
      <c r="K87" s="23">
        <v>2.79</v>
      </c>
      <c r="L87" s="7">
        <f t="shared" si="22"/>
        <v>194.10652209</v>
      </c>
      <c r="M87" s="7">
        <f t="shared" si="23"/>
        <v>51.47945649</v>
      </c>
      <c r="N87" s="7">
        <f t="shared" si="24"/>
        <v>1147.250191129031</v>
      </c>
      <c r="O87" s="7">
        <f t="shared" si="25"/>
        <v>62.176486409999995</v>
      </c>
      <c r="P87" s="7">
        <f t="shared" si="26"/>
        <v>115.63223344948798</v>
      </c>
      <c r="Q87" s="7">
        <f t="shared" si="27"/>
        <v>30.775897407024</v>
      </c>
      <c r="R87" s="7">
        <f t="shared" si="28"/>
        <v>687.7098703522041</v>
      </c>
      <c r="S87" s="7">
        <f t="shared" si="29"/>
        <v>37.26036082843199</v>
      </c>
    </row>
    <row r="88" spans="1:19" ht="12.75">
      <c r="A88">
        <v>22</v>
      </c>
      <c r="B88" t="s">
        <v>366</v>
      </c>
      <c r="C88" s="120">
        <v>38187</v>
      </c>
      <c r="D88" s="10">
        <v>0.8486111111111111</v>
      </c>
      <c r="E88" s="4">
        <f t="shared" si="30"/>
        <v>9698</v>
      </c>
      <c r="F88" s="1">
        <v>759</v>
      </c>
      <c r="G88" s="7">
        <f t="shared" si="16"/>
        <v>21.492603</v>
      </c>
      <c r="H88" s="5">
        <v>8.76</v>
      </c>
      <c r="I88" s="5">
        <v>2.34</v>
      </c>
      <c r="J88" s="5">
        <v>52.433046875</v>
      </c>
      <c r="K88" s="23">
        <v>2.84</v>
      </c>
      <c r="L88" s="7">
        <f t="shared" si="22"/>
        <v>188.27520227999997</v>
      </c>
      <c r="M88" s="7">
        <f t="shared" si="23"/>
        <v>50.29269101999999</v>
      </c>
      <c r="N88" s="7">
        <f t="shared" si="24"/>
        <v>1126.9226605647657</v>
      </c>
      <c r="O88" s="7">
        <f t="shared" si="25"/>
        <v>61.038992519999994</v>
      </c>
      <c r="P88" s="7">
        <f t="shared" si="26"/>
        <v>93.919797649728</v>
      </c>
      <c r="Q88" s="7">
        <f t="shared" si="27"/>
        <v>24.816630970367996</v>
      </c>
      <c r="R88" s="7">
        <f t="shared" si="28"/>
        <v>560.8330372707476</v>
      </c>
      <c r="S88" s="7">
        <f t="shared" si="29"/>
        <v>30.828340037952</v>
      </c>
    </row>
    <row r="89" spans="1:19" ht="12.75">
      <c r="A89">
        <v>23</v>
      </c>
      <c r="B89" t="s">
        <v>367</v>
      </c>
      <c r="C89" s="120">
        <v>38193</v>
      </c>
      <c r="D89" s="10">
        <v>0.8506944444444445</v>
      </c>
      <c r="E89" s="4">
        <f t="shared" si="30"/>
        <v>9704</v>
      </c>
      <c r="F89" s="1">
        <v>666</v>
      </c>
      <c r="G89" s="7">
        <f t="shared" si="16"/>
        <v>18.859122</v>
      </c>
      <c r="H89" s="5">
        <v>9.23</v>
      </c>
      <c r="I89" s="5">
        <v>2.41</v>
      </c>
      <c r="J89" s="5">
        <v>54.97525520833333</v>
      </c>
      <c r="K89" s="23">
        <v>3.07</v>
      </c>
      <c r="L89" s="7">
        <f t="shared" si="22"/>
        <v>174.06969606</v>
      </c>
      <c r="M89" s="7">
        <f t="shared" si="23"/>
        <v>45.45048402</v>
      </c>
      <c r="N89" s="7">
        <f t="shared" si="24"/>
        <v>1036.7850449550936</v>
      </c>
      <c r="O89" s="7">
        <f t="shared" si="25"/>
        <v>57.89750453999999</v>
      </c>
      <c r="P89" s="7">
        <f t="shared" si="26"/>
        <v>105.66221172493715</v>
      </c>
      <c r="Q89" s="7">
        <f t="shared" si="27"/>
        <v>29.965954891562134</v>
      </c>
      <c r="R89" s="7">
        <f t="shared" si="28"/>
        <v>678.7585461405006</v>
      </c>
      <c r="S89" s="7">
        <f t="shared" si="29"/>
        <v>32.16000064471781</v>
      </c>
    </row>
    <row r="90" spans="1:19" ht="12.75">
      <c r="A90">
        <v>24</v>
      </c>
      <c r="C90" s="120">
        <v>38200</v>
      </c>
      <c r="D90" s="10"/>
      <c r="E90" s="4">
        <f t="shared" si="30"/>
        <v>9711</v>
      </c>
      <c r="F90" s="1">
        <v>626</v>
      </c>
      <c r="G90" s="7">
        <f t="shared" si="16"/>
        <v>17.726442</v>
      </c>
      <c r="H90" s="5">
        <f>81.214*G90^-0.7323</f>
        <v>9.89157213556885</v>
      </c>
      <c r="I90" s="5">
        <f>9.8759*G90^-0.4114</f>
        <v>3.0261731122241406</v>
      </c>
      <c r="J90" s="5">
        <f>327.24*G90^-0.5458</f>
        <v>68.13475974959815</v>
      </c>
      <c r="K90" s="23">
        <f>20.422*G90^-0.6995</f>
        <v>2.7333011295334795</v>
      </c>
      <c r="L90" s="7">
        <f t="shared" si="22"/>
        <v>175.34237974997734</v>
      </c>
      <c r="M90" s="7">
        <f t="shared" si="23"/>
        <v>53.64328215580072</v>
      </c>
      <c r="N90" s="7">
        <f t="shared" si="24"/>
        <v>1207.7868668851859</v>
      </c>
      <c r="O90" s="7">
        <f t="shared" si="25"/>
        <v>48.45170394120971</v>
      </c>
      <c r="P90" s="7">
        <f t="shared" si="26"/>
        <v>188.89511981369927</v>
      </c>
      <c r="Q90" s="7">
        <f t="shared" si="27"/>
        <v>52.75515425120968</v>
      </c>
      <c r="R90" s="7">
        <f t="shared" si="28"/>
        <v>1201.2735910617107</v>
      </c>
      <c r="S90" s="7">
        <f t="shared" si="29"/>
        <v>55.82411585779936</v>
      </c>
    </row>
    <row r="91" spans="1:19" ht="12.75">
      <c r="A91">
        <v>25</v>
      </c>
      <c r="B91" t="s">
        <v>368</v>
      </c>
      <c r="C91" s="120">
        <v>38213</v>
      </c>
      <c r="D91" s="10">
        <v>0.8125</v>
      </c>
      <c r="E91" s="4">
        <f t="shared" si="30"/>
        <v>9724</v>
      </c>
      <c r="F91" s="1">
        <v>588</v>
      </c>
      <c r="G91" s="7">
        <f t="shared" si="16"/>
        <v>16.650396</v>
      </c>
      <c r="H91" s="5">
        <v>9.67</v>
      </c>
      <c r="I91" s="5">
        <v>2.42</v>
      </c>
      <c r="J91" s="5">
        <v>55.92858333333333</v>
      </c>
      <c r="K91" s="23">
        <v>3.06</v>
      </c>
      <c r="L91" s="7">
        <f t="shared" si="22"/>
        <v>161.00932932</v>
      </c>
      <c r="M91" s="7">
        <f t="shared" si="23"/>
        <v>40.29395832</v>
      </c>
      <c r="N91" s="7">
        <f t="shared" si="24"/>
        <v>931.233060219</v>
      </c>
      <c r="O91" s="7">
        <f t="shared" si="25"/>
        <v>50.95021176</v>
      </c>
      <c r="P91" s="7">
        <f t="shared" si="26"/>
        <v>253.190526599808</v>
      </c>
      <c r="Q91" s="7">
        <f t="shared" si="27"/>
        <v>62.738635040927996</v>
      </c>
      <c r="R91" s="7">
        <f t="shared" si="28"/>
        <v>1466.6049935068265</v>
      </c>
      <c r="S91" s="7">
        <f t="shared" si="29"/>
        <v>79.99765534454401</v>
      </c>
    </row>
    <row r="92" spans="1:19" ht="12.75">
      <c r="A92">
        <v>26</v>
      </c>
      <c r="B92" t="s">
        <v>369</v>
      </c>
      <c r="C92" s="120">
        <v>38230</v>
      </c>
      <c r="D92" s="10">
        <v>0.8055555555555555</v>
      </c>
      <c r="E92" s="4">
        <f t="shared" si="30"/>
        <v>9741</v>
      </c>
      <c r="F92" s="1">
        <v>630</v>
      </c>
      <c r="G92" s="7">
        <f t="shared" si="16"/>
        <v>17.83971</v>
      </c>
      <c r="H92" s="5">
        <v>10.3</v>
      </c>
      <c r="I92" s="5">
        <v>2.53</v>
      </c>
      <c r="J92" s="5">
        <v>59.74189583333334</v>
      </c>
      <c r="K92" s="23">
        <v>3.25</v>
      </c>
      <c r="L92" s="7">
        <f t="shared" si="22"/>
        <v>183.74901300000002</v>
      </c>
      <c r="M92" s="7">
        <f t="shared" si="23"/>
        <v>45.1344663</v>
      </c>
      <c r="N92" s="7">
        <f t="shared" si="24"/>
        <v>1065.7780965168752</v>
      </c>
      <c r="O92" s="7">
        <f t="shared" si="25"/>
        <v>57.9790575</v>
      </c>
      <c r="P92" s="7">
        <f t="shared" si="26"/>
        <v>215.46104460192</v>
      </c>
      <c r="Q92" s="7">
        <f t="shared" si="27"/>
        <v>52.673026195295996</v>
      </c>
      <c r="R92" s="7">
        <f t="shared" si="28"/>
        <v>1244.7469235089748</v>
      </c>
      <c r="S92" s="7">
        <f t="shared" si="29"/>
        <v>67.08862099555199</v>
      </c>
    </row>
    <row r="93" spans="1:19" ht="12.75">
      <c r="A93">
        <v>27</v>
      </c>
      <c r="B93" t="s">
        <v>370</v>
      </c>
      <c r="C93" s="120">
        <v>38243</v>
      </c>
      <c r="D93" s="10">
        <v>0.3506944444444444</v>
      </c>
      <c r="E93" s="4">
        <f t="shared" si="30"/>
        <v>9754</v>
      </c>
      <c r="F93" s="1">
        <v>666</v>
      </c>
      <c r="G93" s="7">
        <f t="shared" si="16"/>
        <v>18.859122</v>
      </c>
      <c r="H93" s="5">
        <v>10.6</v>
      </c>
      <c r="I93" s="5">
        <v>2.58</v>
      </c>
      <c r="J93" s="5">
        <v>61.01300000000001</v>
      </c>
      <c r="K93" s="23">
        <v>3.26</v>
      </c>
      <c r="L93" s="7">
        <f t="shared" si="22"/>
        <v>199.90669319999998</v>
      </c>
      <c r="M93" s="7">
        <f t="shared" si="23"/>
        <v>48.65653476</v>
      </c>
      <c r="N93" s="7">
        <f t="shared" si="24"/>
        <v>1150.6516105860003</v>
      </c>
      <c r="O93" s="7">
        <f t="shared" si="25"/>
        <v>61.48073771999999</v>
      </c>
      <c r="P93" s="7">
        <f t="shared" si="26"/>
        <v>272.3925846586574</v>
      </c>
      <c r="Q93" s="7">
        <f t="shared" si="27"/>
        <v>73.01476644408602</v>
      </c>
      <c r="R93" s="7">
        <f t="shared" si="28"/>
        <v>1695.0744438368383</v>
      </c>
      <c r="S93" s="7">
        <f t="shared" si="29"/>
        <v>79.74631000748076</v>
      </c>
    </row>
    <row r="94" spans="1:19" ht="12.75">
      <c r="A94">
        <v>28</v>
      </c>
      <c r="C94" s="120">
        <v>38260</v>
      </c>
      <c r="E94" s="4">
        <f t="shared" si="30"/>
        <v>9771</v>
      </c>
      <c r="F94" s="82">
        <v>570</v>
      </c>
      <c r="G94" s="7">
        <f t="shared" si="16"/>
        <v>16.14069</v>
      </c>
      <c r="H94" s="5">
        <f>81.214*G94^-0.7323</f>
        <v>10.594233724666514</v>
      </c>
      <c r="I94" s="5">
        <f>9.8759*G94^-0.4114</f>
        <v>3.1451222663676455</v>
      </c>
      <c r="J94" s="5">
        <f>327.24*G94^-0.5458</f>
        <v>71.71045923327556</v>
      </c>
      <c r="K94" s="23">
        <f>20.422*G94^-0.6995</f>
        <v>2.9184802948737327</v>
      </c>
      <c r="L94" s="7">
        <f t="shared" si="22"/>
        <v>170.99824233738755</v>
      </c>
      <c r="M94" s="7">
        <f t="shared" si="23"/>
        <v>50.76444351353759</v>
      </c>
      <c r="N94" s="7">
        <f t="shared" si="24"/>
        <v>1157.4562922419384</v>
      </c>
      <c r="O94" s="7">
        <f t="shared" si="25"/>
        <v>47.10628571066551</v>
      </c>
      <c r="P94" s="7"/>
      <c r="Q94" s="7"/>
      <c r="R94" s="7"/>
      <c r="S94" s="7"/>
    </row>
    <row r="95" spans="6:15" ht="12.75">
      <c r="F95" s="11"/>
      <c r="G95" s="11"/>
      <c r="L95" s="11"/>
      <c r="M95" s="11"/>
      <c r="N95" s="11"/>
      <c r="O95" s="11"/>
    </row>
    <row r="96" spans="2:19" ht="12.75">
      <c r="B96" s="35" t="s">
        <v>224</v>
      </c>
      <c r="P96" s="11">
        <f>SUM(P67:P93)</f>
        <v>5725.0116055827275</v>
      </c>
      <c r="Q96" s="11">
        <f>SUM(Q67:Q93)</f>
        <v>1791.6015618306617</v>
      </c>
      <c r="R96" s="11">
        <f>SUM(R67:R93)</f>
        <v>39593.565923855276</v>
      </c>
      <c r="S96" s="11">
        <f>SUM(S67:S93)</f>
        <v>1655.9907254105694</v>
      </c>
    </row>
    <row r="99" spans="1:3" ht="12.75">
      <c r="A99" t="s">
        <v>614</v>
      </c>
      <c r="B99" s="120"/>
      <c r="C99" t="s">
        <v>613</v>
      </c>
    </row>
    <row r="100" spans="1:3" ht="12.75">
      <c r="A100" t="s">
        <v>616</v>
      </c>
      <c r="B100" s="120"/>
      <c r="C100" t="s">
        <v>615</v>
      </c>
    </row>
    <row r="101" spans="1:3" ht="12.75">
      <c r="A101" t="s">
        <v>618</v>
      </c>
      <c r="B101" s="120"/>
      <c r="C101" t="s">
        <v>617</v>
      </c>
    </row>
    <row r="102" spans="1:3" ht="12.75">
      <c r="A102" t="s">
        <v>620</v>
      </c>
      <c r="B102" s="120"/>
      <c r="C102" t="s">
        <v>619</v>
      </c>
    </row>
  </sheetData>
  <dataValidations count="1">
    <dataValidation type="textLength" operator="greaterThanOrEqual" allowBlank="1" showInputMessage="1" showErrorMessage="1" sqref="G65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17"/>
  <sheetViews>
    <sheetView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" sqref="B2"/>
    </sheetView>
  </sheetViews>
  <sheetFormatPr defaultColWidth="9.140625" defaultRowHeight="12.75"/>
  <cols>
    <col min="2" max="2" width="8.8515625" style="0" customWidth="1"/>
    <col min="3" max="3" width="8.8515625" style="49" customWidth="1"/>
    <col min="4" max="5" width="8.8515625" style="0" customWidth="1"/>
    <col min="6" max="6" width="9.57421875" style="0" customWidth="1"/>
    <col min="7" max="7" width="10.00390625" style="0" customWidth="1"/>
    <col min="8" max="10" width="8.8515625" style="5" customWidth="1"/>
    <col min="11" max="11" width="8.8515625" style="23" customWidth="1"/>
    <col min="12" max="15" width="8.8515625" style="0" customWidth="1"/>
    <col min="16" max="16" width="9.7109375" style="0" customWidth="1"/>
    <col min="17" max="16384" width="8.8515625" style="0" customWidth="1"/>
  </cols>
  <sheetData>
    <row r="1" spans="2:20" s="77" customFormat="1" ht="13.5" thickBot="1">
      <c r="B1" s="67" t="s">
        <v>188</v>
      </c>
      <c r="C1" s="68"/>
      <c r="D1" s="69"/>
      <c r="E1" s="69"/>
      <c r="F1" s="69"/>
      <c r="G1" s="70"/>
      <c r="H1" s="109"/>
      <c r="I1" s="110"/>
      <c r="J1" s="110"/>
      <c r="K1" s="71"/>
      <c r="L1" s="74"/>
      <c r="M1" s="74"/>
      <c r="N1" s="74"/>
      <c r="O1" s="74"/>
      <c r="P1" s="75"/>
      <c r="Q1" s="75"/>
      <c r="R1" s="75"/>
      <c r="S1" s="75"/>
      <c r="T1" s="76"/>
    </row>
    <row r="2" spans="2:19" s="77" customFormat="1" ht="52.5" thickBot="1" thickTop="1">
      <c r="B2" s="78" t="s">
        <v>0</v>
      </c>
      <c r="C2" s="138" t="s">
        <v>1</v>
      </c>
      <c r="D2" s="79" t="s">
        <v>163</v>
      </c>
      <c r="E2" s="79" t="s">
        <v>29</v>
      </c>
      <c r="F2" s="79" t="s">
        <v>162</v>
      </c>
      <c r="G2" s="80" t="s">
        <v>161</v>
      </c>
      <c r="H2" s="111" t="s">
        <v>2</v>
      </c>
      <c r="I2" s="111" t="s">
        <v>158</v>
      </c>
      <c r="J2" s="111" t="s">
        <v>159</v>
      </c>
      <c r="K2" s="113" t="s">
        <v>160</v>
      </c>
      <c r="L2" s="80" t="s">
        <v>176</v>
      </c>
      <c r="M2" s="80" t="s">
        <v>177</v>
      </c>
      <c r="N2" s="80" t="s">
        <v>178</v>
      </c>
      <c r="O2" s="80" t="s">
        <v>179</v>
      </c>
      <c r="P2" s="81" t="s">
        <v>180</v>
      </c>
      <c r="Q2" s="81" t="s">
        <v>181</v>
      </c>
      <c r="R2" s="81" t="s">
        <v>182</v>
      </c>
      <c r="S2" s="81" t="s">
        <v>183</v>
      </c>
    </row>
    <row r="3" spans="1:19" ht="12.75">
      <c r="A3">
        <v>1</v>
      </c>
      <c r="C3" s="49">
        <v>37165</v>
      </c>
      <c r="E3" s="4">
        <f>C3-28489</f>
        <v>8676</v>
      </c>
      <c r="F3" s="28">
        <v>92</v>
      </c>
      <c r="G3" s="11">
        <f aca="true" t="shared" si="0" ref="G3:G35">F3*0.028317</f>
        <v>2.605164</v>
      </c>
      <c r="H3" s="5">
        <f>94.406*G3^-0.9027</f>
        <v>39.77638227930074</v>
      </c>
      <c r="I3" s="5">
        <f>305.98*G3^-0.8016</f>
        <v>142.0233163926909</v>
      </c>
      <c r="J3" s="5">
        <f>191.21*G3^-0.2204</f>
        <v>154.83193895246862</v>
      </c>
      <c r="K3" s="23">
        <f>2.4579*G3^-0.5052</f>
        <v>1.51525014118247</v>
      </c>
      <c r="L3" s="7">
        <f>(H3*$G3)</f>
        <v>103.62399916427222</v>
      </c>
      <c r="M3" s="7">
        <f>(I3*$G3)</f>
        <v>369.9940310268482</v>
      </c>
      <c r="N3" s="7">
        <f>(J3*$G3)</f>
        <v>403.36259340916894</v>
      </c>
      <c r="O3" s="7">
        <f>(K3*$G3)</f>
        <v>3.947475118803488</v>
      </c>
      <c r="P3" s="7">
        <f>(((L3+L4)/2)*(($E4-$E3)*24*60*60))/1000000</f>
        <v>17.887100854361712</v>
      </c>
      <c r="Q3" s="7">
        <f>(((M3+M4)/2)*(($E4-$E3)*24*60*60))/1000000</f>
        <v>63.79587415598754</v>
      </c>
      <c r="R3" s="7">
        <f>(((N3+N4)/2)*(($E4-$E3)*24*60*60))/1000000</f>
        <v>69.10898781627317</v>
      </c>
      <c r="S3" s="7">
        <f>(((O3+O4)/2)*(($E4-$E3)*24*60*60))/1000000</f>
        <v>0.6784346929368107</v>
      </c>
    </row>
    <row r="4" spans="1:19" ht="12.75">
      <c r="A4">
        <v>2</v>
      </c>
      <c r="C4" s="49">
        <v>37167</v>
      </c>
      <c r="D4" s="10">
        <v>0.6833333333333332</v>
      </c>
      <c r="E4" s="4">
        <f aca="true" t="shared" si="1" ref="E4:E35">C4-28489</f>
        <v>8678</v>
      </c>
      <c r="F4">
        <v>90</v>
      </c>
      <c r="G4" s="11">
        <f t="shared" si="0"/>
        <v>2.54853</v>
      </c>
      <c r="H4" s="5">
        <f>94.406*G4^-0.9027</f>
        <v>40.57344080491261</v>
      </c>
      <c r="I4" s="5">
        <f>305.98*G4^-0.8016</f>
        <v>144.54769693700268</v>
      </c>
      <c r="J4" s="5">
        <f>191.21*G4^-0.2204</f>
        <v>155.58378781519525</v>
      </c>
      <c r="K4" s="23">
        <f>2.4579*G4^-0.5052</f>
        <v>1.5321688470093968</v>
      </c>
      <c r="L4" s="7">
        <f aca="true" t="shared" si="2" ref="L4:L35">(H4*$G4)</f>
        <v>103.40263109454392</v>
      </c>
      <c r="M4" s="7">
        <f aca="true" t="shared" si="3" ref="M4:M35">(I4*$G4)</f>
        <v>368.3841420748594</v>
      </c>
      <c r="N4" s="7">
        <f aca="true" t="shared" si="4" ref="N4:N35">(J4*$G4)</f>
        <v>396.50995076065954</v>
      </c>
      <c r="O4" s="7">
        <f aca="true" t="shared" si="5" ref="O4:O35">(K4*$G4)</f>
        <v>3.904778271668858</v>
      </c>
      <c r="P4" s="7">
        <f aca="true" t="shared" si="6" ref="P4:P34">(((L4+L5)/2)*(($E5-$E4)*24*60*60))/1000000</f>
        <v>124.63722820758016</v>
      </c>
      <c r="Q4" s="7">
        <f aca="true" t="shared" si="7" ref="Q4:Q34">(((M4+M5)/2)*(($E5-$E4)*24*60*60))/1000000</f>
        <v>457.76911747887493</v>
      </c>
      <c r="R4" s="7">
        <f aca="true" t="shared" si="8" ref="R4:R34">(((N4+N5)/2)*(($E5-$E4)*24*60*60))/1000000</f>
        <v>438.2126545772513</v>
      </c>
      <c r="S4" s="7">
        <f aca="true" t="shared" si="9" ref="S4:S34">(((O4+O5)/2)*(($E5-$E4)*24*60*60))/1000000</f>
        <v>4.711313782225326</v>
      </c>
    </row>
    <row r="5" spans="1:19" ht="12.75">
      <c r="A5">
        <v>3</v>
      </c>
      <c r="B5" s="1" t="s">
        <v>77</v>
      </c>
      <c r="C5" s="19">
        <v>37181</v>
      </c>
      <c r="D5" s="22">
        <v>0.576388888888889</v>
      </c>
      <c r="E5" s="4">
        <f t="shared" si="1"/>
        <v>8692</v>
      </c>
      <c r="F5">
        <v>98</v>
      </c>
      <c r="G5" s="11">
        <f t="shared" si="0"/>
        <v>2.775066</v>
      </c>
      <c r="H5" s="5">
        <v>37</v>
      </c>
      <c r="I5" s="57">
        <v>140</v>
      </c>
      <c r="J5" s="57">
        <v>118.21268750000003</v>
      </c>
      <c r="K5" s="39">
        <v>1.4</v>
      </c>
      <c r="L5" s="7">
        <f t="shared" si="2"/>
        <v>102.677442</v>
      </c>
      <c r="M5" s="7">
        <f t="shared" si="3"/>
        <v>388.50924</v>
      </c>
      <c r="N5" s="7">
        <f t="shared" si="4"/>
        <v>328.0480098498751</v>
      </c>
      <c r="O5" s="7">
        <f t="shared" si="5"/>
        <v>3.8850923999999996</v>
      </c>
      <c r="P5" s="7">
        <f t="shared" si="6"/>
        <v>134.4253032803369</v>
      </c>
      <c r="Q5" s="7">
        <f t="shared" si="7"/>
        <v>496.9430675444476</v>
      </c>
      <c r="R5" s="7">
        <f t="shared" si="8"/>
        <v>498.0116295969629</v>
      </c>
      <c r="S5" s="7">
        <f t="shared" si="9"/>
        <v>5.222519816685803</v>
      </c>
    </row>
    <row r="6" spans="1:19" ht="12.75">
      <c r="A6">
        <v>4</v>
      </c>
      <c r="B6" s="1"/>
      <c r="C6" s="19">
        <v>37196</v>
      </c>
      <c r="D6" s="22"/>
      <c r="E6" s="4">
        <f t="shared" si="1"/>
        <v>8707</v>
      </c>
      <c r="F6">
        <v>103</v>
      </c>
      <c r="G6" s="11">
        <f t="shared" si="0"/>
        <v>2.916651</v>
      </c>
      <c r="H6" s="5">
        <f>94.406*G6^-0.9027</f>
        <v>35.92099763719836</v>
      </c>
      <c r="I6" s="5">
        <f>305.98*G6^-0.8016</f>
        <v>129.7303688080168</v>
      </c>
      <c r="J6" s="5">
        <f>191.21*G6^-0.2204</f>
        <v>151.0254245631503</v>
      </c>
      <c r="K6" s="23">
        <f>2.4579*G6^-0.5052</f>
        <v>1.43121400591026</v>
      </c>
      <c r="L6" s="7">
        <f t="shared" si="2"/>
        <v>104.76901367953224</v>
      </c>
      <c r="M6" s="7">
        <f t="shared" si="3"/>
        <v>378.378209914271</v>
      </c>
      <c r="N6" s="7">
        <f t="shared" si="4"/>
        <v>440.48845557753685</v>
      </c>
      <c r="O6" s="7">
        <f t="shared" si="5"/>
        <v>4.174351761552166</v>
      </c>
      <c r="P6" s="7">
        <f t="shared" si="6"/>
        <v>270.0773446455706</v>
      </c>
      <c r="Q6" s="7">
        <f t="shared" si="7"/>
        <v>969.8904242596903</v>
      </c>
      <c r="R6" s="7">
        <f t="shared" si="8"/>
        <v>1093.6309594867707</v>
      </c>
      <c r="S6" s="7">
        <f t="shared" si="9"/>
        <v>10.525887636940926</v>
      </c>
    </row>
    <row r="7" spans="1:19" ht="12.75">
      <c r="A7">
        <v>5</v>
      </c>
      <c r="B7" s="1"/>
      <c r="C7" s="19">
        <v>37226</v>
      </c>
      <c r="D7" s="22"/>
      <c r="E7" s="4">
        <f t="shared" si="1"/>
        <v>8737</v>
      </c>
      <c r="F7">
        <v>92</v>
      </c>
      <c r="G7" s="11">
        <f t="shared" si="0"/>
        <v>2.605164</v>
      </c>
      <c r="H7" s="5">
        <f>94.406*G7^-0.9027</f>
        <v>39.77638227930074</v>
      </c>
      <c r="I7" s="5">
        <f>305.98*G7^-0.8016</f>
        <v>142.0233163926909</v>
      </c>
      <c r="J7" s="5">
        <f>191.21*G7^-0.2204</f>
        <v>154.83193895246862</v>
      </c>
      <c r="K7" s="23">
        <f>2.4579*G7^-0.5052</f>
        <v>1.51525014118247</v>
      </c>
      <c r="L7" s="7">
        <f t="shared" si="2"/>
        <v>103.62399916427222</v>
      </c>
      <c r="M7" s="7">
        <f t="shared" si="3"/>
        <v>369.9940310268482</v>
      </c>
      <c r="N7" s="7">
        <f t="shared" si="4"/>
        <v>403.36259340916894</v>
      </c>
      <c r="O7" s="7">
        <f t="shared" si="5"/>
        <v>3.947475118803488</v>
      </c>
      <c r="P7" s="7">
        <f t="shared" si="6"/>
        <v>409.08704583134516</v>
      </c>
      <c r="Q7" s="7">
        <f t="shared" si="7"/>
        <v>1441.5014100761928</v>
      </c>
      <c r="R7" s="7">
        <f t="shared" si="8"/>
        <v>1408.1127034563833</v>
      </c>
      <c r="S7" s="7">
        <f t="shared" si="9"/>
        <v>14.44482613495398</v>
      </c>
    </row>
    <row r="8" spans="1:19" ht="12.75">
      <c r="A8">
        <v>6</v>
      </c>
      <c r="B8" s="1" t="s">
        <v>78</v>
      </c>
      <c r="C8" s="19">
        <v>37271</v>
      </c>
      <c r="D8" s="22">
        <v>0.4159722222222222</v>
      </c>
      <c r="E8" s="4">
        <f t="shared" si="1"/>
        <v>8782</v>
      </c>
      <c r="F8">
        <v>82</v>
      </c>
      <c r="G8" s="11">
        <f t="shared" si="0"/>
        <v>2.3219939999999997</v>
      </c>
      <c r="H8" s="5">
        <v>46</v>
      </c>
      <c r="I8" s="57">
        <v>160</v>
      </c>
      <c r="J8" s="57">
        <v>138.23257812500003</v>
      </c>
      <c r="K8" s="39">
        <v>1.5</v>
      </c>
      <c r="L8" s="7">
        <f t="shared" si="2"/>
        <v>106.81172399999998</v>
      </c>
      <c r="M8" s="7">
        <f t="shared" si="3"/>
        <v>371.51903999999996</v>
      </c>
      <c r="N8" s="7">
        <f t="shared" si="4"/>
        <v>320.97521701078125</v>
      </c>
      <c r="O8" s="7">
        <f t="shared" si="5"/>
        <v>3.4829909999999993</v>
      </c>
      <c r="P8" s="7">
        <f t="shared" si="6"/>
        <v>91.355625792</v>
      </c>
      <c r="Q8" s="7">
        <f t="shared" si="7"/>
        <v>324.90699264</v>
      </c>
      <c r="R8" s="7">
        <f t="shared" si="8"/>
        <v>283.6433966824935</v>
      </c>
      <c r="S8" s="7">
        <f t="shared" si="9"/>
        <v>3.0460030559999995</v>
      </c>
    </row>
    <row r="9" spans="1:19" ht="12.75">
      <c r="A9">
        <v>7</v>
      </c>
      <c r="B9" s="29" t="s">
        <v>79</v>
      </c>
      <c r="C9" s="97">
        <v>37281</v>
      </c>
      <c r="D9" s="22">
        <v>0.6770833333333334</v>
      </c>
      <c r="E9" s="4">
        <f t="shared" si="1"/>
        <v>8792</v>
      </c>
      <c r="F9">
        <v>84</v>
      </c>
      <c r="G9" s="11">
        <f t="shared" si="0"/>
        <v>2.378628</v>
      </c>
      <c r="H9" s="5">
        <v>44</v>
      </c>
      <c r="I9" s="57">
        <v>160</v>
      </c>
      <c r="J9" s="57">
        <v>141.0925625</v>
      </c>
      <c r="K9" s="39">
        <v>1.5</v>
      </c>
      <c r="L9" s="7">
        <f t="shared" si="2"/>
        <v>104.659632</v>
      </c>
      <c r="M9" s="7">
        <f t="shared" si="3"/>
        <v>380.58047999999997</v>
      </c>
      <c r="N9" s="7">
        <f t="shared" si="4"/>
        <v>335.60671975425004</v>
      </c>
      <c r="O9" s="7">
        <f t="shared" si="5"/>
        <v>3.567942</v>
      </c>
      <c r="P9" s="7">
        <f t="shared" si="6"/>
        <v>199.32848271359998</v>
      </c>
      <c r="Q9" s="7">
        <f t="shared" si="7"/>
        <v>721.450105344</v>
      </c>
      <c r="R9" s="7">
        <f t="shared" si="8"/>
        <v>502.3620537049765</v>
      </c>
      <c r="S9" s="7">
        <f t="shared" si="9"/>
        <v>5.9036187744</v>
      </c>
    </row>
    <row r="10" spans="1:19" ht="12.75">
      <c r="A10">
        <v>8</v>
      </c>
      <c r="B10" s="1" t="s">
        <v>80</v>
      </c>
      <c r="C10" s="19">
        <v>37300</v>
      </c>
      <c r="D10" s="22">
        <v>0.4611111111111111</v>
      </c>
      <c r="E10" s="4">
        <f t="shared" si="1"/>
        <v>8811</v>
      </c>
      <c r="F10">
        <v>80</v>
      </c>
      <c r="G10" s="11">
        <f t="shared" si="0"/>
        <v>2.26536</v>
      </c>
      <c r="H10" s="5">
        <v>61</v>
      </c>
      <c r="I10" s="57">
        <v>220</v>
      </c>
      <c r="J10" s="57">
        <v>122.02600000000002</v>
      </c>
      <c r="K10" s="39">
        <v>1.6</v>
      </c>
      <c r="L10" s="7">
        <f t="shared" si="2"/>
        <v>138.18696</v>
      </c>
      <c r="M10" s="7">
        <f t="shared" si="3"/>
        <v>498.37919999999997</v>
      </c>
      <c r="N10" s="7">
        <f t="shared" si="4"/>
        <v>276.43281936000005</v>
      </c>
      <c r="O10" s="7">
        <f t="shared" si="5"/>
        <v>3.624576</v>
      </c>
      <c r="P10" s="7">
        <f t="shared" si="6"/>
        <v>229.35302046719997</v>
      </c>
      <c r="Q10" s="7">
        <f t="shared" si="7"/>
        <v>813.8332984319999</v>
      </c>
      <c r="R10" s="7">
        <f t="shared" si="8"/>
        <v>564.7118216526486</v>
      </c>
      <c r="S10" s="7">
        <f t="shared" si="9"/>
        <v>6.227057813759999</v>
      </c>
    </row>
    <row r="11" spans="1:19" ht="12.75">
      <c r="A11">
        <v>9</v>
      </c>
      <c r="B11" s="1" t="s">
        <v>81</v>
      </c>
      <c r="C11" s="19">
        <v>37321</v>
      </c>
      <c r="D11" s="22">
        <v>0.6597222222222222</v>
      </c>
      <c r="E11" s="4">
        <f t="shared" si="1"/>
        <v>8832</v>
      </c>
      <c r="F11">
        <v>88</v>
      </c>
      <c r="G11" s="11">
        <f t="shared" si="0"/>
        <v>2.4918959999999997</v>
      </c>
      <c r="H11" s="5">
        <v>46</v>
      </c>
      <c r="I11" s="57">
        <v>160</v>
      </c>
      <c r="J11" s="57">
        <v>138.86813020833335</v>
      </c>
      <c r="K11" s="39">
        <v>1.3</v>
      </c>
      <c r="L11" s="7">
        <f t="shared" si="2"/>
        <v>114.62721599999999</v>
      </c>
      <c r="M11" s="7">
        <f t="shared" si="3"/>
        <v>398.70336</v>
      </c>
      <c r="N11" s="7">
        <f t="shared" si="4"/>
        <v>346.044938193625</v>
      </c>
      <c r="O11" s="7">
        <f t="shared" si="5"/>
        <v>3.2394647999999995</v>
      </c>
      <c r="P11" s="7">
        <f t="shared" si="6"/>
        <v>136.9404683136</v>
      </c>
      <c r="Q11" s="7">
        <f t="shared" si="7"/>
        <v>485.69680857599997</v>
      </c>
      <c r="R11" s="7">
        <f t="shared" si="8"/>
        <v>423.6916921022898</v>
      </c>
      <c r="S11" s="7">
        <f t="shared" si="9"/>
        <v>3.8294007897599998</v>
      </c>
    </row>
    <row r="12" spans="1:19" ht="12.75">
      <c r="A12">
        <v>10</v>
      </c>
      <c r="B12" s="1" t="s">
        <v>82</v>
      </c>
      <c r="C12" s="19">
        <v>37335</v>
      </c>
      <c r="D12" s="22">
        <v>0.7493055555555556</v>
      </c>
      <c r="E12" s="4">
        <f t="shared" si="1"/>
        <v>8846</v>
      </c>
      <c r="F12">
        <v>84</v>
      </c>
      <c r="G12" s="11">
        <f t="shared" si="0"/>
        <v>2.378628</v>
      </c>
      <c r="H12" s="5">
        <v>47</v>
      </c>
      <c r="I12" s="57">
        <v>170</v>
      </c>
      <c r="J12" s="57">
        <v>149.03696354166667</v>
      </c>
      <c r="K12" s="39">
        <v>1.3</v>
      </c>
      <c r="L12" s="7">
        <f t="shared" si="2"/>
        <v>111.79551599999999</v>
      </c>
      <c r="M12" s="7">
        <f t="shared" si="3"/>
        <v>404.36676</v>
      </c>
      <c r="N12" s="7">
        <f t="shared" si="4"/>
        <v>354.50349451518747</v>
      </c>
      <c r="O12" s="7">
        <f t="shared" si="5"/>
        <v>3.0922164</v>
      </c>
      <c r="P12" s="7">
        <f t="shared" si="6"/>
        <v>47.83081103999999</v>
      </c>
      <c r="Q12" s="7">
        <f t="shared" si="7"/>
        <v>168.08065055999998</v>
      </c>
      <c r="R12" s="7">
        <f t="shared" si="8"/>
        <v>190.65830707027348</v>
      </c>
      <c r="S12" s="7">
        <f t="shared" si="9"/>
        <v>1.4752930463999998</v>
      </c>
    </row>
    <row r="13" spans="1:19" ht="12.75">
      <c r="A13">
        <v>11</v>
      </c>
      <c r="B13" s="1" t="s">
        <v>83</v>
      </c>
      <c r="C13" s="19">
        <v>37340</v>
      </c>
      <c r="D13" s="22">
        <v>0.65625</v>
      </c>
      <c r="E13" s="4">
        <f t="shared" si="1"/>
        <v>8851</v>
      </c>
      <c r="F13">
        <v>88</v>
      </c>
      <c r="G13" s="11">
        <f t="shared" si="0"/>
        <v>2.4918959999999997</v>
      </c>
      <c r="H13" s="5">
        <v>44</v>
      </c>
      <c r="I13" s="57">
        <v>150</v>
      </c>
      <c r="J13" s="57">
        <v>211.9566197916667</v>
      </c>
      <c r="K13" s="39">
        <v>1.5</v>
      </c>
      <c r="L13" s="7">
        <f t="shared" si="2"/>
        <v>109.64342399999998</v>
      </c>
      <c r="M13" s="7">
        <f t="shared" si="3"/>
        <v>373.78439999999995</v>
      </c>
      <c r="N13" s="7">
        <f t="shared" si="4"/>
        <v>528.173853032375</v>
      </c>
      <c r="O13" s="7">
        <f t="shared" si="5"/>
        <v>3.7378439999999995</v>
      </c>
      <c r="P13" s="7">
        <f t="shared" si="6"/>
        <v>237.6909950976</v>
      </c>
      <c r="Q13" s="7">
        <f t="shared" si="7"/>
        <v>852.587265024</v>
      </c>
      <c r="R13" s="7">
        <f t="shared" si="8"/>
        <v>1293.9046262347392</v>
      </c>
      <c r="S13" s="7">
        <f t="shared" si="9"/>
        <v>8.913412316159999</v>
      </c>
    </row>
    <row r="14" spans="1:19" ht="12.75">
      <c r="A14">
        <v>12</v>
      </c>
      <c r="B14" s="1" t="s">
        <v>84</v>
      </c>
      <c r="C14" s="19">
        <v>37364</v>
      </c>
      <c r="D14" s="22">
        <v>0.545138888888889</v>
      </c>
      <c r="E14" s="4">
        <f t="shared" si="1"/>
        <v>8875</v>
      </c>
      <c r="F14">
        <v>132</v>
      </c>
      <c r="G14" s="11">
        <f t="shared" si="0"/>
        <v>3.737844</v>
      </c>
      <c r="H14" s="5">
        <v>32</v>
      </c>
      <c r="I14" s="57">
        <v>120</v>
      </c>
      <c r="J14" s="57">
        <v>192.57228125</v>
      </c>
      <c r="K14" s="39">
        <v>1.3</v>
      </c>
      <c r="L14" s="7">
        <f t="shared" si="2"/>
        <v>119.611008</v>
      </c>
      <c r="M14" s="7">
        <f t="shared" si="3"/>
        <v>448.54128</v>
      </c>
      <c r="N14" s="7">
        <f t="shared" si="4"/>
        <v>719.805146036625</v>
      </c>
      <c r="O14" s="7">
        <f t="shared" si="5"/>
        <v>4.8591972</v>
      </c>
      <c r="P14" s="7">
        <f t="shared" si="6"/>
        <v>65.4413572224</v>
      </c>
      <c r="Q14" s="7">
        <f t="shared" si="7"/>
        <v>247.93730899200003</v>
      </c>
      <c r="R14" s="7">
        <f t="shared" si="8"/>
        <v>381.627601062327</v>
      </c>
      <c r="S14" s="7">
        <f t="shared" si="9"/>
        <v>2.67754678272</v>
      </c>
    </row>
    <row r="15" spans="1:19" ht="12.75">
      <c r="A15">
        <v>13</v>
      </c>
      <c r="B15" s="1" t="s">
        <v>85</v>
      </c>
      <c r="C15" s="19">
        <v>37370</v>
      </c>
      <c r="D15" s="22">
        <v>0.6743055555555556</v>
      </c>
      <c r="E15" s="4">
        <f t="shared" si="1"/>
        <v>8881</v>
      </c>
      <c r="F15">
        <v>138</v>
      </c>
      <c r="G15" s="11">
        <f t="shared" si="0"/>
        <v>3.907746</v>
      </c>
      <c r="H15" s="5">
        <v>34</v>
      </c>
      <c r="I15" s="57">
        <v>130</v>
      </c>
      <c r="J15" s="57">
        <v>192.57228125</v>
      </c>
      <c r="K15" s="39">
        <v>1.4</v>
      </c>
      <c r="L15" s="7">
        <f t="shared" si="2"/>
        <v>132.863364</v>
      </c>
      <c r="M15" s="7">
        <f t="shared" si="3"/>
        <v>508.00698</v>
      </c>
      <c r="N15" s="7">
        <f t="shared" si="4"/>
        <v>752.5235617655625</v>
      </c>
      <c r="O15" s="7">
        <f t="shared" si="5"/>
        <v>5.4708444</v>
      </c>
      <c r="P15" s="7">
        <f t="shared" si="6"/>
        <v>79.13980791359998</v>
      </c>
      <c r="Q15" s="7">
        <f t="shared" si="7"/>
        <v>295.4427237216</v>
      </c>
      <c r="R15" s="7">
        <f t="shared" si="8"/>
        <v>457.8528279925183</v>
      </c>
      <c r="S15" s="7">
        <f t="shared" si="9"/>
        <v>3.5245558252799998</v>
      </c>
    </row>
    <row r="16" spans="1:19" ht="12.75">
      <c r="A16">
        <v>14</v>
      </c>
      <c r="B16" s="1" t="s">
        <v>86</v>
      </c>
      <c r="C16" s="19">
        <v>37377</v>
      </c>
      <c r="D16" s="22">
        <v>0.6027777777777777</v>
      </c>
      <c r="E16" s="4">
        <f t="shared" si="1"/>
        <v>8888</v>
      </c>
      <c r="F16">
        <v>182</v>
      </c>
      <c r="G16" s="11">
        <f t="shared" si="0"/>
        <v>5.153694</v>
      </c>
      <c r="H16" s="5">
        <v>25</v>
      </c>
      <c r="I16" s="57">
        <v>91</v>
      </c>
      <c r="J16" s="57">
        <v>147.765859375</v>
      </c>
      <c r="K16" s="39">
        <v>1.2</v>
      </c>
      <c r="L16" s="7">
        <f t="shared" si="2"/>
        <v>128.84234999999998</v>
      </c>
      <c r="M16" s="7">
        <f t="shared" si="3"/>
        <v>468.986154</v>
      </c>
      <c r="N16" s="7">
        <f t="shared" si="4"/>
        <v>761.5400228657812</v>
      </c>
      <c r="O16" s="7">
        <f t="shared" si="5"/>
        <v>6.1844328</v>
      </c>
      <c r="P16" s="7">
        <f t="shared" si="6"/>
        <v>76.00572766079999</v>
      </c>
      <c r="Q16" s="7">
        <f t="shared" si="7"/>
        <v>286.4686360032</v>
      </c>
      <c r="R16" s="7">
        <f t="shared" si="8"/>
        <v>493.1894944470753</v>
      </c>
      <c r="S16" s="7">
        <f t="shared" si="9"/>
        <v>3.63416300352</v>
      </c>
    </row>
    <row r="17" spans="1:19" ht="12.75">
      <c r="A17">
        <v>15</v>
      </c>
      <c r="B17" s="1" t="s">
        <v>87</v>
      </c>
      <c r="C17" s="19">
        <v>37384</v>
      </c>
      <c r="D17" s="22">
        <v>0.73125</v>
      </c>
      <c r="E17" s="4">
        <f t="shared" si="1"/>
        <v>8895</v>
      </c>
      <c r="F17">
        <v>206</v>
      </c>
      <c r="G17" s="11">
        <f t="shared" si="0"/>
        <v>5.833302</v>
      </c>
      <c r="H17" s="5">
        <v>21</v>
      </c>
      <c r="I17" s="57">
        <v>82</v>
      </c>
      <c r="J17" s="57">
        <v>149.03696354166667</v>
      </c>
      <c r="K17" s="39">
        <v>1</v>
      </c>
      <c r="L17" s="7">
        <f t="shared" si="2"/>
        <v>122.499342</v>
      </c>
      <c r="M17" s="7">
        <f t="shared" si="3"/>
        <v>478.330764</v>
      </c>
      <c r="N17" s="7">
        <f t="shared" si="4"/>
        <v>869.3776175015312</v>
      </c>
      <c r="O17" s="7">
        <f t="shared" si="5"/>
        <v>5.833302</v>
      </c>
      <c r="P17" s="7">
        <f t="shared" si="6"/>
        <v>76.2283672416</v>
      </c>
      <c r="Q17" s="7">
        <f t="shared" si="7"/>
        <v>297.823254624</v>
      </c>
      <c r="R17" s="7">
        <f t="shared" si="8"/>
        <v>634.1932971840406</v>
      </c>
      <c r="S17" s="7">
        <f t="shared" si="9"/>
        <v>4.25755382976</v>
      </c>
    </row>
    <row r="18" spans="1:19" ht="12.75">
      <c r="A18">
        <v>16</v>
      </c>
      <c r="B18" s="1" t="s">
        <v>88</v>
      </c>
      <c r="C18" s="19">
        <v>37391</v>
      </c>
      <c r="D18" s="22">
        <v>0.7340277777777778</v>
      </c>
      <c r="E18" s="4">
        <f t="shared" si="1"/>
        <v>8902</v>
      </c>
      <c r="F18">
        <v>416</v>
      </c>
      <c r="G18" s="11">
        <f t="shared" si="0"/>
        <v>11.779872</v>
      </c>
      <c r="H18" s="5">
        <v>11</v>
      </c>
      <c r="I18" s="57">
        <v>43</v>
      </c>
      <c r="J18" s="57">
        <v>104.23054166666665</v>
      </c>
      <c r="K18" s="39">
        <v>0.7</v>
      </c>
      <c r="L18" s="7">
        <f t="shared" si="2"/>
        <v>129.578592</v>
      </c>
      <c r="M18" s="7">
        <f t="shared" si="3"/>
        <v>506.534496</v>
      </c>
      <c r="N18" s="7">
        <f t="shared" si="4"/>
        <v>1227.8224393239998</v>
      </c>
      <c r="O18" s="7">
        <f t="shared" si="5"/>
        <v>8.2459104</v>
      </c>
      <c r="P18" s="7">
        <f t="shared" si="6"/>
        <v>88.21616304384</v>
      </c>
      <c r="Q18" s="7">
        <f t="shared" si="7"/>
        <v>347.6798411904</v>
      </c>
      <c r="R18" s="7">
        <f t="shared" si="8"/>
        <v>930.4168923198395</v>
      </c>
      <c r="S18" s="7">
        <f t="shared" si="9"/>
        <v>6.135163938432</v>
      </c>
    </row>
    <row r="19" spans="1:19" ht="12.75">
      <c r="A19">
        <v>17</v>
      </c>
      <c r="B19" s="1" t="s">
        <v>89</v>
      </c>
      <c r="C19" s="19">
        <v>37399</v>
      </c>
      <c r="D19" s="22">
        <v>0.3159722222222222</v>
      </c>
      <c r="E19" s="4">
        <f t="shared" si="1"/>
        <v>8910</v>
      </c>
      <c r="F19">
        <v>569</v>
      </c>
      <c r="G19" s="11">
        <f t="shared" si="0"/>
        <v>16.112372999999998</v>
      </c>
      <c r="H19" s="5">
        <v>7.8</v>
      </c>
      <c r="I19" s="57">
        <v>31</v>
      </c>
      <c r="J19" s="57">
        <v>90.88394791666667</v>
      </c>
      <c r="K19" s="39">
        <v>0.59</v>
      </c>
      <c r="L19" s="7">
        <f t="shared" si="2"/>
        <v>125.67650939999999</v>
      </c>
      <c r="M19" s="7">
        <f t="shared" si="3"/>
        <v>499.48356299999995</v>
      </c>
      <c r="N19" s="7">
        <f t="shared" si="4"/>
        <v>1464.356068545906</v>
      </c>
      <c r="O19" s="7">
        <f t="shared" si="5"/>
        <v>9.506300069999998</v>
      </c>
      <c r="P19" s="7">
        <f t="shared" si="6"/>
        <v>90.15361671455999</v>
      </c>
      <c r="Q19" s="7">
        <f t="shared" si="7"/>
        <v>366.83296161119995</v>
      </c>
      <c r="R19" s="7">
        <f t="shared" si="8"/>
        <v>1219.977592656502</v>
      </c>
      <c r="S19" s="7">
        <f t="shared" si="9"/>
        <v>7.190487784367999</v>
      </c>
    </row>
    <row r="20" spans="1:19" ht="12.75">
      <c r="A20">
        <v>18</v>
      </c>
      <c r="B20" s="1" t="s">
        <v>90</v>
      </c>
      <c r="C20" s="19">
        <v>37406</v>
      </c>
      <c r="D20" s="22">
        <v>0.6583333333333333</v>
      </c>
      <c r="E20" s="4">
        <f t="shared" si="1"/>
        <v>8917</v>
      </c>
      <c r="F20">
        <v>1050</v>
      </c>
      <c r="G20" s="11">
        <f t="shared" si="0"/>
        <v>29.73285</v>
      </c>
      <c r="H20" s="5">
        <v>5.8</v>
      </c>
      <c r="I20" s="57">
        <v>24</v>
      </c>
      <c r="J20" s="57">
        <v>86.43508333333334</v>
      </c>
      <c r="K20" s="39">
        <v>0.48</v>
      </c>
      <c r="L20" s="7">
        <f t="shared" si="2"/>
        <v>172.45053</v>
      </c>
      <c r="M20" s="7">
        <f t="shared" si="3"/>
        <v>713.5884</v>
      </c>
      <c r="N20" s="7">
        <f t="shared" si="4"/>
        <v>2569.9613674875</v>
      </c>
      <c r="O20" s="7">
        <f t="shared" si="5"/>
        <v>14.271768</v>
      </c>
      <c r="P20" s="7">
        <f t="shared" si="6"/>
        <v>40.013790312412205</v>
      </c>
      <c r="Q20" s="7">
        <f t="shared" si="7"/>
        <v>201.69678067199996</v>
      </c>
      <c r="R20" s="7">
        <f t="shared" si="8"/>
        <v>717.7267167760621</v>
      </c>
      <c r="S20" s="7">
        <f t="shared" si="9"/>
        <v>4.03393561344</v>
      </c>
    </row>
    <row r="21" spans="1:19" ht="12.75">
      <c r="A21">
        <v>19</v>
      </c>
      <c r="B21" s="1" t="s">
        <v>91</v>
      </c>
      <c r="C21" s="19">
        <v>37409</v>
      </c>
      <c r="D21" s="22"/>
      <c r="E21" s="4">
        <f t="shared" si="1"/>
        <v>8920</v>
      </c>
      <c r="F21">
        <v>1240</v>
      </c>
      <c r="G21" s="11">
        <f t="shared" si="0"/>
        <v>35.11308</v>
      </c>
      <c r="H21" s="5">
        <f>2294.7*(F21^-0.896)</f>
        <v>3.8816831801772356</v>
      </c>
      <c r="I21" s="57">
        <v>24</v>
      </c>
      <c r="J21" s="57">
        <v>84.52842708333334</v>
      </c>
      <c r="K21" s="39">
        <v>0.48</v>
      </c>
      <c r="L21" s="7">
        <f t="shared" si="2"/>
        <v>136.29785204021766</v>
      </c>
      <c r="M21" s="7">
        <f t="shared" si="3"/>
        <v>842.7139199999999</v>
      </c>
      <c r="N21" s="7">
        <f t="shared" si="4"/>
        <v>2968.05342245125</v>
      </c>
      <c r="O21" s="7">
        <f t="shared" si="5"/>
        <v>16.8542784</v>
      </c>
      <c r="P21" s="7">
        <f t="shared" si="6"/>
        <v>33.73829004041221</v>
      </c>
      <c r="Q21" s="7">
        <f t="shared" si="7"/>
        <v>194.944195584</v>
      </c>
      <c r="R21" s="7">
        <f t="shared" si="8"/>
        <v>659.6382471240801</v>
      </c>
      <c r="S21" s="7">
        <f t="shared" si="9"/>
        <v>3.5774021433599996</v>
      </c>
    </row>
    <row r="22" spans="1:19" ht="12.75">
      <c r="A22">
        <v>20</v>
      </c>
      <c r="B22" s="1" t="s">
        <v>92</v>
      </c>
      <c r="C22" s="19">
        <v>37412</v>
      </c>
      <c r="D22" s="22">
        <v>0.3506944444444444</v>
      </c>
      <c r="E22" s="4">
        <f t="shared" si="1"/>
        <v>8923</v>
      </c>
      <c r="F22">
        <v>730</v>
      </c>
      <c r="G22" s="11">
        <f t="shared" si="0"/>
        <v>20.671409999999998</v>
      </c>
      <c r="H22" s="5">
        <v>6</v>
      </c>
      <c r="I22" s="57">
        <v>32</v>
      </c>
      <c r="J22" s="57">
        <v>102.6416614583333</v>
      </c>
      <c r="K22" s="39">
        <v>0.52</v>
      </c>
      <c r="L22" s="7">
        <f t="shared" si="2"/>
        <v>124.02846</v>
      </c>
      <c r="M22" s="7">
        <f t="shared" si="3"/>
        <v>661.4851199999999</v>
      </c>
      <c r="N22" s="7">
        <f t="shared" si="4"/>
        <v>2121.747867086405</v>
      </c>
      <c r="O22" s="7">
        <f t="shared" si="5"/>
        <v>10.7491332</v>
      </c>
      <c r="P22" s="7">
        <f t="shared" si="6"/>
        <v>12.81107293344</v>
      </c>
      <c r="Q22" s="7">
        <f t="shared" si="7"/>
        <v>59.479020316799996</v>
      </c>
      <c r="R22" s="7">
        <f t="shared" si="8"/>
        <v>186.68428294357727</v>
      </c>
      <c r="S22" s="7">
        <f t="shared" si="9"/>
        <v>1.046063507328</v>
      </c>
    </row>
    <row r="23" spans="1:19" ht="12.75">
      <c r="A23">
        <v>21</v>
      </c>
      <c r="B23" s="1" t="s">
        <v>93</v>
      </c>
      <c r="C23" s="19">
        <v>37413</v>
      </c>
      <c r="D23" s="22">
        <v>0.7604166666666666</v>
      </c>
      <c r="E23" s="4">
        <f t="shared" si="1"/>
        <v>8924</v>
      </c>
      <c r="F23">
        <v>743</v>
      </c>
      <c r="G23" s="11">
        <f t="shared" si="0"/>
        <v>21.039531</v>
      </c>
      <c r="H23" s="5">
        <v>8.2</v>
      </c>
      <c r="I23" s="57">
        <v>34</v>
      </c>
      <c r="J23" s="57">
        <v>104.54831770833333</v>
      </c>
      <c r="K23" s="39">
        <v>0.64</v>
      </c>
      <c r="L23" s="7">
        <f t="shared" si="2"/>
        <v>172.5241542</v>
      </c>
      <c r="M23" s="7">
        <f t="shared" si="3"/>
        <v>715.344054</v>
      </c>
      <c r="N23" s="7">
        <f t="shared" si="4"/>
        <v>2199.647571422328</v>
      </c>
      <c r="O23" s="7">
        <f t="shared" si="5"/>
        <v>13.46529984</v>
      </c>
      <c r="P23" s="7">
        <f t="shared" si="6"/>
        <v>76.27925628864001</v>
      </c>
      <c r="Q23" s="7">
        <f t="shared" si="7"/>
        <v>288.17390839679996</v>
      </c>
      <c r="R23" s="7">
        <f t="shared" si="8"/>
        <v>909.5131289050923</v>
      </c>
      <c r="S23" s="7">
        <f t="shared" si="9"/>
        <v>5.3985449825280005</v>
      </c>
    </row>
    <row r="24" spans="1:19" ht="12.75">
      <c r="A24">
        <v>22</v>
      </c>
      <c r="B24" s="1" t="s">
        <v>94</v>
      </c>
      <c r="C24" s="19">
        <v>37419</v>
      </c>
      <c r="D24" s="10">
        <v>0.3361111111111111</v>
      </c>
      <c r="E24" s="4">
        <f t="shared" si="1"/>
        <v>8930</v>
      </c>
      <c r="F24">
        <v>500</v>
      </c>
      <c r="G24" s="11">
        <f t="shared" si="0"/>
        <v>14.1585</v>
      </c>
      <c r="H24" s="5">
        <v>8.6</v>
      </c>
      <c r="I24" s="57">
        <v>28</v>
      </c>
      <c r="J24" s="57">
        <v>92.47282812499999</v>
      </c>
      <c r="K24" s="39">
        <v>0.52</v>
      </c>
      <c r="L24" s="7">
        <f t="shared" si="2"/>
        <v>121.7631</v>
      </c>
      <c r="M24" s="7">
        <f t="shared" si="3"/>
        <v>396.438</v>
      </c>
      <c r="N24" s="7">
        <f t="shared" si="4"/>
        <v>1309.2765370078123</v>
      </c>
      <c r="O24" s="7">
        <f t="shared" si="5"/>
        <v>7.36242</v>
      </c>
      <c r="P24" s="7">
        <f t="shared" si="6"/>
        <v>74.77778474208</v>
      </c>
      <c r="Q24" s="7">
        <f t="shared" si="7"/>
        <v>314.7952411296</v>
      </c>
      <c r="R24" s="7">
        <f t="shared" si="8"/>
        <v>968.0412563177407</v>
      </c>
      <c r="S24" s="7">
        <f t="shared" si="9"/>
        <v>5.406545327903999</v>
      </c>
    </row>
    <row r="25" spans="1:19" ht="12.75">
      <c r="A25">
        <v>23</v>
      </c>
      <c r="B25" s="1" t="s">
        <v>95</v>
      </c>
      <c r="C25" s="19">
        <v>37426</v>
      </c>
      <c r="D25" s="22">
        <v>0.5694444444444444</v>
      </c>
      <c r="E25" s="4">
        <f t="shared" si="1"/>
        <v>8937</v>
      </c>
      <c r="F25">
        <v>599</v>
      </c>
      <c r="G25" s="11">
        <f t="shared" si="0"/>
        <v>16.961883</v>
      </c>
      <c r="H25" s="5">
        <v>7.4</v>
      </c>
      <c r="I25" s="57">
        <v>38</v>
      </c>
      <c r="J25" s="57">
        <v>111.539390625</v>
      </c>
      <c r="K25" s="39">
        <v>0.62</v>
      </c>
      <c r="L25" s="7">
        <f t="shared" si="2"/>
        <v>125.51793420000001</v>
      </c>
      <c r="M25" s="7">
        <f t="shared" si="3"/>
        <v>644.551554</v>
      </c>
      <c r="N25" s="7">
        <f t="shared" si="4"/>
        <v>1891.9180936725468</v>
      </c>
      <c r="O25" s="7">
        <f t="shared" si="5"/>
        <v>10.51636746</v>
      </c>
      <c r="P25" s="7">
        <f t="shared" si="6"/>
        <v>74.12699212128</v>
      </c>
      <c r="Q25" s="7">
        <f t="shared" si="7"/>
        <v>383.2997275296</v>
      </c>
      <c r="R25" s="7">
        <f t="shared" si="8"/>
        <v>1052.2331907166313</v>
      </c>
      <c r="S25" s="7">
        <f t="shared" si="9"/>
        <v>6.194346921504001</v>
      </c>
    </row>
    <row r="26" spans="1:19" ht="12.75">
      <c r="A26">
        <v>24</v>
      </c>
      <c r="B26" s="1" t="s">
        <v>96</v>
      </c>
      <c r="C26" s="19">
        <v>37433</v>
      </c>
      <c r="D26" s="22">
        <v>0.5715277777777777</v>
      </c>
      <c r="E26" s="4">
        <f t="shared" si="1"/>
        <v>8944</v>
      </c>
      <c r="F26">
        <v>440</v>
      </c>
      <c r="G26" s="11">
        <f t="shared" si="0"/>
        <v>12.45948</v>
      </c>
      <c r="H26" s="5">
        <v>9.6</v>
      </c>
      <c r="I26" s="57">
        <v>50</v>
      </c>
      <c r="J26" s="57">
        <v>127.42819270833334</v>
      </c>
      <c r="K26" s="39">
        <v>0.8</v>
      </c>
      <c r="L26" s="7">
        <f t="shared" si="2"/>
        <v>119.61100799999998</v>
      </c>
      <c r="M26" s="7">
        <f t="shared" si="3"/>
        <v>622.9739999999999</v>
      </c>
      <c r="N26" s="7">
        <f t="shared" si="4"/>
        <v>1587.689018485625</v>
      </c>
      <c r="O26" s="7">
        <f t="shared" si="5"/>
        <v>9.967584</v>
      </c>
      <c r="P26" s="7">
        <f t="shared" si="6"/>
        <v>70.5681840528</v>
      </c>
      <c r="Q26" s="7">
        <f t="shared" si="7"/>
        <v>365.66838534240003</v>
      </c>
      <c r="R26" s="7">
        <f t="shared" si="8"/>
        <v>872.7851847092222</v>
      </c>
      <c r="S26" s="7">
        <f t="shared" si="9"/>
        <v>5.501424041568</v>
      </c>
    </row>
    <row r="27" spans="1:19" ht="12.75">
      <c r="A27">
        <v>25</v>
      </c>
      <c r="B27" s="1" t="s">
        <v>97</v>
      </c>
      <c r="C27" s="19">
        <v>37440</v>
      </c>
      <c r="D27" s="9">
        <v>0.35555555555555557</v>
      </c>
      <c r="E27" s="4">
        <f t="shared" si="1"/>
        <v>8951</v>
      </c>
      <c r="F27">
        <v>309</v>
      </c>
      <c r="G27" s="11">
        <f t="shared" si="0"/>
        <v>8.749953</v>
      </c>
      <c r="H27" s="5">
        <v>13</v>
      </c>
      <c r="I27" s="57">
        <v>67</v>
      </c>
      <c r="J27" s="57">
        <v>148.4014114583333</v>
      </c>
      <c r="K27" s="39">
        <v>0.94</v>
      </c>
      <c r="L27" s="7">
        <f t="shared" si="2"/>
        <v>113.749389</v>
      </c>
      <c r="M27" s="7">
        <f t="shared" si="3"/>
        <v>586.246851</v>
      </c>
      <c r="N27" s="7">
        <f t="shared" si="4"/>
        <v>1298.5053753940779</v>
      </c>
      <c r="O27" s="7">
        <f t="shared" si="5"/>
        <v>8.22495582</v>
      </c>
      <c r="P27" s="7">
        <f t="shared" si="6"/>
        <v>78.59421861119999</v>
      </c>
      <c r="Q27" s="7">
        <f t="shared" si="7"/>
        <v>364.101345216</v>
      </c>
      <c r="R27" s="7">
        <f t="shared" si="8"/>
        <v>757.3713295645764</v>
      </c>
      <c r="S27" s="7">
        <f t="shared" si="9"/>
        <v>4.9376076526079995</v>
      </c>
    </row>
    <row r="28" spans="1:19" ht="12.75">
      <c r="A28">
        <v>26</v>
      </c>
      <c r="B28" s="1" t="s">
        <v>98</v>
      </c>
      <c r="C28" s="19">
        <v>37448</v>
      </c>
      <c r="D28" s="22">
        <v>0.5875</v>
      </c>
      <c r="E28" s="4">
        <f t="shared" si="1"/>
        <v>8959</v>
      </c>
      <c r="F28">
        <v>223</v>
      </c>
      <c r="G28" s="11">
        <f t="shared" si="0"/>
        <v>6.314691</v>
      </c>
      <c r="H28" s="5">
        <v>18</v>
      </c>
      <c r="I28" s="57">
        <v>74</v>
      </c>
      <c r="J28" s="57">
        <v>141.41033854166668</v>
      </c>
      <c r="K28" s="39">
        <v>0.96</v>
      </c>
      <c r="L28" s="7">
        <f t="shared" si="2"/>
        <v>113.66443799999999</v>
      </c>
      <c r="M28" s="7">
        <f t="shared" si="3"/>
        <v>467.287134</v>
      </c>
      <c r="N28" s="7">
        <f t="shared" si="4"/>
        <v>892.9625920960157</v>
      </c>
      <c r="O28" s="7">
        <f t="shared" si="5"/>
        <v>6.06210336</v>
      </c>
      <c r="P28" s="7">
        <f t="shared" si="6"/>
        <v>58.08691128959999</v>
      </c>
      <c r="Q28" s="7">
        <f t="shared" si="7"/>
        <v>218.4461275968</v>
      </c>
      <c r="R28" s="7">
        <f t="shared" si="8"/>
        <v>438.8530820063692</v>
      </c>
      <c r="S28" s="7">
        <f t="shared" si="9"/>
        <v>2.9166763720319997</v>
      </c>
    </row>
    <row r="29" spans="1:19" ht="12.75">
      <c r="A29">
        <v>27</v>
      </c>
      <c r="B29" s="1" t="s">
        <v>99</v>
      </c>
      <c r="C29" s="19">
        <v>37454</v>
      </c>
      <c r="D29" s="22">
        <v>0.3680555555555556</v>
      </c>
      <c r="E29" s="4">
        <f t="shared" si="1"/>
        <v>8965</v>
      </c>
      <c r="F29">
        <v>195</v>
      </c>
      <c r="G29" s="11">
        <f t="shared" si="0"/>
        <v>5.521814999999999</v>
      </c>
      <c r="H29" s="5">
        <v>20</v>
      </c>
      <c r="I29" s="57">
        <v>68</v>
      </c>
      <c r="J29" s="57">
        <v>144.905875</v>
      </c>
      <c r="K29" s="39">
        <v>0.94</v>
      </c>
      <c r="L29" s="7">
        <f t="shared" si="2"/>
        <v>110.43629999999999</v>
      </c>
      <c r="M29" s="7">
        <f t="shared" si="3"/>
        <v>375.48341999999997</v>
      </c>
      <c r="N29" s="7">
        <f t="shared" si="4"/>
        <v>800.143434163125</v>
      </c>
      <c r="O29" s="7">
        <f t="shared" si="5"/>
        <v>5.190506099999999</v>
      </c>
      <c r="P29" s="7">
        <f t="shared" si="6"/>
        <v>9.2187465984</v>
      </c>
      <c r="Q29" s="7">
        <f t="shared" si="7"/>
        <v>37.224848592</v>
      </c>
      <c r="R29" s="7">
        <f t="shared" si="8"/>
        <v>75.32025498781155</v>
      </c>
      <c r="S29" s="7">
        <f t="shared" si="9"/>
        <v>0.49604587919999993</v>
      </c>
    </row>
    <row r="30" spans="1:19" ht="12.75">
      <c r="A30">
        <v>28</v>
      </c>
      <c r="B30" s="1" t="s">
        <v>100</v>
      </c>
      <c r="C30" s="19">
        <v>37455</v>
      </c>
      <c r="D30" s="22">
        <v>0.4375</v>
      </c>
      <c r="E30" s="4">
        <f t="shared" si="1"/>
        <v>8966</v>
      </c>
      <c r="F30">
        <v>202</v>
      </c>
      <c r="G30" s="11">
        <f t="shared" si="0"/>
        <v>5.720034</v>
      </c>
      <c r="H30" s="5">
        <v>18</v>
      </c>
      <c r="I30" s="57">
        <v>85</v>
      </c>
      <c r="J30" s="57">
        <v>164.92576562500003</v>
      </c>
      <c r="K30" s="39">
        <v>1.1</v>
      </c>
      <c r="L30" s="7">
        <f t="shared" si="2"/>
        <v>102.960612</v>
      </c>
      <c r="M30" s="7">
        <f t="shared" si="3"/>
        <v>486.20289</v>
      </c>
      <c r="N30" s="7">
        <f t="shared" si="4"/>
        <v>943.3809868510314</v>
      </c>
      <c r="O30" s="7">
        <f t="shared" si="5"/>
        <v>6.292037400000001</v>
      </c>
      <c r="P30" s="7">
        <f t="shared" si="6"/>
        <v>64.41990639839999</v>
      </c>
      <c r="Q30" s="7">
        <f t="shared" si="7"/>
        <v>291.743481456</v>
      </c>
      <c r="R30" s="7">
        <f t="shared" si="8"/>
        <v>658.2345299058958</v>
      </c>
      <c r="S30" s="7">
        <f t="shared" si="9"/>
        <v>3.6393008399999998</v>
      </c>
    </row>
    <row r="31" spans="1:19" ht="12.75">
      <c r="A31">
        <v>29</v>
      </c>
      <c r="B31" s="1" t="s">
        <v>101</v>
      </c>
      <c r="C31" s="19">
        <v>37462</v>
      </c>
      <c r="D31" s="22">
        <v>0.6506944444444445</v>
      </c>
      <c r="E31" s="4">
        <f t="shared" si="1"/>
        <v>8973</v>
      </c>
      <c r="F31">
        <v>169</v>
      </c>
      <c r="G31" s="11">
        <f t="shared" si="0"/>
        <v>4.785572999999999</v>
      </c>
      <c r="H31" s="5">
        <v>23</v>
      </c>
      <c r="I31" s="57">
        <v>100</v>
      </c>
      <c r="J31" s="57">
        <v>257.7163697916667</v>
      </c>
      <c r="K31" s="39">
        <v>1.2</v>
      </c>
      <c r="L31" s="7">
        <f t="shared" si="2"/>
        <v>110.06817899999999</v>
      </c>
      <c r="M31" s="7">
        <f t="shared" si="3"/>
        <v>478.55729999999994</v>
      </c>
      <c r="N31" s="7">
        <f t="shared" si="4"/>
        <v>1233.3205009330156</v>
      </c>
      <c r="O31" s="7">
        <f t="shared" si="5"/>
        <v>5.742687599999999</v>
      </c>
      <c r="P31" s="7">
        <f t="shared" si="6"/>
        <v>191.69023248</v>
      </c>
      <c r="Q31" s="7">
        <f t="shared" si="7"/>
        <v>792.9394300800001</v>
      </c>
      <c r="R31" s="7">
        <f t="shared" si="8"/>
        <v>1532.5824238970624</v>
      </c>
      <c r="S31" s="7">
        <f t="shared" si="9"/>
        <v>9.101310336</v>
      </c>
    </row>
    <row r="32" spans="1:19" ht="12.75">
      <c r="A32">
        <v>30</v>
      </c>
      <c r="B32" s="1" t="s">
        <v>102</v>
      </c>
      <c r="C32" s="19">
        <v>37482</v>
      </c>
      <c r="D32" s="22">
        <v>0.5</v>
      </c>
      <c r="E32" s="4">
        <f t="shared" si="1"/>
        <v>8993</v>
      </c>
      <c r="F32">
        <v>141</v>
      </c>
      <c r="G32" s="11">
        <f t="shared" si="0"/>
        <v>3.9926969999999997</v>
      </c>
      <c r="H32" s="5">
        <v>28</v>
      </c>
      <c r="I32" s="57">
        <v>110</v>
      </c>
      <c r="J32" s="57">
        <v>135.37259375</v>
      </c>
      <c r="K32" s="39">
        <v>1.2</v>
      </c>
      <c r="L32" s="7">
        <f t="shared" si="2"/>
        <v>111.79551599999999</v>
      </c>
      <c r="M32" s="7">
        <f t="shared" si="3"/>
        <v>439.19667</v>
      </c>
      <c r="N32" s="7">
        <f t="shared" si="4"/>
        <v>540.5017489478437</v>
      </c>
      <c r="O32" s="7">
        <f t="shared" si="5"/>
        <v>4.7912364</v>
      </c>
      <c r="P32" s="7">
        <f t="shared" si="6"/>
        <v>136.10128835519998</v>
      </c>
      <c r="Q32" s="7">
        <f t="shared" si="7"/>
        <v>508.64581151999994</v>
      </c>
      <c r="R32" s="7">
        <f t="shared" si="8"/>
        <v>691.9630052411978</v>
      </c>
      <c r="S32" s="7">
        <f t="shared" si="9"/>
        <v>6.43257127296</v>
      </c>
    </row>
    <row r="33" spans="1:19" ht="12.75">
      <c r="A33">
        <v>31</v>
      </c>
      <c r="B33" s="1" t="s">
        <v>103</v>
      </c>
      <c r="C33" s="19">
        <v>37496</v>
      </c>
      <c r="D33" s="22">
        <v>0.5888888888888889</v>
      </c>
      <c r="E33" s="4">
        <f t="shared" si="1"/>
        <v>9007</v>
      </c>
      <c r="F33">
        <v>129</v>
      </c>
      <c r="G33" s="11">
        <f t="shared" si="0"/>
        <v>3.6528929999999997</v>
      </c>
      <c r="H33" s="5">
        <v>31</v>
      </c>
      <c r="I33" s="57">
        <v>110</v>
      </c>
      <c r="J33" s="57">
        <v>165.24354166666666</v>
      </c>
      <c r="K33" s="39">
        <v>1.6</v>
      </c>
      <c r="L33" s="7">
        <f t="shared" si="2"/>
        <v>113.23968299999999</v>
      </c>
      <c r="M33" s="7">
        <f t="shared" si="3"/>
        <v>401.81822999999997</v>
      </c>
      <c r="N33" s="7">
        <f t="shared" si="4"/>
        <v>603.6169766493749</v>
      </c>
      <c r="O33" s="7">
        <f t="shared" si="5"/>
        <v>5.8446288</v>
      </c>
      <c r="P33" s="7">
        <f t="shared" si="6"/>
        <v>127.19081194559999</v>
      </c>
      <c r="Q33" s="7">
        <f t="shared" si="7"/>
        <v>453.1281142612043</v>
      </c>
      <c r="R33" s="7">
        <f t="shared" si="8"/>
        <v>647.7826645037524</v>
      </c>
      <c r="S33" s="7">
        <f t="shared" si="9"/>
        <v>5.8713470651314985</v>
      </c>
    </row>
    <row r="34" spans="1:19" ht="12.75">
      <c r="A34">
        <v>32</v>
      </c>
      <c r="B34" s="1"/>
      <c r="C34" s="19">
        <v>37509</v>
      </c>
      <c r="D34" s="22">
        <v>0.5</v>
      </c>
      <c r="E34" s="4">
        <f t="shared" si="1"/>
        <v>9020</v>
      </c>
      <c r="F34">
        <v>129</v>
      </c>
      <c r="G34" s="11">
        <f t="shared" si="0"/>
        <v>3.6528929999999997</v>
      </c>
      <c r="H34" s="5">
        <v>31</v>
      </c>
      <c r="I34" s="5">
        <v>110.8802872978793</v>
      </c>
      <c r="J34" s="5">
        <v>150.52238973103772</v>
      </c>
      <c r="K34" s="23">
        <v>1.2620268435258295</v>
      </c>
      <c r="L34" s="7">
        <f t="shared" si="2"/>
        <v>113.23968299999999</v>
      </c>
      <c r="M34" s="7">
        <f t="shared" si="3"/>
        <v>405.0338253084122</v>
      </c>
      <c r="N34" s="7">
        <f t="shared" si="4"/>
        <v>549.8421837917796</v>
      </c>
      <c r="O34" s="7">
        <f t="shared" si="5"/>
        <v>4.610049022527598</v>
      </c>
      <c r="P34" s="7">
        <f t="shared" si="6"/>
        <v>189.93604787102174</v>
      </c>
      <c r="Q34" s="7">
        <f t="shared" si="7"/>
        <v>688.5828888926047</v>
      </c>
      <c r="R34" s="7">
        <f t="shared" si="8"/>
        <v>912.1129153980203</v>
      </c>
      <c r="S34" s="7">
        <f t="shared" si="9"/>
        <v>7.920722063931029</v>
      </c>
    </row>
    <row r="35" spans="1:16" ht="12.75">
      <c r="A35">
        <v>33</v>
      </c>
      <c r="C35" s="19">
        <v>37529</v>
      </c>
      <c r="D35" s="3">
        <v>0.9993055555555556</v>
      </c>
      <c r="E35" s="4">
        <f t="shared" si="1"/>
        <v>9040</v>
      </c>
      <c r="F35">
        <v>123</v>
      </c>
      <c r="G35" s="11">
        <f t="shared" si="0"/>
        <v>3.4829909999999997</v>
      </c>
      <c r="H35" s="5">
        <f>94.406*G35^-0.9027</f>
        <v>30.60407154069836</v>
      </c>
      <c r="I35" s="5">
        <f>305.98*G35^-0.8016</f>
        <v>112.52888994254663</v>
      </c>
      <c r="J35" s="5">
        <f>191.21*G35^-0.2204</f>
        <v>145.2326637886388</v>
      </c>
      <c r="K35" s="23">
        <f>2.4579*G35^-0.5052</f>
        <v>1.3084884130568997</v>
      </c>
      <c r="L35" s="7">
        <f t="shared" si="2"/>
        <v>106.59370573960851</v>
      </c>
      <c r="M35" s="7">
        <f t="shared" si="3"/>
        <v>391.9371109098804</v>
      </c>
      <c r="N35" s="7">
        <f t="shared" si="4"/>
        <v>505.84406088185483</v>
      </c>
      <c r="O35" s="7">
        <f t="shared" si="5"/>
        <v>4.557453366281464</v>
      </c>
      <c r="P35" s="7"/>
    </row>
    <row r="37" spans="2:19" ht="12.75">
      <c r="B37" s="35" t="s">
        <v>190</v>
      </c>
      <c r="G37" s="11"/>
      <c r="L37" s="11"/>
      <c r="M37" s="11"/>
      <c r="N37" s="11"/>
      <c r="O37" s="11"/>
      <c r="P37" s="11">
        <f>SUM(P3:P34)</f>
        <v>3611.3520000804806</v>
      </c>
      <c r="Q37" s="11">
        <f>SUM(Q3:Q34)</f>
        <v>13801.509046819401</v>
      </c>
      <c r="R37" s="11">
        <f>SUM(R3:R34)</f>
        <v>21964.14875104046</v>
      </c>
      <c r="S37" s="11">
        <f>SUM(S3:S34)</f>
        <v>164.87108304379737</v>
      </c>
    </row>
    <row r="39" spans="1:19" ht="12.75">
      <c r="A39">
        <v>1</v>
      </c>
      <c r="C39" s="49">
        <v>37530</v>
      </c>
      <c r="E39" s="5">
        <f>C39-28489</f>
        <v>9041</v>
      </c>
      <c r="F39" s="1">
        <v>123</v>
      </c>
      <c r="G39" s="7">
        <f>F39*0.028317</f>
        <v>3.4829909999999997</v>
      </c>
      <c r="H39" s="5">
        <f>94.406*G39^-0.9027</f>
        <v>30.60407154069836</v>
      </c>
      <c r="I39" s="5">
        <f>305.98*G39^-0.8016</f>
        <v>112.52888994254663</v>
      </c>
      <c r="J39" s="5">
        <f>191.21*G39^-0.2204</f>
        <v>145.2326637886388</v>
      </c>
      <c r="K39" s="23">
        <f>2.4579*G39^-0.5052</f>
        <v>1.3084884130568997</v>
      </c>
      <c r="L39" s="7">
        <f>(H39*$G39)</f>
        <v>106.59370573960851</v>
      </c>
      <c r="M39" s="7">
        <f>(I39*$G39)</f>
        <v>391.9371109098804</v>
      </c>
      <c r="N39" s="7">
        <f>(J39*$G39)</f>
        <v>505.84406088185483</v>
      </c>
      <c r="O39" s="7">
        <f>(K39*$G39)</f>
        <v>4.557453366281464</v>
      </c>
      <c r="P39" s="7">
        <f>(((L39+L40)/2)*(($E40-$E39)*24*60*60))/1000000</f>
        <v>149.0716498680174</v>
      </c>
      <c r="Q39" s="7">
        <f>(((M39+M40)/2)*(($E40-$E39)*24*60*60))/1000000</f>
        <v>542.3256207197893</v>
      </c>
      <c r="R39" s="7">
        <f>(((N39+N40)/2)*(($E40-$E39)*24*60*60))/1000000</f>
        <v>605.1960277234709</v>
      </c>
      <c r="S39" s="7">
        <f>(((O39+O40)/2)*(($E40-$E39)*24*60*60))/1000000</f>
        <v>6.207760585461748</v>
      </c>
    </row>
    <row r="40" spans="1:19" ht="12.75">
      <c r="A40">
        <v>2</v>
      </c>
      <c r="B40" s="1" t="s">
        <v>371</v>
      </c>
      <c r="C40" s="19">
        <v>37546</v>
      </c>
      <c r="D40" s="10">
        <v>0.4375</v>
      </c>
      <c r="E40" s="5">
        <f aca="true" t="shared" si="10" ref="E40:E70">C40-28489</f>
        <v>9057</v>
      </c>
      <c r="F40" s="34">
        <v>107</v>
      </c>
      <c r="G40" s="7">
        <f aca="true" t="shared" si="11" ref="G40:G70">F40*0.028317</f>
        <v>3.029919</v>
      </c>
      <c r="H40" s="5">
        <v>36</v>
      </c>
      <c r="I40" s="5">
        <v>129.6</v>
      </c>
      <c r="J40" s="5">
        <v>122.02600000000002</v>
      </c>
      <c r="K40" s="23">
        <v>1.46</v>
      </c>
      <c r="L40" s="7">
        <f aca="true" t="shared" si="12" ref="L40:O70">(H40*$G40)</f>
        <v>109.077084</v>
      </c>
      <c r="M40" s="7">
        <f t="shared" si="12"/>
        <v>392.6775024</v>
      </c>
      <c r="N40" s="7">
        <f t="shared" si="12"/>
        <v>369.72889589400006</v>
      </c>
      <c r="O40" s="7">
        <f t="shared" si="12"/>
        <v>4.42368174</v>
      </c>
      <c r="P40" s="7">
        <f aca="true" t="shared" si="13" ref="P40:S69">(((L40+L41)/2)*(($E41-$E40)*24*60*60))/1000000</f>
        <v>312.24344901119997</v>
      </c>
      <c r="Q40" s="7">
        <f t="shared" si="13"/>
        <v>1127.070062496</v>
      </c>
      <c r="R40" s="7">
        <f t="shared" si="13"/>
        <v>1089.760371301476</v>
      </c>
      <c r="S40" s="7">
        <f t="shared" si="13"/>
        <v>12.597118742879998</v>
      </c>
    </row>
    <row r="41" spans="1:19" ht="12.75">
      <c r="A41">
        <v>3</v>
      </c>
      <c r="B41" s="1" t="s">
        <v>372</v>
      </c>
      <c r="C41" s="19">
        <v>37581</v>
      </c>
      <c r="D41" s="10">
        <v>0.6979166666666666</v>
      </c>
      <c r="E41" s="5">
        <f t="shared" si="10"/>
        <v>9092</v>
      </c>
      <c r="F41" s="34">
        <v>92</v>
      </c>
      <c r="G41" s="7">
        <f t="shared" si="11"/>
        <v>2.605164</v>
      </c>
      <c r="H41" s="5">
        <v>37.4</v>
      </c>
      <c r="I41" s="5">
        <v>135.4</v>
      </c>
      <c r="J41" s="5">
        <v>134.73704166666667</v>
      </c>
      <c r="K41" s="23">
        <v>1.5</v>
      </c>
      <c r="L41" s="7">
        <f t="shared" si="12"/>
        <v>97.43313359999999</v>
      </c>
      <c r="M41" s="7">
        <f t="shared" si="12"/>
        <v>352.7392056</v>
      </c>
      <c r="N41" s="7">
        <f t="shared" si="12"/>
        <v>351.0120904165</v>
      </c>
      <c r="O41" s="7">
        <f t="shared" si="12"/>
        <v>3.9077459999999995</v>
      </c>
      <c r="P41" s="7">
        <f t="shared" si="13"/>
        <v>453.39498596735996</v>
      </c>
      <c r="Q41" s="7">
        <f t="shared" si="13"/>
        <v>1626.1604767987199</v>
      </c>
      <c r="R41" s="7">
        <f t="shared" si="13"/>
        <v>1421.8042175551996</v>
      </c>
      <c r="S41" s="7">
        <f t="shared" si="13"/>
        <v>17.864697826943996</v>
      </c>
    </row>
    <row r="42" spans="1:19" ht="12.75">
      <c r="A42">
        <v>4</v>
      </c>
      <c r="B42" s="1" t="s">
        <v>373</v>
      </c>
      <c r="C42" s="19">
        <v>37635</v>
      </c>
      <c r="D42" s="10">
        <v>0.625</v>
      </c>
      <c r="E42" s="5">
        <f t="shared" si="10"/>
        <v>9146</v>
      </c>
      <c r="F42" s="34">
        <v>86</v>
      </c>
      <c r="G42" s="7">
        <f t="shared" si="11"/>
        <v>2.435262</v>
      </c>
      <c r="H42" s="5">
        <v>39.8</v>
      </c>
      <c r="I42" s="5">
        <v>141.4</v>
      </c>
      <c r="J42" s="5">
        <v>106.13719791666666</v>
      </c>
      <c r="K42" s="23">
        <v>1.54</v>
      </c>
      <c r="L42" s="7">
        <f t="shared" si="12"/>
        <v>96.92342759999998</v>
      </c>
      <c r="M42" s="7">
        <f t="shared" si="12"/>
        <v>344.3460468</v>
      </c>
      <c r="N42" s="7">
        <f t="shared" si="12"/>
        <v>258.4718848729375</v>
      </c>
      <c r="O42" s="7">
        <f t="shared" si="12"/>
        <v>3.75030348</v>
      </c>
      <c r="P42" s="7">
        <f t="shared" si="13"/>
        <v>294.2781474528</v>
      </c>
      <c r="Q42" s="7">
        <f t="shared" si="13"/>
        <v>1050.3964160928</v>
      </c>
      <c r="R42" s="7">
        <f t="shared" si="13"/>
        <v>717.5634486421275</v>
      </c>
      <c r="S42" s="7">
        <f t="shared" si="13"/>
        <v>11.267275400639999</v>
      </c>
    </row>
    <row r="43" spans="1:19" ht="12.75">
      <c r="A43">
        <v>5</v>
      </c>
      <c r="B43" s="1" t="s">
        <v>374</v>
      </c>
      <c r="C43" s="19">
        <v>37670</v>
      </c>
      <c r="D43" s="10">
        <v>0.4583333333333333</v>
      </c>
      <c r="E43" s="5">
        <f t="shared" si="10"/>
        <v>9181</v>
      </c>
      <c r="F43" s="34">
        <v>76</v>
      </c>
      <c r="G43" s="7">
        <f t="shared" si="11"/>
        <v>2.1520919999999997</v>
      </c>
      <c r="H43" s="5">
        <v>45.4</v>
      </c>
      <c r="I43" s="5">
        <v>162.8</v>
      </c>
      <c r="J43" s="5">
        <v>100.41722916666667</v>
      </c>
      <c r="K43" s="23">
        <v>1.72</v>
      </c>
      <c r="L43" s="7">
        <f t="shared" si="12"/>
        <v>97.70497679999998</v>
      </c>
      <c r="M43" s="7">
        <f t="shared" si="12"/>
        <v>350.3605776</v>
      </c>
      <c r="N43" s="7">
        <f t="shared" si="12"/>
        <v>216.10711555174998</v>
      </c>
      <c r="O43" s="7">
        <f t="shared" si="12"/>
        <v>3.7015982399999996</v>
      </c>
      <c r="P43" s="7">
        <f t="shared" si="13"/>
        <v>131.9249612736</v>
      </c>
      <c r="Q43" s="7">
        <f t="shared" si="13"/>
        <v>471.3891572736</v>
      </c>
      <c r="R43" s="7">
        <f t="shared" si="13"/>
        <v>288.26155247092646</v>
      </c>
      <c r="S43" s="7">
        <f t="shared" si="13"/>
        <v>4.986637292159998</v>
      </c>
    </row>
    <row r="44" spans="1:19" ht="12.75">
      <c r="A44">
        <v>6</v>
      </c>
      <c r="B44" s="1" t="s">
        <v>375</v>
      </c>
      <c r="C44" s="19">
        <v>37685</v>
      </c>
      <c r="D44" s="10">
        <v>0.6777777777777777</v>
      </c>
      <c r="E44" s="5">
        <f t="shared" si="10"/>
        <v>9196</v>
      </c>
      <c r="F44" s="34">
        <v>82</v>
      </c>
      <c r="G44" s="7">
        <f t="shared" si="11"/>
        <v>2.3219939999999997</v>
      </c>
      <c r="H44" s="5">
        <v>45.6</v>
      </c>
      <c r="I44" s="5">
        <v>162.4</v>
      </c>
      <c r="J44" s="5">
        <v>98.51057291666667</v>
      </c>
      <c r="K44" s="23">
        <v>1.72</v>
      </c>
      <c r="L44" s="7">
        <f t="shared" si="12"/>
        <v>105.88292639999999</v>
      </c>
      <c r="M44" s="7">
        <f t="shared" si="12"/>
        <v>377.09182559999994</v>
      </c>
      <c r="N44" s="7">
        <f t="shared" si="12"/>
        <v>228.74095924906248</v>
      </c>
      <c r="O44" s="7">
        <f t="shared" si="12"/>
        <v>3.9938296799999993</v>
      </c>
      <c r="P44" s="7">
        <f t="shared" si="13"/>
        <v>63.24334184448</v>
      </c>
      <c r="Q44" s="7">
        <f t="shared" si="13"/>
        <v>225.37976025599997</v>
      </c>
      <c r="R44" s="7">
        <f t="shared" si="13"/>
        <v>172.6070711955534</v>
      </c>
      <c r="S44" s="7">
        <f t="shared" si="13"/>
        <v>2.4007397258879997</v>
      </c>
    </row>
    <row r="45" spans="1:19" ht="12.75">
      <c r="A45">
        <v>7</v>
      </c>
      <c r="B45" s="1" t="s">
        <v>376</v>
      </c>
      <c r="C45" s="19">
        <v>37692</v>
      </c>
      <c r="D45" s="10">
        <v>0.4583333333333333</v>
      </c>
      <c r="E45" s="5">
        <f t="shared" si="10"/>
        <v>9203</v>
      </c>
      <c r="F45" s="34">
        <v>86</v>
      </c>
      <c r="G45" s="7">
        <f t="shared" si="11"/>
        <v>2.435262</v>
      </c>
      <c r="H45" s="5">
        <v>42.4</v>
      </c>
      <c r="I45" s="5">
        <v>151.2</v>
      </c>
      <c r="J45" s="5">
        <v>140.45701041666666</v>
      </c>
      <c r="K45" s="23">
        <v>1.62</v>
      </c>
      <c r="L45" s="7">
        <f t="shared" si="12"/>
        <v>103.25510879999999</v>
      </c>
      <c r="M45" s="7">
        <f t="shared" si="12"/>
        <v>368.2116143999999</v>
      </c>
      <c r="N45" s="7">
        <f t="shared" si="12"/>
        <v>342.0496201013125</v>
      </c>
      <c r="O45" s="7">
        <f t="shared" si="12"/>
        <v>3.94512444</v>
      </c>
      <c r="P45" s="7">
        <f t="shared" si="13"/>
        <v>267.4146024288</v>
      </c>
      <c r="Q45" s="7">
        <f t="shared" si="13"/>
        <v>956.1650698252799</v>
      </c>
      <c r="R45" s="7">
        <f t="shared" si="13"/>
        <v>776.0974070595591</v>
      </c>
      <c r="S45" s="7">
        <f t="shared" si="13"/>
        <v>10.611442806911999</v>
      </c>
    </row>
    <row r="46" spans="1:19" ht="12.75">
      <c r="A46">
        <v>8</v>
      </c>
      <c r="B46" s="1" t="s">
        <v>377</v>
      </c>
      <c r="C46" s="19">
        <v>37721</v>
      </c>
      <c r="D46" s="10">
        <v>0.5840277777777778</v>
      </c>
      <c r="E46" s="5">
        <f t="shared" si="10"/>
        <v>9232</v>
      </c>
      <c r="F46" s="34">
        <v>94</v>
      </c>
      <c r="G46" s="7">
        <f t="shared" si="11"/>
        <v>2.6617979999999997</v>
      </c>
      <c r="H46" s="5">
        <v>41.4</v>
      </c>
      <c r="I46" s="5">
        <v>148.4</v>
      </c>
      <c r="J46" s="5">
        <v>104.23054166666665</v>
      </c>
      <c r="K46" s="23">
        <v>1.7</v>
      </c>
      <c r="L46" s="7">
        <f t="shared" si="12"/>
        <v>110.19843719999999</v>
      </c>
      <c r="M46" s="7">
        <f t="shared" si="12"/>
        <v>395.01082319999995</v>
      </c>
      <c r="N46" s="7">
        <f t="shared" si="12"/>
        <v>277.4406473472499</v>
      </c>
      <c r="O46" s="7">
        <f t="shared" si="12"/>
        <v>4.525056599999999</v>
      </c>
      <c r="P46" s="7">
        <f t="shared" si="13"/>
        <v>134.03538877248</v>
      </c>
      <c r="Q46" s="7">
        <f t="shared" si="13"/>
        <v>482.78438926847997</v>
      </c>
      <c r="R46" s="7">
        <f t="shared" si="13"/>
        <v>662.5591917868987</v>
      </c>
      <c r="S46" s="7">
        <f t="shared" si="13"/>
        <v>6.1823831022719995</v>
      </c>
    </row>
    <row r="47" spans="1:19" ht="12.75">
      <c r="A47">
        <v>9</v>
      </c>
      <c r="B47" s="1" t="s">
        <v>378</v>
      </c>
      <c r="C47" s="19">
        <v>37734</v>
      </c>
      <c r="D47" s="10">
        <v>0.34722222222222227</v>
      </c>
      <c r="E47" s="5">
        <f t="shared" si="10"/>
        <v>9245</v>
      </c>
      <c r="F47" s="34">
        <v>212</v>
      </c>
      <c r="G47" s="7">
        <f t="shared" si="11"/>
        <v>6.003203999999999</v>
      </c>
      <c r="H47" s="5">
        <v>21.4</v>
      </c>
      <c r="I47" s="5">
        <v>77.4</v>
      </c>
      <c r="J47" s="5">
        <v>150.30806770833334</v>
      </c>
      <c r="K47" s="23">
        <v>1.08</v>
      </c>
      <c r="L47" s="7">
        <f t="shared" si="12"/>
        <v>128.46856559999998</v>
      </c>
      <c r="M47" s="7">
        <f t="shared" si="12"/>
        <v>464.64798959999996</v>
      </c>
      <c r="N47" s="7">
        <f t="shared" si="12"/>
        <v>902.3299932989374</v>
      </c>
      <c r="O47" s="7">
        <f t="shared" si="12"/>
        <v>6.48346032</v>
      </c>
      <c r="P47" s="7">
        <f t="shared" si="13"/>
        <v>10.531732943807999</v>
      </c>
      <c r="Q47" s="7">
        <f t="shared" si="13"/>
        <v>39.09355311744</v>
      </c>
      <c r="R47" s="7">
        <f t="shared" si="13"/>
        <v>77.2849148661567</v>
      </c>
      <c r="S47" s="7">
        <f t="shared" si="13"/>
        <v>0.556550020224</v>
      </c>
    </row>
    <row r="48" spans="1:19" ht="12.75">
      <c r="A48">
        <v>10</v>
      </c>
      <c r="B48" s="1" t="s">
        <v>379</v>
      </c>
      <c r="C48" s="19">
        <v>37735</v>
      </c>
      <c r="D48" s="10">
        <v>0.3645833333333333</v>
      </c>
      <c r="E48" s="5">
        <f t="shared" si="10"/>
        <v>9246</v>
      </c>
      <c r="F48" s="34">
        <v>226</v>
      </c>
      <c r="G48" s="7">
        <f t="shared" si="11"/>
        <v>6.399642</v>
      </c>
      <c r="H48" s="5">
        <v>18.02</v>
      </c>
      <c r="I48" s="5">
        <v>68.8</v>
      </c>
      <c r="J48" s="5">
        <v>138.55035416666666</v>
      </c>
      <c r="K48" s="23">
        <v>1</v>
      </c>
      <c r="L48" s="7">
        <f t="shared" si="12"/>
        <v>115.32154883999999</v>
      </c>
      <c r="M48" s="7">
        <f t="shared" si="12"/>
        <v>440.29536959999996</v>
      </c>
      <c r="N48" s="7">
        <f t="shared" si="12"/>
        <v>886.672665639875</v>
      </c>
      <c r="O48" s="7">
        <f t="shared" si="12"/>
        <v>6.399642</v>
      </c>
      <c r="P48" s="7">
        <f t="shared" si="13"/>
        <v>205.46942060159998</v>
      </c>
      <c r="Q48" s="7">
        <f t="shared" si="13"/>
        <v>796.6680314111999</v>
      </c>
      <c r="R48" s="7">
        <f t="shared" si="13"/>
        <v>1639.274262086736</v>
      </c>
      <c r="S48" s="7">
        <f t="shared" si="13"/>
        <v>11.78668620288</v>
      </c>
    </row>
    <row r="49" spans="1:19" ht="12.75">
      <c r="A49">
        <v>11</v>
      </c>
      <c r="B49" s="1" t="s">
        <v>380</v>
      </c>
      <c r="C49" s="19">
        <v>37755</v>
      </c>
      <c r="D49" s="10">
        <v>0.33888888888888885</v>
      </c>
      <c r="E49" s="5">
        <f t="shared" si="10"/>
        <v>9266</v>
      </c>
      <c r="F49" s="34">
        <v>278</v>
      </c>
      <c r="G49" s="7">
        <f t="shared" si="11"/>
        <v>7.872126</v>
      </c>
      <c r="H49" s="5">
        <v>15.56</v>
      </c>
      <c r="I49" s="5">
        <v>61.2</v>
      </c>
      <c r="J49" s="5">
        <v>128.38152083333333</v>
      </c>
      <c r="K49" s="23">
        <v>0.92</v>
      </c>
      <c r="L49" s="7">
        <f t="shared" si="12"/>
        <v>122.49028056</v>
      </c>
      <c r="M49" s="7">
        <f t="shared" si="12"/>
        <v>481.7741112</v>
      </c>
      <c r="N49" s="7">
        <f t="shared" si="12"/>
        <v>1010.6355080716249</v>
      </c>
      <c r="O49" s="7">
        <f t="shared" si="12"/>
        <v>7.2423559200000005</v>
      </c>
      <c r="P49" s="7">
        <f t="shared" si="13"/>
        <v>75.80637960537601</v>
      </c>
      <c r="Q49" s="7">
        <f t="shared" si="13"/>
        <v>298.38327880032006</v>
      </c>
      <c r="R49" s="7">
        <f t="shared" si="13"/>
        <v>622.5359524211174</v>
      </c>
      <c r="S49" s="7">
        <f t="shared" si="13"/>
        <v>4.781955673152001</v>
      </c>
    </row>
    <row r="50" spans="1:19" ht="12.75">
      <c r="A50">
        <v>12</v>
      </c>
      <c r="B50" s="1" t="s">
        <v>381</v>
      </c>
      <c r="C50" s="19">
        <v>37762</v>
      </c>
      <c r="D50" s="10">
        <v>0.5694444444444444</v>
      </c>
      <c r="E50" s="5">
        <f t="shared" si="10"/>
        <v>9273</v>
      </c>
      <c r="F50" s="34">
        <v>329</v>
      </c>
      <c r="G50" s="7">
        <f t="shared" si="11"/>
        <v>9.316293</v>
      </c>
      <c r="H50" s="5">
        <v>13.76</v>
      </c>
      <c r="I50" s="5">
        <v>54.2</v>
      </c>
      <c r="J50" s="5">
        <v>112.49271875000001</v>
      </c>
      <c r="K50" s="23">
        <v>0.92</v>
      </c>
      <c r="L50" s="7">
        <f t="shared" si="12"/>
        <v>128.19219168</v>
      </c>
      <c r="M50" s="7">
        <f t="shared" si="12"/>
        <v>504.94308060000003</v>
      </c>
      <c r="N50" s="7">
        <f t="shared" si="12"/>
        <v>1048.0151282415939</v>
      </c>
      <c r="O50" s="7">
        <f t="shared" si="12"/>
        <v>8.570989560000001</v>
      </c>
      <c r="P50" s="7">
        <f t="shared" si="13"/>
        <v>78.623626608576</v>
      </c>
      <c r="Q50" s="7">
        <f t="shared" si="13"/>
        <v>318.68698100198395</v>
      </c>
      <c r="R50" s="7">
        <f t="shared" si="13"/>
        <v>915.4825228686595</v>
      </c>
      <c r="S50" s="7">
        <f t="shared" si="13"/>
        <v>6.459973067520001</v>
      </c>
    </row>
    <row r="51" spans="1:19" ht="12.75">
      <c r="A51">
        <v>13</v>
      </c>
      <c r="B51" s="1" t="s">
        <v>382</v>
      </c>
      <c r="C51" s="19">
        <v>37769</v>
      </c>
      <c r="D51" s="10">
        <v>0.4277777777777778</v>
      </c>
      <c r="E51" s="5">
        <f t="shared" si="10"/>
        <v>9280</v>
      </c>
      <c r="F51" s="34">
        <v>982</v>
      </c>
      <c r="G51" s="7">
        <f t="shared" si="11"/>
        <v>27.807294</v>
      </c>
      <c r="H51" s="5">
        <v>4.74</v>
      </c>
      <c r="I51" s="5">
        <v>19.74</v>
      </c>
      <c r="J51" s="5">
        <v>71.18183333333333</v>
      </c>
      <c r="K51" s="23">
        <v>0.46</v>
      </c>
      <c r="L51" s="7">
        <f t="shared" si="12"/>
        <v>131.80657356</v>
      </c>
      <c r="M51" s="7">
        <f t="shared" si="12"/>
        <v>548.91598356</v>
      </c>
      <c r="N51" s="7">
        <f t="shared" si="12"/>
        <v>1979.374166959</v>
      </c>
      <c r="O51" s="7">
        <f t="shared" si="12"/>
        <v>12.79135524</v>
      </c>
      <c r="P51" s="7">
        <f t="shared" si="13"/>
        <v>11.321687535552</v>
      </c>
      <c r="Q51" s="7">
        <f t="shared" si="13"/>
        <v>46.145943196992</v>
      </c>
      <c r="R51" s="7">
        <f t="shared" si="13"/>
        <v>176.1616517114988</v>
      </c>
      <c r="S51" s="7">
        <f t="shared" si="13"/>
        <v>1.1490648958079999</v>
      </c>
    </row>
    <row r="52" spans="1:19" ht="12.75">
      <c r="A52">
        <v>14</v>
      </c>
      <c r="B52" s="1" t="s">
        <v>383</v>
      </c>
      <c r="C52" s="19">
        <v>37770</v>
      </c>
      <c r="D52" s="10">
        <v>0.4791666666666667</v>
      </c>
      <c r="E52" s="5">
        <f t="shared" si="10"/>
        <v>9281</v>
      </c>
      <c r="F52" s="34">
        <v>1060</v>
      </c>
      <c r="G52" s="7">
        <f t="shared" si="11"/>
        <v>30.016019999999997</v>
      </c>
      <c r="H52" s="5">
        <v>4.34</v>
      </c>
      <c r="I52" s="5">
        <v>17.3</v>
      </c>
      <c r="J52" s="5">
        <v>69.91072916666667</v>
      </c>
      <c r="K52" s="23">
        <v>0.46</v>
      </c>
      <c r="L52" s="7">
        <f t="shared" si="12"/>
        <v>130.2695268</v>
      </c>
      <c r="M52" s="7">
        <f t="shared" si="12"/>
        <v>519.277146</v>
      </c>
      <c r="N52" s="7">
        <f t="shared" si="12"/>
        <v>2098.44184488125</v>
      </c>
      <c r="O52" s="7">
        <f t="shared" si="12"/>
        <v>13.8073692</v>
      </c>
      <c r="P52" s="7">
        <f t="shared" si="13"/>
        <v>67.19027676019199</v>
      </c>
      <c r="Q52" s="7">
        <f t="shared" si="13"/>
        <v>310.25779754112</v>
      </c>
      <c r="R52" s="7">
        <f t="shared" si="13"/>
        <v>954.8200360719161</v>
      </c>
      <c r="S52" s="7">
        <f t="shared" si="13"/>
        <v>6.750529953408</v>
      </c>
    </row>
    <row r="53" spans="1:19" ht="12.75">
      <c r="A53">
        <v>15</v>
      </c>
      <c r="B53" s="1" t="s">
        <v>384</v>
      </c>
      <c r="C53" s="19">
        <v>37776</v>
      </c>
      <c r="D53" s="10">
        <v>0.48055555555555557</v>
      </c>
      <c r="E53" s="5">
        <f t="shared" si="10"/>
        <v>9287</v>
      </c>
      <c r="F53" s="34">
        <v>831</v>
      </c>
      <c r="G53" s="7">
        <f t="shared" si="11"/>
        <v>23.531426999999997</v>
      </c>
      <c r="H53" s="5">
        <v>5.48</v>
      </c>
      <c r="I53" s="5">
        <v>28.8</v>
      </c>
      <c r="J53" s="5">
        <v>67.36852083333333</v>
      </c>
      <c r="K53" s="23">
        <v>0.52</v>
      </c>
      <c r="L53" s="7">
        <f t="shared" si="12"/>
        <v>128.95221996</v>
      </c>
      <c r="M53" s="7">
        <f t="shared" si="12"/>
        <v>677.7050975999999</v>
      </c>
      <c r="N53" s="7">
        <f t="shared" si="12"/>
        <v>1585.2774300875624</v>
      </c>
      <c r="O53" s="7">
        <f t="shared" si="12"/>
        <v>12.236342039999998</v>
      </c>
      <c r="P53" s="7">
        <f t="shared" si="13"/>
        <v>75.35776085006401</v>
      </c>
      <c r="Q53" s="7">
        <f t="shared" si="13"/>
        <v>384.3966556180799</v>
      </c>
      <c r="R53" s="7">
        <f t="shared" si="13"/>
        <v>860.1264620581672</v>
      </c>
      <c r="S53" s="7">
        <f t="shared" si="13"/>
        <v>6.577886414735999</v>
      </c>
    </row>
    <row r="54" spans="1:19" ht="12.75">
      <c r="A54">
        <v>16</v>
      </c>
      <c r="B54" s="1" t="s">
        <v>385</v>
      </c>
      <c r="C54" s="19">
        <v>37783</v>
      </c>
      <c r="D54" s="10">
        <v>0.5694444444444444</v>
      </c>
      <c r="E54" s="5">
        <f t="shared" si="10"/>
        <v>9294</v>
      </c>
      <c r="F54" s="34">
        <v>611</v>
      </c>
      <c r="G54" s="7">
        <f t="shared" si="11"/>
        <v>17.301686999999998</v>
      </c>
      <c r="H54" s="5">
        <v>6.95</v>
      </c>
      <c r="I54" s="5">
        <v>34.3</v>
      </c>
      <c r="J54" s="5">
        <v>72.77071354166668</v>
      </c>
      <c r="K54" s="23">
        <v>0.55</v>
      </c>
      <c r="L54" s="7">
        <f t="shared" si="12"/>
        <v>120.24672464999999</v>
      </c>
      <c r="M54" s="7">
        <f t="shared" si="12"/>
        <v>593.4478640999998</v>
      </c>
      <c r="N54" s="7">
        <f t="shared" si="12"/>
        <v>1259.056108464578</v>
      </c>
      <c r="O54" s="7">
        <f t="shared" si="12"/>
        <v>9.515927849999999</v>
      </c>
      <c r="P54" s="7">
        <f t="shared" si="13"/>
        <v>71.47115881415999</v>
      </c>
      <c r="Q54" s="7">
        <f t="shared" si="13"/>
        <v>330.59665722383994</v>
      </c>
      <c r="R54" s="7">
        <f t="shared" si="13"/>
        <v>1028.3688318065385</v>
      </c>
      <c r="S54" s="7">
        <f t="shared" si="13"/>
        <v>5.31808890984</v>
      </c>
    </row>
    <row r="55" spans="1:19" ht="12.75">
      <c r="A55">
        <v>17</v>
      </c>
      <c r="B55" s="1" t="s">
        <v>386</v>
      </c>
      <c r="C55" s="19">
        <v>37790</v>
      </c>
      <c r="D55" s="10">
        <v>0.3375</v>
      </c>
      <c r="E55" s="5">
        <f t="shared" si="10"/>
        <v>9301</v>
      </c>
      <c r="F55" s="34">
        <v>500</v>
      </c>
      <c r="G55" s="7">
        <f t="shared" si="11"/>
        <v>14.1585</v>
      </c>
      <c r="H55" s="5">
        <v>8.2</v>
      </c>
      <c r="I55" s="5">
        <v>35.3</v>
      </c>
      <c r="J55" s="5">
        <v>151.26139583333335</v>
      </c>
      <c r="K55" s="23">
        <v>0.57</v>
      </c>
      <c r="L55" s="7">
        <f t="shared" si="12"/>
        <v>116.09969999999998</v>
      </c>
      <c r="M55" s="7">
        <f t="shared" si="12"/>
        <v>499.79504999999995</v>
      </c>
      <c r="N55" s="7">
        <f t="shared" si="12"/>
        <v>2141.6344729062503</v>
      </c>
      <c r="O55" s="7">
        <f t="shared" si="12"/>
        <v>8.070345</v>
      </c>
      <c r="P55" s="7">
        <f t="shared" si="13"/>
        <v>61.847807592959995</v>
      </c>
      <c r="Q55" s="7">
        <f t="shared" si="13"/>
        <v>266.24121844032</v>
      </c>
      <c r="R55" s="7">
        <f t="shared" si="13"/>
        <v>817.632820332496</v>
      </c>
      <c r="S55" s="7">
        <f t="shared" si="13"/>
        <v>4.101314668992</v>
      </c>
    </row>
    <row r="56" spans="1:19" ht="12.75">
      <c r="A56">
        <v>18</v>
      </c>
      <c r="B56" s="1" t="s">
        <v>387</v>
      </c>
      <c r="C56" s="19">
        <v>37796</v>
      </c>
      <c r="D56" s="10">
        <v>0.34722222222222227</v>
      </c>
      <c r="E56" s="5">
        <f t="shared" si="10"/>
        <v>9307</v>
      </c>
      <c r="F56" s="34">
        <v>338</v>
      </c>
      <c r="G56" s="7">
        <f t="shared" si="11"/>
        <v>9.571145999999999</v>
      </c>
      <c r="H56" s="5">
        <v>12.8</v>
      </c>
      <c r="I56" s="5">
        <v>55.1</v>
      </c>
      <c r="J56" s="5">
        <v>105.81942187499999</v>
      </c>
      <c r="K56" s="23">
        <v>0.81</v>
      </c>
      <c r="L56" s="7">
        <f t="shared" si="12"/>
        <v>122.51066879999999</v>
      </c>
      <c r="M56" s="7">
        <f t="shared" si="12"/>
        <v>527.3701446</v>
      </c>
      <c r="N56" s="7">
        <f t="shared" si="12"/>
        <v>1012.8131364012186</v>
      </c>
      <c r="O56" s="7">
        <f t="shared" si="12"/>
        <v>7.75262826</v>
      </c>
      <c r="P56" s="7">
        <f t="shared" si="13"/>
        <v>53.401106556288006</v>
      </c>
      <c r="Q56" s="7">
        <f t="shared" si="13"/>
        <v>218.81605182336003</v>
      </c>
      <c r="R56" s="7">
        <f t="shared" si="13"/>
        <v>435.46876683009833</v>
      </c>
      <c r="S56" s="7">
        <f t="shared" si="13"/>
        <v>3.740638548096</v>
      </c>
    </row>
    <row r="57" spans="1:19" ht="12.75">
      <c r="A57">
        <v>19</v>
      </c>
      <c r="B57" s="1" t="s">
        <v>388</v>
      </c>
      <c r="C57" s="19">
        <v>37804</v>
      </c>
      <c r="D57" s="10">
        <v>0.720138888888889</v>
      </c>
      <c r="E57" s="5">
        <f t="shared" si="10"/>
        <v>9315</v>
      </c>
      <c r="F57" s="34">
        <v>241</v>
      </c>
      <c r="G57" s="7">
        <f t="shared" si="11"/>
        <v>6.824396999999999</v>
      </c>
      <c r="H57" s="5">
        <v>4.69</v>
      </c>
      <c r="I57" s="5">
        <v>15.5</v>
      </c>
      <c r="J57" s="5">
        <v>36.22646875</v>
      </c>
      <c r="K57" s="23">
        <v>0.45</v>
      </c>
      <c r="L57" s="7">
        <f t="shared" si="12"/>
        <v>32.00642193</v>
      </c>
      <c r="M57" s="7">
        <f t="shared" si="12"/>
        <v>105.77815349999999</v>
      </c>
      <c r="N57" s="7">
        <f t="shared" si="12"/>
        <v>247.22380465809374</v>
      </c>
      <c r="O57" s="7">
        <f t="shared" si="12"/>
        <v>3.07097865</v>
      </c>
      <c r="P57" s="7">
        <f t="shared" si="13"/>
        <v>36.507325261679995</v>
      </c>
      <c r="Q57" s="7">
        <f t="shared" si="13"/>
        <v>141.4880652456</v>
      </c>
      <c r="R57" s="7">
        <f t="shared" si="13"/>
        <v>249.88187898675224</v>
      </c>
      <c r="S57" s="7">
        <f t="shared" si="13"/>
        <v>2.19587461272</v>
      </c>
    </row>
    <row r="58" spans="1:19" ht="12.75">
      <c r="A58">
        <v>20</v>
      </c>
      <c r="B58" s="1" t="s">
        <v>389</v>
      </c>
      <c r="C58" s="19">
        <v>37809</v>
      </c>
      <c r="D58" s="10">
        <v>0.4166666666666667</v>
      </c>
      <c r="E58" s="5">
        <f t="shared" si="10"/>
        <v>9320</v>
      </c>
      <c r="F58" s="34">
        <v>216</v>
      </c>
      <c r="G58" s="7">
        <f t="shared" si="11"/>
        <v>6.116472</v>
      </c>
      <c r="H58" s="5">
        <v>22.4</v>
      </c>
      <c r="I58" s="5">
        <v>89.8</v>
      </c>
      <c r="J58" s="5">
        <v>148.7191875</v>
      </c>
      <c r="K58" s="23">
        <v>1.16</v>
      </c>
      <c r="L58" s="7">
        <f t="shared" si="12"/>
        <v>137.00897279999998</v>
      </c>
      <c r="M58" s="7">
        <f t="shared" si="12"/>
        <v>549.2591856</v>
      </c>
      <c r="N58" s="7">
        <f t="shared" si="12"/>
        <v>909.6367462065</v>
      </c>
      <c r="O58" s="7">
        <f t="shared" si="12"/>
        <v>7.095107519999999</v>
      </c>
      <c r="P58" s="7">
        <f t="shared" si="13"/>
        <v>21.06072570816</v>
      </c>
      <c r="Q58" s="7">
        <f t="shared" si="13"/>
        <v>82.88700331967999</v>
      </c>
      <c r="R58" s="7">
        <f t="shared" si="13"/>
        <v>147.78098522985601</v>
      </c>
      <c r="S58" s="7">
        <f t="shared" si="13"/>
        <v>1.1119746096</v>
      </c>
    </row>
    <row r="59" spans="1:19" ht="12.75">
      <c r="A59">
        <v>21</v>
      </c>
      <c r="B59" s="1" t="s">
        <v>390</v>
      </c>
      <c r="C59" s="19">
        <v>37811</v>
      </c>
      <c r="D59" s="10">
        <v>0.35555555555555557</v>
      </c>
      <c r="E59" s="5">
        <f t="shared" si="10"/>
        <v>9322</v>
      </c>
      <c r="F59" s="34">
        <v>206</v>
      </c>
      <c r="G59" s="7">
        <f t="shared" si="11"/>
        <v>5.833302</v>
      </c>
      <c r="H59" s="5">
        <v>18.3</v>
      </c>
      <c r="I59" s="5">
        <v>70.3</v>
      </c>
      <c r="J59" s="5">
        <v>137.27925000000002</v>
      </c>
      <c r="K59" s="23">
        <v>0.99</v>
      </c>
      <c r="L59" s="7">
        <f t="shared" si="12"/>
        <v>106.7494266</v>
      </c>
      <c r="M59" s="7">
        <f t="shared" si="12"/>
        <v>410.0811306</v>
      </c>
      <c r="N59" s="7">
        <f t="shared" si="12"/>
        <v>800.7913235835001</v>
      </c>
      <c r="O59" s="7">
        <f t="shared" si="12"/>
        <v>5.77496898</v>
      </c>
      <c r="P59" s="7">
        <f t="shared" si="13"/>
        <v>0</v>
      </c>
      <c r="Q59" s="7">
        <f t="shared" si="13"/>
        <v>0</v>
      </c>
      <c r="R59" s="7">
        <f t="shared" si="13"/>
        <v>0</v>
      </c>
      <c r="S59" s="7">
        <f t="shared" si="13"/>
        <v>0</v>
      </c>
    </row>
    <row r="60" spans="1:19" ht="12.75">
      <c r="A60">
        <v>22</v>
      </c>
      <c r="B60" s="1" t="s">
        <v>391</v>
      </c>
      <c r="C60" s="19">
        <v>37811</v>
      </c>
      <c r="D60" s="10">
        <v>0.7291666666666666</v>
      </c>
      <c r="E60" s="5">
        <f t="shared" si="10"/>
        <v>9322</v>
      </c>
      <c r="F60" s="34">
        <v>192</v>
      </c>
      <c r="G60" s="7">
        <f t="shared" si="11"/>
        <v>5.436864</v>
      </c>
      <c r="H60" s="5">
        <v>17.4</v>
      </c>
      <c r="I60" s="5">
        <v>65.3</v>
      </c>
      <c r="J60" s="5">
        <v>135.69036979166668</v>
      </c>
      <c r="K60" s="23">
        <v>0.99</v>
      </c>
      <c r="L60" s="7">
        <f t="shared" si="12"/>
        <v>94.6014336</v>
      </c>
      <c r="M60" s="7">
        <f t="shared" si="12"/>
        <v>355.0272192</v>
      </c>
      <c r="N60" s="7">
        <f t="shared" si="12"/>
        <v>737.730086667</v>
      </c>
      <c r="O60" s="7">
        <f t="shared" si="12"/>
        <v>5.38249536</v>
      </c>
      <c r="P60" s="7">
        <f t="shared" si="13"/>
        <v>59.57663920991999</v>
      </c>
      <c r="Q60" s="7">
        <f t="shared" si="13"/>
        <v>223.71167601216</v>
      </c>
      <c r="R60" s="7">
        <f t="shared" si="13"/>
        <v>441.9886076452161</v>
      </c>
      <c r="S60" s="7">
        <f t="shared" si="13"/>
        <v>3.26295431784</v>
      </c>
    </row>
    <row r="61" spans="1:19" ht="12.75">
      <c r="A61">
        <v>23</v>
      </c>
      <c r="B61" s="1" t="s">
        <v>392</v>
      </c>
      <c r="C61" s="19">
        <v>37818</v>
      </c>
      <c r="D61" s="10">
        <v>0.3284722222222222</v>
      </c>
      <c r="E61" s="5">
        <f t="shared" si="10"/>
        <v>9329</v>
      </c>
      <c r="F61" s="34">
        <v>169</v>
      </c>
      <c r="G61" s="7">
        <f t="shared" si="11"/>
        <v>4.785572999999999</v>
      </c>
      <c r="H61" s="5">
        <v>21.4</v>
      </c>
      <c r="I61" s="5">
        <v>80.4</v>
      </c>
      <c r="J61" s="5">
        <v>151.26139583333335</v>
      </c>
      <c r="K61" s="23">
        <v>1.13</v>
      </c>
      <c r="L61" s="7">
        <f t="shared" si="12"/>
        <v>102.41126219999998</v>
      </c>
      <c r="M61" s="7">
        <f t="shared" si="12"/>
        <v>384.7600692</v>
      </c>
      <c r="N61" s="7">
        <f t="shared" si="12"/>
        <v>723.8724518423126</v>
      </c>
      <c r="O61" s="7">
        <f t="shared" si="12"/>
        <v>5.4076974899999986</v>
      </c>
      <c r="P61" s="7">
        <f t="shared" si="13"/>
        <v>60.676136216639996</v>
      </c>
      <c r="Q61" s="7">
        <f t="shared" si="13"/>
        <v>227.12319943487998</v>
      </c>
      <c r="R61" s="7">
        <f t="shared" si="13"/>
        <v>421.7025420038545</v>
      </c>
      <c r="S61" s="7">
        <f t="shared" si="13"/>
        <v>3.1709870448479998</v>
      </c>
    </row>
    <row r="62" spans="1:19" ht="12.75">
      <c r="A62">
        <v>24</v>
      </c>
      <c r="B62" s="1" t="s">
        <v>393</v>
      </c>
      <c r="C62" s="19">
        <v>37825</v>
      </c>
      <c r="D62" s="10">
        <v>0.579861111111111</v>
      </c>
      <c r="E62" s="5">
        <f t="shared" si="10"/>
        <v>9336</v>
      </c>
      <c r="F62" s="34">
        <v>147</v>
      </c>
      <c r="G62" s="7">
        <f t="shared" si="11"/>
        <v>4.162599</v>
      </c>
      <c r="H62" s="5">
        <v>23.6</v>
      </c>
      <c r="I62" s="5">
        <v>88</v>
      </c>
      <c r="J62" s="5">
        <v>161.112453125</v>
      </c>
      <c r="K62" s="23">
        <v>1.22</v>
      </c>
      <c r="L62" s="7">
        <f t="shared" si="12"/>
        <v>98.2373364</v>
      </c>
      <c r="M62" s="7">
        <f t="shared" si="12"/>
        <v>366.308712</v>
      </c>
      <c r="N62" s="7">
        <f t="shared" si="12"/>
        <v>670.6465362656719</v>
      </c>
      <c r="O62" s="7">
        <f t="shared" si="12"/>
        <v>5.07837078</v>
      </c>
      <c r="P62" s="7">
        <f t="shared" si="13"/>
        <v>173.61263249568</v>
      </c>
      <c r="Q62" s="7">
        <f t="shared" si="13"/>
        <v>644.284694592</v>
      </c>
      <c r="R62" s="7">
        <f t="shared" si="13"/>
        <v>1089.0719240033854</v>
      </c>
      <c r="S62" s="7">
        <f t="shared" si="13"/>
        <v>8.624886098975999</v>
      </c>
    </row>
    <row r="63" spans="1:19" ht="12.75">
      <c r="A63">
        <v>25</v>
      </c>
      <c r="B63" s="1" t="s">
        <v>394</v>
      </c>
      <c r="C63" s="19">
        <v>37846</v>
      </c>
      <c r="D63" s="10">
        <v>0.6069444444444444</v>
      </c>
      <c r="E63" s="5">
        <f t="shared" si="10"/>
        <v>9357</v>
      </c>
      <c r="F63" s="34">
        <v>115</v>
      </c>
      <c r="G63" s="7">
        <f t="shared" si="11"/>
        <v>3.256455</v>
      </c>
      <c r="H63" s="5">
        <v>28.6</v>
      </c>
      <c r="I63" s="5">
        <v>105.6</v>
      </c>
      <c r="J63" s="5">
        <v>162.70133333333334</v>
      </c>
      <c r="K63" s="23">
        <v>1.36</v>
      </c>
      <c r="L63" s="7">
        <f t="shared" si="12"/>
        <v>93.134613</v>
      </c>
      <c r="M63" s="7">
        <f t="shared" si="12"/>
        <v>343.881648</v>
      </c>
      <c r="N63" s="7">
        <f t="shared" si="12"/>
        <v>529.82957044</v>
      </c>
      <c r="O63" s="7">
        <f t="shared" si="12"/>
        <v>4.4287788</v>
      </c>
      <c r="P63" s="7">
        <f t="shared" si="13"/>
        <v>64.9128940416</v>
      </c>
      <c r="Q63" s="7">
        <f t="shared" si="13"/>
        <v>238.76749416959998</v>
      </c>
      <c r="R63" s="7">
        <f t="shared" si="13"/>
        <v>332.60051284371</v>
      </c>
      <c r="S63" s="7">
        <f t="shared" si="13"/>
        <v>3.037684654079999</v>
      </c>
    </row>
    <row r="64" spans="1:19" ht="12.75">
      <c r="A64">
        <v>26</v>
      </c>
      <c r="B64" s="1" t="s">
        <v>395</v>
      </c>
      <c r="C64" s="19">
        <v>37854</v>
      </c>
      <c r="D64" s="10">
        <v>0.4798611111111111</v>
      </c>
      <c r="E64" s="5">
        <f t="shared" si="10"/>
        <v>9365</v>
      </c>
      <c r="F64" s="34">
        <v>110</v>
      </c>
      <c r="G64" s="7">
        <f t="shared" si="11"/>
        <v>3.11487</v>
      </c>
      <c r="H64" s="5">
        <v>30.4</v>
      </c>
      <c r="I64" s="5">
        <v>111.4</v>
      </c>
      <c r="J64" s="5">
        <v>138.86813020833335</v>
      </c>
      <c r="K64" s="23">
        <v>1.4</v>
      </c>
      <c r="L64" s="7">
        <f t="shared" si="12"/>
        <v>94.69204799999999</v>
      </c>
      <c r="M64" s="7">
        <f t="shared" si="12"/>
        <v>346.996518</v>
      </c>
      <c r="N64" s="7">
        <f t="shared" si="12"/>
        <v>432.55617274203126</v>
      </c>
      <c r="O64" s="7">
        <f t="shared" si="12"/>
        <v>4.360817999999999</v>
      </c>
      <c r="P64" s="7">
        <f t="shared" si="13"/>
        <v>40.4800349904</v>
      </c>
      <c r="Q64" s="7">
        <f t="shared" si="13"/>
        <v>147.46569333120001</v>
      </c>
      <c r="R64" s="7">
        <f t="shared" si="13"/>
        <v>188.0596226051494</v>
      </c>
      <c r="S64" s="7">
        <f t="shared" si="13"/>
        <v>1.8581841935999999</v>
      </c>
    </row>
    <row r="65" spans="1:19" ht="12.75">
      <c r="A65">
        <v>27</v>
      </c>
      <c r="B65" s="1" t="s">
        <v>396</v>
      </c>
      <c r="C65" s="19">
        <v>37859</v>
      </c>
      <c r="D65" s="10">
        <v>0.4791666666666667</v>
      </c>
      <c r="E65" s="5">
        <f t="shared" si="10"/>
        <v>9370</v>
      </c>
      <c r="F65" s="34">
        <v>107</v>
      </c>
      <c r="G65" s="7">
        <f t="shared" si="11"/>
        <v>3.029919</v>
      </c>
      <c r="H65" s="5">
        <v>30.6</v>
      </c>
      <c r="I65" s="5">
        <v>110.8</v>
      </c>
      <c r="J65" s="5">
        <v>144.58809895833332</v>
      </c>
      <c r="K65" s="23">
        <v>1.4</v>
      </c>
      <c r="L65" s="7">
        <f t="shared" si="12"/>
        <v>92.7155214</v>
      </c>
      <c r="M65" s="7">
        <f t="shared" si="12"/>
        <v>335.7150252</v>
      </c>
      <c r="N65" s="7">
        <f t="shared" si="12"/>
        <v>438.09022820773436</v>
      </c>
      <c r="O65" s="7">
        <f t="shared" si="12"/>
        <v>4.2418866</v>
      </c>
      <c r="P65" s="7">
        <f t="shared" si="13"/>
        <v>8.16769204992</v>
      </c>
      <c r="Q65" s="7">
        <f t="shared" si="13"/>
        <v>29.73877618176</v>
      </c>
      <c r="R65" s="7">
        <f t="shared" si="13"/>
        <v>42.55117430620072</v>
      </c>
      <c r="S65" s="7">
        <f t="shared" si="13"/>
        <v>0.371734702272</v>
      </c>
    </row>
    <row r="66" spans="1:19" ht="12.75">
      <c r="A66">
        <v>28</v>
      </c>
      <c r="B66" s="1" t="s">
        <v>397</v>
      </c>
      <c r="C66" s="19">
        <v>37860</v>
      </c>
      <c r="D66" s="10">
        <v>0.40625</v>
      </c>
      <c r="E66" s="5">
        <f t="shared" si="10"/>
        <v>9371</v>
      </c>
      <c r="F66" s="34">
        <v>107</v>
      </c>
      <c r="G66" s="7">
        <f t="shared" si="11"/>
        <v>3.029919</v>
      </c>
      <c r="H66" s="5">
        <v>31.8</v>
      </c>
      <c r="I66" s="5">
        <v>116.4</v>
      </c>
      <c r="J66" s="5">
        <v>180.49679166666667</v>
      </c>
      <c r="K66" s="23">
        <v>1.44</v>
      </c>
      <c r="L66" s="7">
        <f t="shared" si="12"/>
        <v>96.3514242</v>
      </c>
      <c r="M66" s="7">
        <f t="shared" si="12"/>
        <v>352.6825716</v>
      </c>
      <c r="N66" s="7">
        <f t="shared" si="12"/>
        <v>546.890658509875</v>
      </c>
      <c r="O66" s="7">
        <f t="shared" si="12"/>
        <v>4.36308336</v>
      </c>
      <c r="P66" s="7">
        <f t="shared" si="13"/>
        <v>59.006339360640006</v>
      </c>
      <c r="Q66" s="7">
        <f t="shared" si="13"/>
        <v>216.05116182048002</v>
      </c>
      <c r="R66" s="7">
        <f t="shared" si="13"/>
        <v>283.5913063730954</v>
      </c>
      <c r="S66" s="7">
        <f t="shared" si="13"/>
        <v>2.620467866016</v>
      </c>
    </row>
    <row r="67" spans="1:19" ht="12.75">
      <c r="A67">
        <v>29</v>
      </c>
      <c r="B67" s="1" t="s">
        <v>398</v>
      </c>
      <c r="C67" s="19">
        <v>37867</v>
      </c>
      <c r="D67" s="10">
        <v>0.475</v>
      </c>
      <c r="E67" s="5">
        <f t="shared" si="10"/>
        <v>9378</v>
      </c>
      <c r="F67" s="34">
        <v>107</v>
      </c>
      <c r="G67" s="7">
        <f t="shared" si="11"/>
        <v>3.029919</v>
      </c>
      <c r="H67" s="5">
        <v>32.6</v>
      </c>
      <c r="I67" s="5">
        <v>119.4</v>
      </c>
      <c r="J67" s="5">
        <v>129.01707291666668</v>
      </c>
      <c r="K67" s="23">
        <v>1.42</v>
      </c>
      <c r="L67" s="7">
        <f t="shared" si="12"/>
        <v>98.7753594</v>
      </c>
      <c r="M67" s="7">
        <f t="shared" si="12"/>
        <v>361.77232860000004</v>
      </c>
      <c r="N67" s="7">
        <f t="shared" si="12"/>
        <v>390.91128055459376</v>
      </c>
      <c r="O67" s="7">
        <f t="shared" si="12"/>
        <v>4.30248498</v>
      </c>
      <c r="P67" s="7">
        <f t="shared" si="13"/>
        <v>120.40006007232</v>
      </c>
      <c r="Q67" s="7">
        <f t="shared" si="13"/>
        <v>442.98083608127996</v>
      </c>
      <c r="R67" s="7">
        <f t="shared" si="13"/>
        <v>578.8508420513764</v>
      </c>
      <c r="S67" s="7">
        <f t="shared" si="13"/>
        <v>5.277243109824</v>
      </c>
    </row>
    <row r="68" spans="1:19" ht="12.75">
      <c r="A68">
        <v>30</v>
      </c>
      <c r="B68" s="1" t="s">
        <v>399</v>
      </c>
      <c r="C68" s="19">
        <v>37881</v>
      </c>
      <c r="D68" s="10">
        <v>0.4159722222222222</v>
      </c>
      <c r="E68" s="5">
        <f t="shared" si="10"/>
        <v>9392</v>
      </c>
      <c r="F68" s="34">
        <v>110</v>
      </c>
      <c r="G68" s="7">
        <f t="shared" si="11"/>
        <v>3.11487</v>
      </c>
      <c r="H68" s="5">
        <v>32.2</v>
      </c>
      <c r="I68" s="5">
        <v>119</v>
      </c>
      <c r="J68" s="5">
        <v>181.76789583333334</v>
      </c>
      <c r="K68" s="23">
        <v>1.42</v>
      </c>
      <c r="L68" s="7">
        <f t="shared" si="12"/>
        <v>100.29881400000001</v>
      </c>
      <c r="M68" s="7">
        <f t="shared" si="12"/>
        <v>370.66952999999995</v>
      </c>
      <c r="N68" s="7">
        <f t="shared" si="12"/>
        <v>566.183365694375</v>
      </c>
      <c r="O68" s="7">
        <f t="shared" si="12"/>
        <v>4.4231153999999995</v>
      </c>
      <c r="P68" s="7">
        <f t="shared" si="13"/>
        <v>60.23000074896</v>
      </c>
      <c r="Q68" s="7">
        <f t="shared" si="13"/>
        <v>221.45787840959997</v>
      </c>
      <c r="R68" s="7">
        <f t="shared" si="13"/>
        <v>294.53571361783804</v>
      </c>
      <c r="S68" s="7">
        <f t="shared" si="13"/>
        <v>2.5899833695679995</v>
      </c>
    </row>
    <row r="69" spans="1:19" ht="12.75">
      <c r="A69">
        <v>31</v>
      </c>
      <c r="B69" s="1" t="s">
        <v>400</v>
      </c>
      <c r="C69" s="19">
        <v>37888</v>
      </c>
      <c r="D69" s="10">
        <v>0.43333333333333335</v>
      </c>
      <c r="E69" s="5">
        <f t="shared" si="10"/>
        <v>9399</v>
      </c>
      <c r="F69" s="34">
        <v>103</v>
      </c>
      <c r="G69" s="7">
        <f t="shared" si="11"/>
        <v>2.916651</v>
      </c>
      <c r="H69" s="5">
        <v>33.9</v>
      </c>
      <c r="I69" s="5">
        <v>124</v>
      </c>
      <c r="J69" s="5">
        <v>139.82145833333334</v>
      </c>
      <c r="K69" s="23">
        <v>1.42</v>
      </c>
      <c r="L69" s="7">
        <f t="shared" si="12"/>
        <v>98.8744689</v>
      </c>
      <c r="M69" s="7">
        <f t="shared" si="12"/>
        <v>361.664724</v>
      </c>
      <c r="N69" s="7">
        <f t="shared" si="12"/>
        <v>407.810396269375</v>
      </c>
      <c r="O69" s="7">
        <f t="shared" si="12"/>
        <v>4.1416444199999995</v>
      </c>
      <c r="P69" s="7">
        <f t="shared" si="13"/>
        <v>52.784390684614756</v>
      </c>
      <c r="Q69" s="7">
        <f t="shared" si="13"/>
        <v>191.81912847057902</v>
      </c>
      <c r="R69" s="7">
        <f t="shared" si="13"/>
        <v>219.87906239871958</v>
      </c>
      <c r="S69" s="7">
        <f t="shared" si="13"/>
        <v>2.1555062102583213</v>
      </c>
    </row>
    <row r="70" spans="1:16" ht="12.75">
      <c r="A70">
        <v>32</v>
      </c>
      <c r="C70" s="49">
        <v>37894</v>
      </c>
      <c r="E70" s="5">
        <f t="shared" si="10"/>
        <v>9405</v>
      </c>
      <c r="F70" s="34">
        <v>103</v>
      </c>
      <c r="G70" s="7">
        <f t="shared" si="11"/>
        <v>2.916651</v>
      </c>
      <c r="H70" s="5">
        <f>94.406*G70^-0.9027</f>
        <v>35.92099763719836</v>
      </c>
      <c r="I70" s="5">
        <f>305.98*G70^-0.8016</f>
        <v>129.7303688080168</v>
      </c>
      <c r="J70" s="5">
        <f>191.21*G70^-0.2204</f>
        <v>151.0254245631503</v>
      </c>
      <c r="K70" s="23">
        <f>2.4579*G70^-0.5052</f>
        <v>1.43121400591026</v>
      </c>
      <c r="L70" s="7">
        <f t="shared" si="12"/>
        <v>104.76901367953224</v>
      </c>
      <c r="M70" s="7">
        <f t="shared" si="12"/>
        <v>378.378209914271</v>
      </c>
      <c r="N70" s="7">
        <f t="shared" si="12"/>
        <v>440.48845557753685</v>
      </c>
      <c r="O70" s="7">
        <f t="shared" si="12"/>
        <v>4.174351761552166</v>
      </c>
      <c r="P70" s="7"/>
    </row>
    <row r="71" ht="12.75">
      <c r="F71" s="1"/>
    </row>
    <row r="72" spans="2:19" ht="12.75">
      <c r="B72" s="35" t="s">
        <v>223</v>
      </c>
      <c r="F72" s="38"/>
      <c r="G72" s="11"/>
      <c r="P72" s="52">
        <f>SUM(P39:P69)</f>
        <v>3274.0423553278474</v>
      </c>
      <c r="Q72" s="52">
        <f>SUM(Q39:Q69)</f>
        <v>12298.732727974144</v>
      </c>
      <c r="R72" s="52">
        <f>SUM(R39:R69)</f>
        <v>17551.49968085375</v>
      </c>
      <c r="S72" s="52">
        <f>SUM(S39:S69)</f>
        <v>159.61822462741608</v>
      </c>
    </row>
    <row r="74" spans="1:19" ht="12.75">
      <c r="A74">
        <v>1</v>
      </c>
      <c r="B74" s="100" t="s">
        <v>401</v>
      </c>
      <c r="C74" s="19">
        <v>37895</v>
      </c>
      <c r="D74" s="10">
        <v>0.40208333333333335</v>
      </c>
      <c r="E74" s="4">
        <f aca="true" t="shared" si="14" ref="E74:E109">C74-28489</f>
        <v>9406</v>
      </c>
      <c r="F74" s="24">
        <v>100</v>
      </c>
      <c r="G74" s="7">
        <f aca="true" t="shared" si="15" ref="G74:G109">F74*0.028317</f>
        <v>2.8316999999999997</v>
      </c>
      <c r="H74" s="5">
        <v>34.6</v>
      </c>
      <c r="I74" s="5">
        <v>127</v>
      </c>
      <c r="J74" s="5">
        <v>151.579171875</v>
      </c>
      <c r="K74" s="23">
        <v>1.44</v>
      </c>
      <c r="L74" s="7">
        <f>(H74*$G74)</f>
        <v>97.97681999999999</v>
      </c>
      <c r="M74" s="7">
        <f>(I74*$G74)</f>
        <v>359.62589999999994</v>
      </c>
      <c r="N74" s="7">
        <f>(J74*$G74)</f>
        <v>429.22674099843744</v>
      </c>
      <c r="O74" s="7">
        <f>(K74*$G74)</f>
        <v>4.077647999999999</v>
      </c>
      <c r="P74" s="7">
        <f>(((L74+L75)/2)*(($E75-$E74)*24*60*60))/1000000</f>
        <v>53.58029471999999</v>
      </c>
      <c r="Q74" s="7">
        <f>(((M74+M75)/2)*(($E75-$E74)*24*60*60))/1000000</f>
        <v>195.67817222399998</v>
      </c>
      <c r="R74" s="7">
        <f>(((N74+N75)/2)*(($E75-$E74)*24*60*60))/1000000</f>
        <v>225.54326502094497</v>
      </c>
      <c r="S74" s="7">
        <f>(((O74+O75)/2)*(($E75-$E74)*24*60*60))/1000000</f>
        <v>2.1578913215999993</v>
      </c>
    </row>
    <row r="75" spans="1:19" ht="12.75">
      <c r="A75">
        <v>2</v>
      </c>
      <c r="B75" s="100" t="s">
        <v>402</v>
      </c>
      <c r="C75" s="19">
        <v>37901</v>
      </c>
      <c r="D75" s="10">
        <v>0.4270833333333333</v>
      </c>
      <c r="E75" s="4">
        <f t="shared" si="14"/>
        <v>9412</v>
      </c>
      <c r="F75" s="24">
        <v>100</v>
      </c>
      <c r="G75" s="7">
        <f t="shared" si="15"/>
        <v>2.8316999999999997</v>
      </c>
      <c r="H75" s="5">
        <v>38.4</v>
      </c>
      <c r="I75" s="5">
        <v>139.6</v>
      </c>
      <c r="J75" s="5">
        <v>155.71026041666667</v>
      </c>
      <c r="K75" s="23">
        <v>1.5</v>
      </c>
      <c r="L75" s="7">
        <f aca="true" t="shared" si="16" ref="L75:O109">(H75*$G75)</f>
        <v>108.73727999999998</v>
      </c>
      <c r="M75" s="7">
        <f t="shared" si="16"/>
        <v>395.30531999999994</v>
      </c>
      <c r="N75" s="7">
        <f t="shared" si="16"/>
        <v>440.92474442187495</v>
      </c>
      <c r="O75" s="7">
        <f t="shared" si="16"/>
        <v>4.2475499999999995</v>
      </c>
      <c r="P75" s="7">
        <f aca="true" t="shared" si="17" ref="P75:S108">(((L75+L76)/2)*(($E76-$E75)*24*60*60))/1000000</f>
        <v>382.255034112</v>
      </c>
      <c r="Q75" s="7">
        <f t="shared" si="17"/>
        <v>1384.0303909824</v>
      </c>
      <c r="R75" s="7">
        <f t="shared" si="17"/>
        <v>1569.9863759141517</v>
      </c>
      <c r="S75" s="7">
        <f t="shared" si="17"/>
        <v>14.92027713792</v>
      </c>
    </row>
    <row r="76" spans="1:19" ht="12.75">
      <c r="A76">
        <v>3</v>
      </c>
      <c r="B76" s="100" t="s">
        <v>403</v>
      </c>
      <c r="C76" s="19">
        <v>37943</v>
      </c>
      <c r="D76" s="10">
        <v>0.3611111111111111</v>
      </c>
      <c r="E76" s="4">
        <f t="shared" si="14"/>
        <v>9454</v>
      </c>
      <c r="F76" s="24">
        <v>90</v>
      </c>
      <c r="G76" s="7">
        <f t="shared" si="15"/>
        <v>2.54853</v>
      </c>
      <c r="H76" s="5">
        <v>40</v>
      </c>
      <c r="I76" s="5">
        <v>144.2</v>
      </c>
      <c r="J76" s="5">
        <v>166.51464583333333</v>
      </c>
      <c r="K76" s="23">
        <v>1.56</v>
      </c>
      <c r="L76" s="7">
        <f t="shared" si="16"/>
        <v>101.9412</v>
      </c>
      <c r="M76" s="7">
        <f t="shared" si="16"/>
        <v>367.498026</v>
      </c>
      <c r="N76" s="7">
        <f t="shared" si="16"/>
        <v>424.367570345625</v>
      </c>
      <c r="O76" s="7">
        <f t="shared" si="16"/>
        <v>3.9757068</v>
      </c>
      <c r="P76" s="7">
        <f t="shared" si="17"/>
        <v>464.87805050016</v>
      </c>
      <c r="Q76" s="7">
        <f t="shared" si="17"/>
        <v>1677.8632592735999</v>
      </c>
      <c r="R76" s="7">
        <f t="shared" si="17"/>
        <v>2011.3281307620655</v>
      </c>
      <c r="S76" s="7">
        <f t="shared" si="17"/>
        <v>18.174876355008</v>
      </c>
    </row>
    <row r="77" spans="1:19" ht="12.75">
      <c r="A77">
        <v>4</v>
      </c>
      <c r="B77" s="100" t="s">
        <v>404</v>
      </c>
      <c r="C77" s="19">
        <v>37994</v>
      </c>
      <c r="D77" s="10">
        <v>0.34722222222222227</v>
      </c>
      <c r="E77" s="4">
        <f t="shared" si="14"/>
        <v>9505</v>
      </c>
      <c r="F77" s="24">
        <v>98</v>
      </c>
      <c r="G77" s="7">
        <f t="shared" si="15"/>
        <v>2.775066</v>
      </c>
      <c r="H77" s="5">
        <v>39.3</v>
      </c>
      <c r="I77" s="5">
        <v>142</v>
      </c>
      <c r="J77" s="5">
        <v>176.04792708333332</v>
      </c>
      <c r="K77" s="23">
        <v>1.54</v>
      </c>
      <c r="L77" s="7">
        <f t="shared" si="16"/>
        <v>109.06009379999999</v>
      </c>
      <c r="M77" s="7">
        <f t="shared" si="16"/>
        <v>394.059372</v>
      </c>
      <c r="N77" s="7">
        <f t="shared" si="16"/>
        <v>488.5446168194374</v>
      </c>
      <c r="O77" s="7">
        <f t="shared" si="16"/>
        <v>4.27360164</v>
      </c>
      <c r="P77" s="7">
        <f t="shared" si="17"/>
        <v>366.57606978719997</v>
      </c>
      <c r="Q77" s="7">
        <f t="shared" si="17"/>
        <v>1320.595236576</v>
      </c>
      <c r="R77" s="7">
        <f t="shared" si="17"/>
        <v>1289.4372991033692</v>
      </c>
      <c r="S77" s="7">
        <f t="shared" si="17"/>
        <v>12.64592818944</v>
      </c>
    </row>
    <row r="78" spans="1:19" ht="12.75">
      <c r="A78">
        <v>5</v>
      </c>
      <c r="B78" s="100" t="s">
        <v>405</v>
      </c>
      <c r="C78" s="19">
        <v>38029</v>
      </c>
      <c r="D78" s="10">
        <v>0.6381944444444444</v>
      </c>
      <c r="E78" s="4">
        <f t="shared" si="14"/>
        <v>9540</v>
      </c>
      <c r="F78" s="24">
        <v>92</v>
      </c>
      <c r="G78" s="7">
        <f t="shared" si="15"/>
        <v>2.605164</v>
      </c>
      <c r="H78" s="5">
        <v>51.2</v>
      </c>
      <c r="I78" s="5">
        <v>184</v>
      </c>
      <c r="J78" s="5">
        <v>139.82145833333334</v>
      </c>
      <c r="K78" s="23">
        <v>1.57</v>
      </c>
      <c r="L78" s="7">
        <f t="shared" si="16"/>
        <v>133.3843968</v>
      </c>
      <c r="M78" s="7">
        <f t="shared" si="16"/>
        <v>479.350176</v>
      </c>
      <c r="N78" s="7">
        <f t="shared" si="16"/>
        <v>364.2578296775</v>
      </c>
      <c r="O78" s="7">
        <f t="shared" si="16"/>
        <v>4.0901074799999995</v>
      </c>
      <c r="P78" s="7">
        <f t="shared" si="17"/>
        <v>119.17431908351999</v>
      </c>
      <c r="Q78" s="7">
        <f t="shared" si="17"/>
        <v>430.28646543360003</v>
      </c>
      <c r="R78" s="7">
        <f t="shared" si="17"/>
        <v>375.5726856952704</v>
      </c>
      <c r="S78" s="7">
        <f t="shared" si="17"/>
        <v>4.262349143808</v>
      </c>
    </row>
    <row r="79" spans="1:19" ht="12.75">
      <c r="A79">
        <v>6</v>
      </c>
      <c r="B79" s="100" t="s">
        <v>406</v>
      </c>
      <c r="C79" s="19">
        <v>38041</v>
      </c>
      <c r="D79" s="10">
        <v>0.7083333333333334</v>
      </c>
      <c r="E79" s="4">
        <f t="shared" si="14"/>
        <v>9552</v>
      </c>
      <c r="F79" s="24">
        <v>96</v>
      </c>
      <c r="G79" s="7">
        <f t="shared" si="15"/>
        <v>2.718432</v>
      </c>
      <c r="H79" s="5">
        <v>35.5</v>
      </c>
      <c r="I79" s="5">
        <v>129</v>
      </c>
      <c r="J79" s="5">
        <v>132.51260937499998</v>
      </c>
      <c r="K79" s="23">
        <v>1.52</v>
      </c>
      <c r="L79" s="7">
        <f t="shared" si="16"/>
        <v>96.504336</v>
      </c>
      <c r="M79" s="7">
        <f t="shared" si="16"/>
        <v>350.677728</v>
      </c>
      <c r="N79" s="7">
        <f t="shared" si="16"/>
        <v>360.22651772849997</v>
      </c>
      <c r="O79" s="7">
        <f t="shared" si="16"/>
        <v>4.13201664</v>
      </c>
      <c r="P79" s="7">
        <f t="shared" si="17"/>
        <v>115.87754067552001</v>
      </c>
      <c r="Q79" s="7">
        <f t="shared" si="17"/>
        <v>417.131157456</v>
      </c>
      <c r="R79" s="7">
        <f t="shared" si="17"/>
        <v>423.9513661819761</v>
      </c>
      <c r="S79" s="7">
        <f t="shared" si="17"/>
        <v>4.508769567744</v>
      </c>
    </row>
    <row r="80" spans="1:19" ht="12.75">
      <c r="A80">
        <v>7</v>
      </c>
      <c r="B80" s="100" t="s">
        <v>407</v>
      </c>
      <c r="C80" s="19">
        <v>38054</v>
      </c>
      <c r="D80" s="10">
        <v>0.6236111111111111</v>
      </c>
      <c r="E80" s="4">
        <f t="shared" si="14"/>
        <v>9565</v>
      </c>
      <c r="F80" s="24">
        <v>86</v>
      </c>
      <c r="G80" s="7">
        <f t="shared" si="15"/>
        <v>2.435262</v>
      </c>
      <c r="H80" s="5">
        <v>45.1</v>
      </c>
      <c r="I80" s="5">
        <v>161</v>
      </c>
      <c r="J80" s="5">
        <v>162.06578125000001</v>
      </c>
      <c r="K80" s="23">
        <v>1.6</v>
      </c>
      <c r="L80" s="7">
        <f t="shared" si="16"/>
        <v>109.8303162</v>
      </c>
      <c r="M80" s="7">
        <f t="shared" si="16"/>
        <v>392.077182</v>
      </c>
      <c r="N80" s="7">
        <f t="shared" si="16"/>
        <v>394.6726385784375</v>
      </c>
      <c r="O80" s="7">
        <f t="shared" si="16"/>
        <v>3.8964192</v>
      </c>
      <c r="P80" s="7">
        <f t="shared" si="17"/>
        <v>131.62452016895998</v>
      </c>
      <c r="Q80" s="7">
        <f t="shared" si="17"/>
        <v>472.167172512</v>
      </c>
      <c r="R80" s="7">
        <f t="shared" si="17"/>
        <v>568.6629104938635</v>
      </c>
      <c r="S80" s="7">
        <f t="shared" si="17"/>
        <v>4.85183024928</v>
      </c>
    </row>
    <row r="81" spans="1:19" ht="12.75">
      <c r="A81">
        <v>8</v>
      </c>
      <c r="B81" s="100" t="s">
        <v>408</v>
      </c>
      <c r="C81" s="19">
        <v>38068</v>
      </c>
      <c r="D81" s="10">
        <v>0.44305555555555554</v>
      </c>
      <c r="E81" s="4">
        <f t="shared" si="14"/>
        <v>9579</v>
      </c>
      <c r="F81" s="24">
        <v>94</v>
      </c>
      <c r="G81" s="7">
        <f t="shared" si="15"/>
        <v>2.6617979999999997</v>
      </c>
      <c r="H81" s="5">
        <v>40.5</v>
      </c>
      <c r="I81" s="5">
        <v>146</v>
      </c>
      <c r="J81" s="5">
        <v>204.965546875</v>
      </c>
      <c r="K81" s="23">
        <v>1.55</v>
      </c>
      <c r="L81" s="7">
        <f t="shared" si="16"/>
        <v>107.80281899999999</v>
      </c>
      <c r="M81" s="7">
        <f t="shared" si="16"/>
        <v>388.6225079999999</v>
      </c>
      <c r="N81" s="7">
        <f t="shared" si="16"/>
        <v>545.5768827407812</v>
      </c>
      <c r="O81" s="7">
        <f t="shared" si="16"/>
        <v>4.1257869</v>
      </c>
      <c r="P81" s="7">
        <f t="shared" si="17"/>
        <v>177.94529660159995</v>
      </c>
      <c r="Q81" s="7">
        <f t="shared" si="17"/>
        <v>673.1838014975999</v>
      </c>
      <c r="R81" s="7">
        <f t="shared" si="17"/>
        <v>1010.2099167101519</v>
      </c>
      <c r="S81" s="7">
        <f t="shared" si="17"/>
        <v>7.393591353599999</v>
      </c>
    </row>
    <row r="82" spans="1:19" ht="12.75">
      <c r="A82">
        <v>9</v>
      </c>
      <c r="B82" s="100" t="s">
        <v>409</v>
      </c>
      <c r="C82" s="19">
        <v>38084</v>
      </c>
      <c r="D82" s="10">
        <v>0.8298611111111112</v>
      </c>
      <c r="E82" s="4">
        <f t="shared" si="14"/>
        <v>9595</v>
      </c>
      <c r="F82" s="24">
        <v>195</v>
      </c>
      <c r="G82" s="7">
        <f t="shared" si="15"/>
        <v>5.521814999999999</v>
      </c>
      <c r="H82" s="5">
        <v>27.1</v>
      </c>
      <c r="I82" s="5">
        <v>106</v>
      </c>
      <c r="J82" s="5">
        <v>165.87909374999998</v>
      </c>
      <c r="K82" s="23">
        <v>1.19</v>
      </c>
      <c r="L82" s="7">
        <f t="shared" si="16"/>
        <v>149.64118649999998</v>
      </c>
      <c r="M82" s="7">
        <f t="shared" si="16"/>
        <v>585.3123899999999</v>
      </c>
      <c r="N82" s="7">
        <f t="shared" si="16"/>
        <v>915.9536680551561</v>
      </c>
      <c r="O82" s="7">
        <f t="shared" si="16"/>
        <v>6.570959849999999</v>
      </c>
      <c r="P82" s="7">
        <f t="shared" si="17"/>
        <v>70.60047902496</v>
      </c>
      <c r="Q82" s="7">
        <f t="shared" si="17"/>
        <v>271.26602251776</v>
      </c>
      <c r="R82" s="7">
        <f t="shared" si="17"/>
        <v>440.00762095347744</v>
      </c>
      <c r="S82" s="7">
        <f t="shared" si="17"/>
        <v>3.2054961798719996</v>
      </c>
    </row>
    <row r="83" spans="1:19" ht="12.75">
      <c r="A83">
        <v>10</v>
      </c>
      <c r="B83" s="100" t="s">
        <v>410</v>
      </c>
      <c r="C83" s="19">
        <v>38090</v>
      </c>
      <c r="D83" s="10">
        <v>0.6</v>
      </c>
      <c r="E83" s="4">
        <f t="shared" si="14"/>
        <v>9601</v>
      </c>
      <c r="F83" s="24">
        <v>172</v>
      </c>
      <c r="G83" s="7">
        <f t="shared" si="15"/>
        <v>4.870524</v>
      </c>
      <c r="H83" s="5">
        <v>25.2</v>
      </c>
      <c r="I83" s="5">
        <v>94.7</v>
      </c>
      <c r="J83" s="5">
        <v>160.47690104166668</v>
      </c>
      <c r="K83" s="23">
        <v>1.19</v>
      </c>
      <c r="L83" s="7">
        <f t="shared" si="16"/>
        <v>122.73720479999999</v>
      </c>
      <c r="M83" s="7">
        <f t="shared" si="16"/>
        <v>461.2386228</v>
      </c>
      <c r="N83" s="7">
        <f t="shared" si="16"/>
        <v>781.6065979690625</v>
      </c>
      <c r="O83" s="7">
        <f t="shared" si="16"/>
        <v>5.795923559999999</v>
      </c>
      <c r="P83" s="7">
        <f t="shared" si="17"/>
        <v>134.23735467792</v>
      </c>
      <c r="Q83" s="7">
        <f t="shared" si="17"/>
        <v>504.4074634123199</v>
      </c>
      <c r="R83" s="7">
        <f t="shared" si="17"/>
        <v>863.412038886773</v>
      </c>
      <c r="S83" s="7">
        <f t="shared" si="17"/>
        <v>6.345705137615999</v>
      </c>
    </row>
    <row r="84" spans="1:19" ht="12.75">
      <c r="A84">
        <v>11</v>
      </c>
      <c r="B84" s="100" t="s">
        <v>411</v>
      </c>
      <c r="C84" s="19">
        <v>38103</v>
      </c>
      <c r="D84" s="10">
        <v>0.5895833333333333</v>
      </c>
      <c r="E84" s="4">
        <f t="shared" si="14"/>
        <v>9614</v>
      </c>
      <c r="F84" s="24">
        <v>169</v>
      </c>
      <c r="G84" s="7">
        <f t="shared" si="15"/>
        <v>4.785572999999999</v>
      </c>
      <c r="H84" s="5">
        <v>24.3</v>
      </c>
      <c r="I84" s="5">
        <v>91.3</v>
      </c>
      <c r="J84" s="5">
        <v>157.93469270833336</v>
      </c>
      <c r="K84" s="23">
        <v>1.15</v>
      </c>
      <c r="L84" s="7">
        <f t="shared" si="16"/>
        <v>116.28942389999999</v>
      </c>
      <c r="M84" s="7">
        <f t="shared" si="16"/>
        <v>436.92281489999993</v>
      </c>
      <c r="N84" s="7">
        <f t="shared" si="16"/>
        <v>755.8080011882969</v>
      </c>
      <c r="O84" s="7">
        <f t="shared" si="16"/>
        <v>5.503408949999999</v>
      </c>
      <c r="P84" s="7">
        <f t="shared" si="17"/>
        <v>82.22691366143998</v>
      </c>
      <c r="Q84" s="7">
        <f t="shared" si="17"/>
        <v>310.81170524543995</v>
      </c>
      <c r="R84" s="7">
        <f t="shared" si="17"/>
        <v>631.0484419375404</v>
      </c>
      <c r="S84" s="7">
        <f t="shared" si="17"/>
        <v>4.47285364416</v>
      </c>
    </row>
    <row r="85" spans="1:19" ht="12.75">
      <c r="A85">
        <v>12</v>
      </c>
      <c r="B85" s="100" t="s">
        <v>412</v>
      </c>
      <c r="C85" s="19">
        <v>38111</v>
      </c>
      <c r="D85" s="10">
        <v>0.5277777777777778</v>
      </c>
      <c r="E85" s="4">
        <f t="shared" si="14"/>
        <v>9622</v>
      </c>
      <c r="F85" s="24">
        <v>355</v>
      </c>
      <c r="G85" s="7">
        <f t="shared" si="15"/>
        <v>10.052534999999999</v>
      </c>
      <c r="H85" s="5">
        <v>12.1</v>
      </c>
      <c r="I85" s="5">
        <v>46</v>
      </c>
      <c r="J85" s="5">
        <v>106.45497395833334</v>
      </c>
      <c r="K85" s="23">
        <v>0.74</v>
      </c>
      <c r="L85" s="7">
        <f t="shared" si="16"/>
        <v>121.63567349999998</v>
      </c>
      <c r="M85" s="7">
        <f t="shared" si="16"/>
        <v>462.41660999999993</v>
      </c>
      <c r="N85" s="7">
        <f t="shared" si="16"/>
        <v>1070.1423516402344</v>
      </c>
      <c r="O85" s="7">
        <f t="shared" si="16"/>
        <v>7.438875899999999</v>
      </c>
      <c r="P85" s="7">
        <f t="shared" si="17"/>
        <v>17.803826697599998</v>
      </c>
      <c r="Q85" s="7">
        <f t="shared" si="17"/>
        <v>67.8243347136</v>
      </c>
      <c r="R85" s="7">
        <f t="shared" si="17"/>
        <v>267.52261212472274</v>
      </c>
      <c r="S85" s="7">
        <f t="shared" si="17"/>
        <v>1.18708488576</v>
      </c>
    </row>
    <row r="86" spans="1:19" ht="12.75">
      <c r="A86">
        <v>13</v>
      </c>
      <c r="B86" s="100" t="s">
        <v>413</v>
      </c>
      <c r="C86" s="19">
        <v>38113</v>
      </c>
      <c r="D86" s="20">
        <v>0.6236111111111111</v>
      </c>
      <c r="E86" s="4">
        <f t="shared" si="14"/>
        <v>9624</v>
      </c>
      <c r="F86" s="86">
        <v>445</v>
      </c>
      <c r="G86" s="7">
        <f t="shared" si="15"/>
        <v>12.601065</v>
      </c>
      <c r="H86" s="5">
        <v>6.7</v>
      </c>
      <c r="I86" s="5">
        <v>25.6</v>
      </c>
      <c r="J86" s="5">
        <v>160.79467708333334</v>
      </c>
      <c r="K86" s="23">
        <v>0.5</v>
      </c>
      <c r="L86" s="7">
        <f t="shared" si="16"/>
        <v>84.4271355</v>
      </c>
      <c r="M86" s="7">
        <f t="shared" si="16"/>
        <v>322.587264</v>
      </c>
      <c r="N86" s="7">
        <f t="shared" si="16"/>
        <v>2026.1841775810938</v>
      </c>
      <c r="O86" s="7">
        <f t="shared" si="16"/>
        <v>6.3005325</v>
      </c>
      <c r="P86" s="7">
        <f t="shared" si="17"/>
        <v>43.2110397384</v>
      </c>
      <c r="Q86" s="7">
        <f t="shared" si="17"/>
        <v>166.56376550399997</v>
      </c>
      <c r="R86" s="7">
        <f t="shared" si="17"/>
        <v>701.0617051051763</v>
      </c>
      <c r="S86" s="7">
        <f t="shared" si="17"/>
        <v>3.0833135352</v>
      </c>
    </row>
    <row r="87" spans="1:19" ht="12.75">
      <c r="A87">
        <v>14</v>
      </c>
      <c r="B87" s="100" t="s">
        <v>414</v>
      </c>
      <c r="C87" s="19">
        <v>38118</v>
      </c>
      <c r="D87" s="10">
        <v>0.3444444444444445</v>
      </c>
      <c r="E87" s="4">
        <f t="shared" si="14"/>
        <v>9629</v>
      </c>
      <c r="F87" s="24">
        <v>440</v>
      </c>
      <c r="G87" s="7">
        <f t="shared" si="15"/>
        <v>12.45948</v>
      </c>
      <c r="H87" s="5">
        <v>9.28</v>
      </c>
      <c r="I87" s="5">
        <v>36</v>
      </c>
      <c r="J87" s="5">
        <v>97.87502083333335</v>
      </c>
      <c r="K87" s="23">
        <v>0.64</v>
      </c>
      <c r="L87" s="7">
        <f t="shared" si="16"/>
        <v>115.62397439999998</v>
      </c>
      <c r="M87" s="7">
        <f t="shared" si="16"/>
        <v>448.54128</v>
      </c>
      <c r="N87" s="7">
        <f t="shared" si="16"/>
        <v>1219.4718645725002</v>
      </c>
      <c r="O87" s="7">
        <f t="shared" si="16"/>
        <v>7.9740671999999995</v>
      </c>
      <c r="P87" s="7">
        <f t="shared" si="17"/>
        <v>69.53976045072</v>
      </c>
      <c r="Q87" s="7">
        <f t="shared" si="17"/>
        <v>268.3106655768</v>
      </c>
      <c r="R87" s="7">
        <f t="shared" si="17"/>
        <v>741.819651073663</v>
      </c>
      <c r="S87" s="7">
        <f t="shared" si="17"/>
        <v>4.689560247119999</v>
      </c>
    </row>
    <row r="88" spans="1:19" ht="12.75">
      <c r="A88">
        <v>15</v>
      </c>
      <c r="B88" s="100" t="s">
        <v>415</v>
      </c>
      <c r="C88" s="19">
        <v>38125</v>
      </c>
      <c r="D88" s="20">
        <v>0.3854166666666667</v>
      </c>
      <c r="E88" s="4">
        <f t="shared" si="14"/>
        <v>9636</v>
      </c>
      <c r="F88" s="86">
        <v>313</v>
      </c>
      <c r="G88" s="7">
        <f t="shared" si="15"/>
        <v>8.863221</v>
      </c>
      <c r="H88" s="5">
        <v>12.9</v>
      </c>
      <c r="I88" s="5">
        <v>49.5</v>
      </c>
      <c r="J88" s="5">
        <v>139.18590625</v>
      </c>
      <c r="K88" s="23">
        <v>0.85</v>
      </c>
      <c r="L88" s="7">
        <f t="shared" si="16"/>
        <v>114.3355509</v>
      </c>
      <c r="M88" s="7">
        <f t="shared" si="16"/>
        <v>438.72943949999996</v>
      </c>
      <c r="N88" s="7">
        <f t="shared" si="16"/>
        <v>1233.635447179031</v>
      </c>
      <c r="O88" s="7">
        <f t="shared" si="16"/>
        <v>7.53373785</v>
      </c>
      <c r="P88" s="7">
        <f t="shared" si="17"/>
        <v>35.29289974608</v>
      </c>
      <c r="Q88" s="7">
        <f t="shared" si="17"/>
        <v>133.29162577728</v>
      </c>
      <c r="R88" s="7">
        <f t="shared" si="17"/>
        <v>321.06212057836746</v>
      </c>
      <c r="S88" s="7">
        <f t="shared" si="17"/>
        <v>2.011756572576</v>
      </c>
    </row>
    <row r="89" spans="1:19" ht="12.75">
      <c r="A89">
        <v>16</v>
      </c>
      <c r="B89" s="100" t="s">
        <v>416</v>
      </c>
      <c r="C89" s="19">
        <v>38128</v>
      </c>
      <c r="D89" s="20">
        <v>0.5520833333333334</v>
      </c>
      <c r="E89" s="4">
        <f t="shared" si="14"/>
        <v>9639</v>
      </c>
      <c r="F89" s="86">
        <v>317</v>
      </c>
      <c r="G89" s="7">
        <f t="shared" si="15"/>
        <v>8.976488999999999</v>
      </c>
      <c r="H89" s="5">
        <v>17.6</v>
      </c>
      <c r="I89" s="5">
        <v>65.7</v>
      </c>
      <c r="J89" s="5">
        <v>138.55035416666666</v>
      </c>
      <c r="K89" s="23">
        <v>0.89</v>
      </c>
      <c r="L89" s="7">
        <f t="shared" si="16"/>
        <v>157.9862064</v>
      </c>
      <c r="M89" s="7">
        <f t="shared" si="16"/>
        <v>589.7553273</v>
      </c>
      <c r="N89" s="7">
        <f t="shared" si="16"/>
        <v>1243.6957301231873</v>
      </c>
      <c r="O89" s="7">
        <f t="shared" si="16"/>
        <v>7.989075209999999</v>
      </c>
      <c r="P89" s="7">
        <f t="shared" si="17"/>
        <v>32.06597144832</v>
      </c>
      <c r="Q89" s="7">
        <f t="shared" si="17"/>
        <v>121.03678480752</v>
      </c>
      <c r="R89" s="7">
        <f t="shared" si="17"/>
        <v>310.4893427051519</v>
      </c>
      <c r="S89" s="7">
        <f t="shared" si="17"/>
        <v>1.842611655888</v>
      </c>
    </row>
    <row r="90" spans="1:19" ht="12.75">
      <c r="A90">
        <v>17</v>
      </c>
      <c r="B90" s="100" t="s">
        <v>417</v>
      </c>
      <c r="C90" s="19">
        <v>38131</v>
      </c>
      <c r="D90" s="20">
        <v>0.517361111111111</v>
      </c>
      <c r="E90" s="4">
        <f t="shared" si="14"/>
        <v>9642</v>
      </c>
      <c r="F90" s="86">
        <v>282</v>
      </c>
      <c r="G90" s="7">
        <f t="shared" si="15"/>
        <v>7.985393999999999</v>
      </c>
      <c r="H90" s="5">
        <v>11.2</v>
      </c>
      <c r="I90" s="5">
        <v>43.1</v>
      </c>
      <c r="J90" s="5">
        <v>144.27032291666666</v>
      </c>
      <c r="K90" s="23">
        <v>0.78</v>
      </c>
      <c r="L90" s="7">
        <f t="shared" si="16"/>
        <v>89.43641279999999</v>
      </c>
      <c r="M90" s="7">
        <f t="shared" si="16"/>
        <v>344.17048139999997</v>
      </c>
      <c r="N90" s="7">
        <f t="shared" si="16"/>
        <v>1152.0553709968124</v>
      </c>
      <c r="O90" s="7">
        <f t="shared" si="16"/>
        <v>6.22860732</v>
      </c>
      <c r="P90" s="7">
        <f t="shared" si="17"/>
        <v>71.65765004544</v>
      </c>
      <c r="Q90" s="7">
        <f t="shared" si="17"/>
        <v>275.95760120063994</v>
      </c>
      <c r="R90" s="7">
        <f t="shared" si="17"/>
        <v>870.9624126139391</v>
      </c>
      <c r="S90" s="7">
        <f t="shared" si="17"/>
        <v>5.03116520832</v>
      </c>
    </row>
    <row r="91" spans="1:19" ht="12.75">
      <c r="A91">
        <v>18</v>
      </c>
      <c r="B91" s="100" t="s">
        <v>418</v>
      </c>
      <c r="C91" s="19">
        <v>38139</v>
      </c>
      <c r="D91" s="20">
        <v>0.7048611111111112</v>
      </c>
      <c r="E91" s="4">
        <f t="shared" si="14"/>
        <v>9650</v>
      </c>
      <c r="F91" s="86">
        <v>382</v>
      </c>
      <c r="G91" s="7">
        <f t="shared" si="15"/>
        <v>10.817093999999999</v>
      </c>
      <c r="H91" s="5">
        <v>10.9</v>
      </c>
      <c r="I91" s="5">
        <v>42</v>
      </c>
      <c r="J91" s="5">
        <v>126.47486458333334</v>
      </c>
      <c r="K91" s="23">
        <v>0.77</v>
      </c>
      <c r="L91" s="7">
        <f t="shared" si="16"/>
        <v>117.90632459999999</v>
      </c>
      <c r="M91" s="7">
        <f t="shared" si="16"/>
        <v>454.31794799999994</v>
      </c>
      <c r="N91" s="7">
        <f t="shared" si="16"/>
        <v>1368.0904988351874</v>
      </c>
      <c r="O91" s="7">
        <f t="shared" si="16"/>
        <v>8.32916238</v>
      </c>
      <c r="P91" s="7">
        <f t="shared" si="17"/>
        <v>130.465681150896</v>
      </c>
      <c r="Q91" s="7">
        <f t="shared" si="17"/>
        <v>502.20810241055995</v>
      </c>
      <c r="R91" s="7">
        <f t="shared" si="17"/>
        <v>1516.0410295275844</v>
      </c>
      <c r="S91" s="7">
        <f t="shared" si="17"/>
        <v>9.122179738464</v>
      </c>
    </row>
    <row r="92" spans="1:19" ht="12.75">
      <c r="A92">
        <v>19</v>
      </c>
      <c r="B92" s="100" t="s">
        <v>419</v>
      </c>
      <c r="C92" s="19">
        <v>38152</v>
      </c>
      <c r="D92" s="20">
        <v>0.71875</v>
      </c>
      <c r="E92" s="4">
        <f t="shared" si="14"/>
        <v>9663</v>
      </c>
      <c r="F92" s="86">
        <v>411</v>
      </c>
      <c r="G92" s="7">
        <f t="shared" si="15"/>
        <v>11.638287</v>
      </c>
      <c r="H92" s="5">
        <v>9.83</v>
      </c>
      <c r="I92" s="5">
        <v>37.8</v>
      </c>
      <c r="J92" s="5">
        <v>114.399375</v>
      </c>
      <c r="K92" s="23">
        <v>0.68</v>
      </c>
      <c r="L92" s="7">
        <f t="shared" si="16"/>
        <v>114.40436121</v>
      </c>
      <c r="M92" s="7">
        <f t="shared" si="16"/>
        <v>439.9272486</v>
      </c>
      <c r="N92" s="7">
        <f t="shared" si="16"/>
        <v>1331.412758870625</v>
      </c>
      <c r="O92" s="7">
        <f t="shared" si="16"/>
        <v>7.914035160000001</v>
      </c>
      <c r="P92" s="7">
        <f t="shared" si="17"/>
        <v>68.946597229104</v>
      </c>
      <c r="Q92" s="7">
        <f t="shared" si="17"/>
        <v>264.35710040543995</v>
      </c>
      <c r="R92" s="7">
        <f t="shared" si="17"/>
        <v>748.4483373114037</v>
      </c>
      <c r="S92" s="7">
        <f t="shared" si="17"/>
        <v>4.551523707024</v>
      </c>
    </row>
    <row r="93" spans="1:19" ht="12.75">
      <c r="A93">
        <v>20</v>
      </c>
      <c r="B93" s="100" t="s">
        <v>420</v>
      </c>
      <c r="C93" s="19">
        <v>38159</v>
      </c>
      <c r="D93" s="20">
        <v>0.46527777777777773</v>
      </c>
      <c r="E93" s="4">
        <f t="shared" si="14"/>
        <v>9670</v>
      </c>
      <c r="F93" s="86">
        <v>355</v>
      </c>
      <c r="G93" s="7">
        <f t="shared" si="15"/>
        <v>10.052534999999999</v>
      </c>
      <c r="H93" s="5">
        <v>11.3</v>
      </c>
      <c r="I93" s="5">
        <v>43.2</v>
      </c>
      <c r="J93" s="5">
        <v>113.76382291666667</v>
      </c>
      <c r="K93" s="23">
        <v>0.71</v>
      </c>
      <c r="L93" s="7">
        <f t="shared" si="16"/>
        <v>113.5936455</v>
      </c>
      <c r="M93" s="7">
        <f t="shared" si="16"/>
        <v>434.26951199999996</v>
      </c>
      <c r="N93" s="7">
        <f t="shared" si="16"/>
        <v>1143.6148116035936</v>
      </c>
      <c r="O93" s="7">
        <f t="shared" si="16"/>
        <v>7.137299849999999</v>
      </c>
      <c r="P93" s="7">
        <f t="shared" si="17"/>
        <v>68.0292365256</v>
      </c>
      <c r="Q93" s="7">
        <f t="shared" si="17"/>
        <v>261.35146606463996</v>
      </c>
      <c r="R93" s="7">
        <f t="shared" si="17"/>
        <v>656.6589924134279</v>
      </c>
      <c r="S93" s="7">
        <f t="shared" si="17"/>
        <v>4.149744894287999</v>
      </c>
    </row>
    <row r="94" spans="1:19" ht="12.75">
      <c r="A94">
        <v>21</v>
      </c>
      <c r="B94" s="100" t="s">
        <v>421</v>
      </c>
      <c r="C94" s="19">
        <v>38166</v>
      </c>
      <c r="D94" s="20">
        <v>0.5034722222222222</v>
      </c>
      <c r="E94" s="4">
        <f t="shared" si="14"/>
        <v>9677</v>
      </c>
      <c r="F94" s="86">
        <v>342</v>
      </c>
      <c r="G94" s="7">
        <f t="shared" si="15"/>
        <v>9.684414</v>
      </c>
      <c r="H94" s="5">
        <v>11.5</v>
      </c>
      <c r="I94" s="5">
        <v>44.4</v>
      </c>
      <c r="J94" s="5">
        <v>106.13719791666666</v>
      </c>
      <c r="K94" s="23">
        <v>0.68</v>
      </c>
      <c r="L94" s="7">
        <f t="shared" si="16"/>
        <v>111.370761</v>
      </c>
      <c r="M94" s="7">
        <f t="shared" si="16"/>
        <v>429.9879816</v>
      </c>
      <c r="N94" s="7">
        <f t="shared" si="16"/>
        <v>1027.8765654249376</v>
      </c>
      <c r="O94" s="7">
        <f t="shared" si="16"/>
        <v>6.5854015200000005</v>
      </c>
      <c r="P94" s="7">
        <f t="shared" si="17"/>
        <v>76.85029011456</v>
      </c>
      <c r="Q94" s="7">
        <f t="shared" si="17"/>
        <v>295.14668647679997</v>
      </c>
      <c r="R94" s="7">
        <f t="shared" si="17"/>
        <v>663.9321990465576</v>
      </c>
      <c r="S94" s="7">
        <f t="shared" si="17"/>
        <v>4.40092393344</v>
      </c>
    </row>
    <row r="95" spans="1:19" ht="12.75">
      <c r="A95">
        <v>22</v>
      </c>
      <c r="B95" s="100" t="s">
        <v>422</v>
      </c>
      <c r="C95" s="19">
        <v>38174</v>
      </c>
      <c r="D95" s="20">
        <v>0.40625</v>
      </c>
      <c r="E95" s="4">
        <f t="shared" si="14"/>
        <v>9685</v>
      </c>
      <c r="F95" s="86">
        <v>282</v>
      </c>
      <c r="G95" s="7">
        <f t="shared" si="15"/>
        <v>7.985393999999999</v>
      </c>
      <c r="H95" s="5">
        <v>13.9</v>
      </c>
      <c r="I95" s="5">
        <v>53.1</v>
      </c>
      <c r="J95" s="5">
        <v>111.85716666666666</v>
      </c>
      <c r="K95" s="23">
        <v>0.77</v>
      </c>
      <c r="L95" s="7">
        <f t="shared" si="16"/>
        <v>110.9969766</v>
      </c>
      <c r="M95" s="7">
        <f t="shared" si="16"/>
        <v>424.0244214</v>
      </c>
      <c r="N95" s="7">
        <f t="shared" si="16"/>
        <v>893.2235475569998</v>
      </c>
      <c r="O95" s="7">
        <f t="shared" si="16"/>
        <v>6.14875338</v>
      </c>
      <c r="P95" s="7">
        <f t="shared" si="17"/>
        <v>22.02027783552</v>
      </c>
      <c r="Q95" s="7">
        <f t="shared" si="17"/>
        <v>83.29754092032</v>
      </c>
      <c r="R95" s="7">
        <f t="shared" si="17"/>
        <v>149.14310794725236</v>
      </c>
      <c r="S95" s="7">
        <f t="shared" si="17"/>
        <v>1.084426019712</v>
      </c>
    </row>
    <row r="96" spans="1:19" ht="12.75">
      <c r="A96">
        <v>23</v>
      </c>
      <c r="B96" s="100" t="s">
        <v>423</v>
      </c>
      <c r="C96" s="19">
        <v>38176</v>
      </c>
      <c r="D96" s="20">
        <v>0.40277777777777773</v>
      </c>
      <c r="E96" s="4">
        <f t="shared" si="14"/>
        <v>9687</v>
      </c>
      <c r="F96" s="86">
        <v>266</v>
      </c>
      <c r="G96" s="7">
        <f t="shared" si="15"/>
        <v>7.532322</v>
      </c>
      <c r="H96" s="5">
        <v>19.1</v>
      </c>
      <c r="I96" s="5">
        <v>71.7</v>
      </c>
      <c r="J96" s="5">
        <v>110.58606249999998</v>
      </c>
      <c r="K96" s="23">
        <v>0.85</v>
      </c>
      <c r="L96" s="7">
        <f t="shared" si="16"/>
        <v>143.8673502</v>
      </c>
      <c r="M96" s="7">
        <f t="shared" si="16"/>
        <v>540.0674874</v>
      </c>
      <c r="N96" s="7">
        <f t="shared" si="16"/>
        <v>832.9698314621248</v>
      </c>
      <c r="O96" s="7">
        <f t="shared" si="16"/>
        <v>6.4024737</v>
      </c>
      <c r="P96" s="7">
        <f t="shared" si="17"/>
        <v>42.97041772992</v>
      </c>
      <c r="Q96" s="7">
        <f t="shared" si="17"/>
        <v>162.44224201152</v>
      </c>
      <c r="R96" s="7">
        <f t="shared" si="17"/>
        <v>281.51158133369154</v>
      </c>
      <c r="S96" s="7">
        <f t="shared" si="17"/>
        <v>2.060076701376</v>
      </c>
    </row>
    <row r="97" spans="1:19" ht="12.75">
      <c r="A97">
        <v>24</v>
      </c>
      <c r="B97" s="100" t="s">
        <v>424</v>
      </c>
      <c r="C97" s="19">
        <v>38180</v>
      </c>
      <c r="D97" s="20">
        <v>0.375</v>
      </c>
      <c r="E97" s="4">
        <f t="shared" si="14"/>
        <v>9691</v>
      </c>
      <c r="F97" s="86">
        <v>219</v>
      </c>
      <c r="G97" s="7">
        <f t="shared" si="15"/>
        <v>6.201422999999999</v>
      </c>
      <c r="H97" s="5">
        <v>16.9</v>
      </c>
      <c r="I97" s="5">
        <v>64.5</v>
      </c>
      <c r="J97" s="5">
        <v>128.38152083333333</v>
      </c>
      <c r="K97" s="23">
        <v>0.89</v>
      </c>
      <c r="L97" s="7">
        <f t="shared" si="16"/>
        <v>104.80404869999998</v>
      </c>
      <c r="M97" s="7">
        <f t="shared" si="16"/>
        <v>399.99178349999994</v>
      </c>
      <c r="N97" s="7">
        <f t="shared" si="16"/>
        <v>796.1481160708123</v>
      </c>
      <c r="O97" s="7">
        <f t="shared" si="16"/>
        <v>5.51926647</v>
      </c>
      <c r="P97" s="7">
        <f t="shared" si="17"/>
        <v>63.795659266079994</v>
      </c>
      <c r="Q97" s="7">
        <f t="shared" si="17"/>
        <v>245.43016711919995</v>
      </c>
      <c r="R97" s="7">
        <f t="shared" si="17"/>
        <v>471.69796575016386</v>
      </c>
      <c r="S97" s="7">
        <f t="shared" si="17"/>
        <v>3.4218847262879994</v>
      </c>
    </row>
    <row r="98" spans="1:19" ht="12.75">
      <c r="A98">
        <v>25</v>
      </c>
      <c r="B98" s="100" t="s">
        <v>425</v>
      </c>
      <c r="C98" s="19">
        <v>38187</v>
      </c>
      <c r="D98" s="20">
        <v>0.4548611111111111</v>
      </c>
      <c r="E98" s="4">
        <f t="shared" si="14"/>
        <v>9698</v>
      </c>
      <c r="F98" s="86">
        <v>230</v>
      </c>
      <c r="G98" s="7">
        <f t="shared" si="15"/>
        <v>6.51291</v>
      </c>
      <c r="H98" s="5">
        <v>16.3</v>
      </c>
      <c r="I98" s="5">
        <v>63.2</v>
      </c>
      <c r="J98" s="5">
        <v>117.25935937500002</v>
      </c>
      <c r="K98" s="23">
        <v>0.89</v>
      </c>
      <c r="L98" s="7">
        <f t="shared" si="16"/>
        <v>106.160433</v>
      </c>
      <c r="M98" s="7">
        <f t="shared" si="16"/>
        <v>411.615912</v>
      </c>
      <c r="N98" s="7">
        <f t="shared" si="16"/>
        <v>763.6996542670313</v>
      </c>
      <c r="O98" s="7">
        <f t="shared" si="16"/>
        <v>5.7964899</v>
      </c>
      <c r="P98" s="7">
        <f t="shared" si="17"/>
        <v>63.07208062847999</v>
      </c>
      <c r="Q98" s="7">
        <f t="shared" si="17"/>
        <v>240.9688124424</v>
      </c>
      <c r="R98" s="7">
        <f t="shared" si="17"/>
        <v>357.86742277103053</v>
      </c>
      <c r="S98" s="7">
        <f t="shared" si="17"/>
        <v>3.286845257472</v>
      </c>
    </row>
    <row r="99" spans="1:19" ht="12.75">
      <c r="A99">
        <v>26</v>
      </c>
      <c r="B99" s="100" t="s">
        <v>426</v>
      </c>
      <c r="C99" s="19">
        <v>38194</v>
      </c>
      <c r="D99" s="20">
        <v>0.3854166666666667</v>
      </c>
      <c r="E99" s="4">
        <f t="shared" si="14"/>
        <v>9705</v>
      </c>
      <c r="F99" s="86">
        <v>169</v>
      </c>
      <c r="G99" s="7">
        <f t="shared" si="15"/>
        <v>4.785572999999999</v>
      </c>
      <c r="H99" s="5">
        <v>21.4</v>
      </c>
      <c r="I99" s="5">
        <v>80.5</v>
      </c>
      <c r="J99" s="5">
        <v>87.7061875</v>
      </c>
      <c r="K99" s="23">
        <v>1.06</v>
      </c>
      <c r="L99" s="7">
        <f t="shared" si="16"/>
        <v>102.41126219999998</v>
      </c>
      <c r="M99" s="7">
        <f t="shared" si="16"/>
        <v>385.23862649999995</v>
      </c>
      <c r="N99" s="7">
        <f t="shared" si="16"/>
        <v>419.72436283293746</v>
      </c>
      <c r="O99" s="7">
        <f t="shared" si="16"/>
        <v>5.07270738</v>
      </c>
      <c r="P99" s="7">
        <f t="shared" si="17"/>
        <v>61.30295226719999</v>
      </c>
      <c r="Q99" s="7">
        <f t="shared" si="17"/>
        <v>228.70650937679997</v>
      </c>
      <c r="R99" s="7">
        <f t="shared" si="17"/>
        <v>327.9403738208367</v>
      </c>
      <c r="S99" s="7">
        <f t="shared" si="17"/>
        <v>3.0013528104000002</v>
      </c>
    </row>
    <row r="100" spans="1:19" ht="12.75">
      <c r="A100">
        <v>27</v>
      </c>
      <c r="B100" s="100" t="s">
        <v>427</v>
      </c>
      <c r="C100" s="19">
        <v>38201</v>
      </c>
      <c r="D100" s="20">
        <v>0.3854166666666667</v>
      </c>
      <c r="E100" s="4">
        <f t="shared" si="14"/>
        <v>9712</v>
      </c>
      <c r="F100" s="86">
        <v>144</v>
      </c>
      <c r="G100" s="7">
        <f t="shared" si="15"/>
        <v>4.077648</v>
      </c>
      <c r="H100" s="5">
        <v>24.6</v>
      </c>
      <c r="I100" s="5">
        <v>91</v>
      </c>
      <c r="J100" s="5">
        <v>163.01910937500003</v>
      </c>
      <c r="K100" s="23">
        <v>1.19</v>
      </c>
      <c r="L100" s="7">
        <f t="shared" si="16"/>
        <v>100.3101408</v>
      </c>
      <c r="M100" s="7">
        <f t="shared" si="16"/>
        <v>371.065968</v>
      </c>
      <c r="N100" s="7">
        <f t="shared" si="16"/>
        <v>664.7345453047501</v>
      </c>
      <c r="O100" s="7">
        <f t="shared" si="16"/>
        <v>4.85240112</v>
      </c>
      <c r="P100" s="7">
        <f t="shared" si="17"/>
        <v>60.15892734432</v>
      </c>
      <c r="Q100" s="7">
        <f t="shared" si="17"/>
        <v>222.14720480399995</v>
      </c>
      <c r="R100" s="7">
        <f t="shared" si="17"/>
        <v>392.406796504874</v>
      </c>
      <c r="S100" s="7">
        <f t="shared" si="17"/>
        <v>2.877702212448</v>
      </c>
    </row>
    <row r="101" spans="1:19" ht="12.75">
      <c r="A101">
        <v>28</v>
      </c>
      <c r="B101" s="100" t="s">
        <v>428</v>
      </c>
      <c r="C101" s="19">
        <v>38208</v>
      </c>
      <c r="D101" s="10">
        <v>0.53125</v>
      </c>
      <c r="E101" s="4">
        <f t="shared" si="14"/>
        <v>9719</v>
      </c>
      <c r="F101" s="86">
        <v>135</v>
      </c>
      <c r="G101" s="7">
        <f t="shared" si="15"/>
        <v>3.8227949999999997</v>
      </c>
      <c r="H101" s="5">
        <v>25.8</v>
      </c>
      <c r="I101" s="5">
        <v>95.1</v>
      </c>
      <c r="J101" s="5">
        <v>165.56131770833335</v>
      </c>
      <c r="K101" s="23">
        <v>1.22</v>
      </c>
      <c r="L101" s="7">
        <f t="shared" si="16"/>
        <v>98.62811099999999</v>
      </c>
      <c r="M101" s="7">
        <f t="shared" si="16"/>
        <v>363.5478044999999</v>
      </c>
      <c r="N101" s="7">
        <f t="shared" si="16"/>
        <v>632.9069775288282</v>
      </c>
      <c r="O101" s="7">
        <f t="shared" si="16"/>
        <v>4.6638098999999995</v>
      </c>
      <c r="P101" s="7">
        <f t="shared" si="17"/>
        <v>59.52697345727999</v>
      </c>
      <c r="Q101" s="7">
        <f t="shared" si="17"/>
        <v>219.89683242575998</v>
      </c>
      <c r="R101" s="7">
        <f t="shared" si="17"/>
        <v>377.14938938869506</v>
      </c>
      <c r="S101" s="7">
        <f t="shared" si="17"/>
        <v>2.8006346652479994</v>
      </c>
    </row>
    <row r="102" spans="1:19" ht="12.75">
      <c r="A102">
        <v>29</v>
      </c>
      <c r="B102" s="100" t="s">
        <v>429</v>
      </c>
      <c r="C102" s="19">
        <v>38215</v>
      </c>
      <c r="D102" s="10">
        <v>0.3645833333333333</v>
      </c>
      <c r="E102" s="4">
        <f t="shared" si="14"/>
        <v>9726</v>
      </c>
      <c r="F102" s="86">
        <v>123</v>
      </c>
      <c r="G102" s="7">
        <f t="shared" si="15"/>
        <v>3.4829909999999997</v>
      </c>
      <c r="H102" s="5">
        <v>28.2</v>
      </c>
      <c r="I102" s="5">
        <v>104.4</v>
      </c>
      <c r="J102" s="5">
        <v>176.36570312499998</v>
      </c>
      <c r="K102" s="23">
        <v>1.32</v>
      </c>
      <c r="L102" s="7">
        <f t="shared" si="16"/>
        <v>98.2203462</v>
      </c>
      <c r="M102" s="7">
        <f t="shared" si="16"/>
        <v>363.62426039999997</v>
      </c>
      <c r="N102" s="7">
        <f t="shared" si="16"/>
        <v>614.2801566930468</v>
      </c>
      <c r="O102" s="7">
        <f t="shared" si="16"/>
        <v>4.59754812</v>
      </c>
      <c r="P102" s="7">
        <f t="shared" si="17"/>
        <v>61.81331069087999</v>
      </c>
      <c r="Q102" s="7">
        <f t="shared" si="17"/>
        <v>228.51555312095996</v>
      </c>
      <c r="R102" s="7">
        <f t="shared" si="17"/>
        <v>398.8232341684998</v>
      </c>
      <c r="S102" s="7">
        <f t="shared" si="17"/>
        <v>2.9444940866879996</v>
      </c>
    </row>
    <row r="103" spans="1:19" ht="12.75">
      <c r="A103">
        <v>30</v>
      </c>
      <c r="B103" s="100" t="s">
        <v>430</v>
      </c>
      <c r="C103" s="19">
        <v>38222</v>
      </c>
      <c r="D103" s="10">
        <v>0.4166666666666667</v>
      </c>
      <c r="E103" s="4">
        <f t="shared" si="14"/>
        <v>9733</v>
      </c>
      <c r="F103" s="86">
        <v>150</v>
      </c>
      <c r="G103" s="7">
        <f t="shared" si="15"/>
        <v>4.2475499999999995</v>
      </c>
      <c r="H103" s="5">
        <v>25</v>
      </c>
      <c r="I103" s="5">
        <v>92.3</v>
      </c>
      <c r="J103" s="5">
        <v>165.87909374999998</v>
      </c>
      <c r="K103" s="23">
        <v>1.21</v>
      </c>
      <c r="L103" s="7">
        <f t="shared" si="16"/>
        <v>106.18874999999998</v>
      </c>
      <c r="M103" s="7">
        <f t="shared" si="16"/>
        <v>392.0488649999999</v>
      </c>
      <c r="N103" s="7">
        <f t="shared" si="16"/>
        <v>704.5797446578123</v>
      </c>
      <c r="O103" s="7">
        <f t="shared" si="16"/>
        <v>5.139535499999999</v>
      </c>
      <c r="P103" s="7">
        <f t="shared" si="17"/>
        <v>19.937741448959997</v>
      </c>
      <c r="Q103" s="7">
        <f t="shared" si="17"/>
        <v>73.19949030719998</v>
      </c>
      <c r="R103" s="7">
        <f t="shared" si="17"/>
        <v>124.23772031650107</v>
      </c>
      <c r="S103" s="7">
        <f t="shared" si="17"/>
        <v>0.899414974656</v>
      </c>
    </row>
    <row r="104" spans="1:19" ht="12.75">
      <c r="A104">
        <v>31</v>
      </c>
      <c r="B104" s="100" t="s">
        <v>431</v>
      </c>
      <c r="C104" s="19">
        <v>38224</v>
      </c>
      <c r="D104" s="10">
        <v>0.4201388888888889</v>
      </c>
      <c r="E104" s="4">
        <f t="shared" si="14"/>
        <v>9735</v>
      </c>
      <c r="F104" s="86">
        <v>141</v>
      </c>
      <c r="G104" s="7">
        <f t="shared" si="15"/>
        <v>3.9926969999999997</v>
      </c>
      <c r="H104" s="5">
        <v>31.2</v>
      </c>
      <c r="I104" s="5">
        <v>114</v>
      </c>
      <c r="J104" s="5">
        <v>183.67455208333334</v>
      </c>
      <c r="K104" s="23">
        <v>1.32</v>
      </c>
      <c r="L104" s="7">
        <f t="shared" si="16"/>
        <v>124.5721464</v>
      </c>
      <c r="M104" s="7">
        <f t="shared" si="16"/>
        <v>455.16745799999995</v>
      </c>
      <c r="N104" s="7">
        <f t="shared" si="16"/>
        <v>733.3568330794687</v>
      </c>
      <c r="O104" s="7">
        <f t="shared" si="16"/>
        <v>5.27036004</v>
      </c>
      <c r="P104" s="7">
        <f t="shared" si="17"/>
        <v>48.5745740352</v>
      </c>
      <c r="Q104" s="7">
        <f t="shared" si="17"/>
        <v>178.81505891999998</v>
      </c>
      <c r="R104" s="7">
        <f t="shared" si="17"/>
        <v>287.5035218490877</v>
      </c>
      <c r="S104" s="7">
        <f t="shared" si="17"/>
        <v>2.1314681625599996</v>
      </c>
    </row>
    <row r="105" spans="1:19" ht="12.75">
      <c r="A105">
        <v>32</v>
      </c>
      <c r="B105" s="100" t="s">
        <v>432</v>
      </c>
      <c r="C105" s="19">
        <v>38229</v>
      </c>
      <c r="D105" s="10">
        <v>0.3958333333333333</v>
      </c>
      <c r="E105" s="4">
        <f t="shared" si="14"/>
        <v>9740</v>
      </c>
      <c r="F105" s="86">
        <v>123</v>
      </c>
      <c r="G105" s="7">
        <f t="shared" si="15"/>
        <v>3.4829909999999997</v>
      </c>
      <c r="H105" s="5">
        <v>28.8</v>
      </c>
      <c r="I105" s="5">
        <v>107</v>
      </c>
      <c r="J105" s="5">
        <v>171.5990625</v>
      </c>
      <c r="K105" s="23">
        <v>1.32</v>
      </c>
      <c r="L105" s="7">
        <f t="shared" si="16"/>
        <v>100.3101408</v>
      </c>
      <c r="M105" s="7">
        <f t="shared" si="16"/>
        <v>372.68003699999997</v>
      </c>
      <c r="N105" s="7">
        <f t="shared" si="16"/>
        <v>597.6779902959374</v>
      </c>
      <c r="O105" s="7">
        <f t="shared" si="16"/>
        <v>4.59754812</v>
      </c>
      <c r="P105" s="7">
        <f t="shared" si="17"/>
        <v>70.16229497088</v>
      </c>
      <c r="Q105" s="7">
        <f t="shared" si="17"/>
        <v>259.32862644479997</v>
      </c>
      <c r="R105" s="7">
        <f t="shared" si="17"/>
        <v>361.9234696983462</v>
      </c>
      <c r="S105" s="7">
        <f t="shared" si="17"/>
        <v>3.146117469696</v>
      </c>
    </row>
    <row r="106" spans="1:19" ht="12.75">
      <c r="A106">
        <v>33</v>
      </c>
      <c r="B106" s="100" t="s">
        <v>433</v>
      </c>
      <c r="C106" s="19">
        <v>38237</v>
      </c>
      <c r="D106" s="10">
        <v>0.3854166666666667</v>
      </c>
      <c r="E106" s="4">
        <f t="shared" si="14"/>
        <v>9748</v>
      </c>
      <c r="F106" s="86">
        <v>117</v>
      </c>
      <c r="G106" s="7">
        <f t="shared" si="15"/>
        <v>3.3130889999999997</v>
      </c>
      <c r="H106" s="5">
        <v>31</v>
      </c>
      <c r="I106" s="5">
        <v>114</v>
      </c>
      <c r="J106" s="5">
        <v>135.69036979166668</v>
      </c>
      <c r="K106" s="23">
        <v>1.36</v>
      </c>
      <c r="L106" s="7">
        <f t="shared" si="16"/>
        <v>102.70575899999999</v>
      </c>
      <c r="M106" s="7">
        <f t="shared" si="16"/>
        <v>377.692146</v>
      </c>
      <c r="N106" s="7">
        <f t="shared" si="16"/>
        <v>449.55427156270315</v>
      </c>
      <c r="O106" s="7">
        <f t="shared" si="16"/>
        <v>4.50580104</v>
      </c>
      <c r="P106" s="7">
        <f t="shared" si="17"/>
        <v>54.13664901311999</v>
      </c>
      <c r="Q106" s="7">
        <f t="shared" si="17"/>
        <v>200.40204587903997</v>
      </c>
      <c r="R106" s="7">
        <f t="shared" si="17"/>
        <v>223.35780442813606</v>
      </c>
      <c r="S106" s="7">
        <f t="shared" si="17"/>
        <v>2.3886535772160005</v>
      </c>
    </row>
    <row r="107" spans="1:19" ht="12.75">
      <c r="A107">
        <v>34</v>
      </c>
      <c r="B107" s="100" t="s">
        <v>434</v>
      </c>
      <c r="C107" s="19">
        <v>38243</v>
      </c>
      <c r="D107" s="10">
        <v>0.4236111111111111</v>
      </c>
      <c r="E107" s="4">
        <f t="shared" si="14"/>
        <v>9754</v>
      </c>
      <c r="F107" s="86">
        <v>132</v>
      </c>
      <c r="G107" s="7">
        <f t="shared" si="15"/>
        <v>3.737844</v>
      </c>
      <c r="H107" s="5">
        <v>28.4</v>
      </c>
      <c r="I107" s="5">
        <v>105.8</v>
      </c>
      <c r="J107" s="5">
        <v>110.26828645833334</v>
      </c>
      <c r="K107" s="23">
        <v>1.26</v>
      </c>
      <c r="L107" s="7">
        <f t="shared" si="16"/>
        <v>106.1547696</v>
      </c>
      <c r="M107" s="7">
        <f t="shared" si="16"/>
        <v>395.46389519999997</v>
      </c>
      <c r="N107" s="7">
        <f t="shared" si="16"/>
        <v>412.1656529285625</v>
      </c>
      <c r="O107" s="7">
        <f t="shared" si="16"/>
        <v>4.70968344</v>
      </c>
      <c r="P107" s="7">
        <f t="shared" si="17"/>
        <v>64.479847824</v>
      </c>
      <c r="Q107" s="7">
        <f t="shared" si="17"/>
        <v>240.83094716351994</v>
      </c>
      <c r="R107" s="7">
        <f t="shared" si="17"/>
        <v>331.17308287273977</v>
      </c>
      <c r="S107" s="7">
        <f t="shared" si="17"/>
        <v>2.9131532841600003</v>
      </c>
    </row>
    <row r="108" spans="1:19" ht="12.75">
      <c r="A108">
        <v>35</v>
      </c>
      <c r="B108" s="100" t="s">
        <v>435</v>
      </c>
      <c r="C108" s="19">
        <v>38250</v>
      </c>
      <c r="D108" s="10">
        <v>0.4479166666666667</v>
      </c>
      <c r="E108" s="4">
        <f t="shared" si="14"/>
        <v>9761</v>
      </c>
      <c r="F108" s="86">
        <v>138</v>
      </c>
      <c r="G108" s="7">
        <f t="shared" si="15"/>
        <v>3.907746</v>
      </c>
      <c r="H108" s="5">
        <v>27.4</v>
      </c>
      <c r="I108" s="5">
        <v>102.6</v>
      </c>
      <c r="J108" s="5">
        <v>174.77682291666665</v>
      </c>
      <c r="K108" s="23">
        <v>1.26</v>
      </c>
      <c r="L108" s="7">
        <f t="shared" si="16"/>
        <v>107.0722404</v>
      </c>
      <c r="M108" s="7">
        <f t="shared" si="16"/>
        <v>400.93473959999994</v>
      </c>
      <c r="N108" s="7">
        <f t="shared" si="16"/>
        <v>682.9834306453124</v>
      </c>
      <c r="O108" s="7">
        <f t="shared" si="16"/>
        <v>4.92375996</v>
      </c>
      <c r="P108" s="7">
        <f t="shared" si="17"/>
        <v>92.00334770688357</v>
      </c>
      <c r="Q108" s="7">
        <f t="shared" si="17"/>
        <v>340.27647675935015</v>
      </c>
      <c r="R108" s="7">
        <f t="shared" si="17"/>
        <v>502.411434394336</v>
      </c>
      <c r="S108" s="7">
        <f t="shared" si="17"/>
        <v>4.0314469807867095</v>
      </c>
    </row>
    <row r="109" spans="1:17" ht="12.75">
      <c r="A109">
        <v>36</v>
      </c>
      <c r="B109" s="17"/>
      <c r="C109" s="88">
        <v>38260</v>
      </c>
      <c r="D109" s="17"/>
      <c r="E109" s="4">
        <f t="shared" si="14"/>
        <v>9771</v>
      </c>
      <c r="F109" s="86">
        <v>115</v>
      </c>
      <c r="G109" s="7">
        <f t="shared" si="15"/>
        <v>3.256455</v>
      </c>
      <c r="H109" s="5">
        <f>94.406*G109^-0.9027</f>
        <v>32.51955635328992</v>
      </c>
      <c r="I109" s="5">
        <f>305.98*G109^-0.8016</f>
        <v>118.76174856877581</v>
      </c>
      <c r="J109" s="5">
        <f>191.21*G109^-0.2204</f>
        <v>147.4013922572423</v>
      </c>
      <c r="K109" s="23">
        <f>2.4579*G109^-0.5052</f>
        <v>1.35370924402933</v>
      </c>
      <c r="L109" s="7">
        <f t="shared" si="16"/>
        <v>105.89847188445273</v>
      </c>
      <c r="M109" s="7">
        <f t="shared" si="16"/>
        <v>386.7422899355328</v>
      </c>
      <c r="N109" s="7">
        <f t="shared" si="16"/>
        <v>480.00600082305795</v>
      </c>
      <c r="O109" s="7">
        <f t="shared" si="16"/>
        <v>4.408293236265531</v>
      </c>
      <c r="P109" s="7"/>
      <c r="Q109" s="17"/>
    </row>
    <row r="110" spans="7:17" ht="12.75">
      <c r="G110" s="11"/>
      <c r="I110" s="57"/>
      <c r="J110" s="57"/>
      <c r="L110" s="11"/>
      <c r="M110" s="11"/>
      <c r="N110" s="11"/>
      <c r="O110" s="11"/>
      <c r="P110" s="18"/>
      <c r="Q110" s="11"/>
    </row>
    <row r="111" spans="2:19" ht="12.75">
      <c r="B111" s="35" t="s">
        <v>224</v>
      </c>
      <c r="F111" s="11"/>
      <c r="G111" s="11"/>
      <c r="I111" s="57"/>
      <c r="J111" s="57"/>
      <c r="L111" s="11"/>
      <c r="M111" s="11"/>
      <c r="N111" s="11"/>
      <c r="O111" s="11"/>
      <c r="P111" s="11">
        <f>SUM(P74:P108)</f>
        <v>3496.7938803787215</v>
      </c>
      <c r="Q111" s="11">
        <f>SUM(Q74:Q108)</f>
        <v>12937.72648776287</v>
      </c>
      <c r="R111" s="11">
        <f>SUM(R74:R108)</f>
        <v>20794.305359403777</v>
      </c>
      <c r="S111" s="11">
        <f>SUM(S74:S108)</f>
        <v>159.9971035868347</v>
      </c>
    </row>
    <row r="114" spans="1:3" ht="12.75">
      <c r="A114" t="s">
        <v>622</v>
      </c>
      <c r="C114" s="49" t="s">
        <v>621</v>
      </c>
    </row>
    <row r="115" spans="1:3" ht="12.75">
      <c r="A115" t="s">
        <v>624</v>
      </c>
      <c r="C115" s="49" t="s">
        <v>623</v>
      </c>
    </row>
    <row r="116" spans="1:3" ht="12.75">
      <c r="A116" t="s">
        <v>626</v>
      </c>
      <c r="C116" s="49" t="s">
        <v>625</v>
      </c>
    </row>
    <row r="117" spans="1:3" ht="12.75">
      <c r="A117" t="s">
        <v>628</v>
      </c>
      <c r="C117" s="49" t="s">
        <v>627</v>
      </c>
    </row>
  </sheetData>
  <dataValidations count="1">
    <dataValidation type="textLength" operator="greaterThanOrEqual" allowBlank="1" showInputMessage="1" showErrorMessage="1" sqref="P110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1"/>
  <sheetViews>
    <sheetView workbookViewId="0" topLeftCell="A1">
      <pane xSplit="2" ySplit="2" topLeftCell="D3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65" sqref="P65:S65"/>
    </sheetView>
  </sheetViews>
  <sheetFormatPr defaultColWidth="9.140625" defaultRowHeight="12.75"/>
  <cols>
    <col min="3" max="3" width="9.140625" style="49" customWidth="1"/>
    <col min="8" max="10" width="9.140625" style="5" customWidth="1"/>
    <col min="11" max="11" width="9.140625" style="23" customWidth="1"/>
  </cols>
  <sheetData>
    <row r="1" spans="2:19" ht="13.5" thickBot="1">
      <c r="B1" s="67" t="s">
        <v>436</v>
      </c>
      <c r="C1" s="68"/>
      <c r="D1" s="69"/>
      <c r="E1" s="69"/>
      <c r="F1" s="69"/>
      <c r="G1" s="70"/>
      <c r="H1" s="109"/>
      <c r="I1" s="110"/>
      <c r="J1" s="110"/>
      <c r="K1" s="71"/>
      <c r="L1" s="74"/>
      <c r="M1" s="74"/>
      <c r="N1" s="74"/>
      <c r="O1" s="74"/>
      <c r="P1" s="75"/>
      <c r="Q1" s="75"/>
      <c r="R1" s="75"/>
      <c r="S1" s="75"/>
    </row>
    <row r="2" spans="2:19" ht="52.5" thickBot="1" thickTop="1">
      <c r="B2" s="78" t="s">
        <v>0</v>
      </c>
      <c r="C2" s="138" t="s">
        <v>1</v>
      </c>
      <c r="D2" s="79" t="s">
        <v>163</v>
      </c>
      <c r="E2" s="79" t="s">
        <v>29</v>
      </c>
      <c r="F2" s="79" t="s">
        <v>162</v>
      </c>
      <c r="G2" s="80" t="s">
        <v>161</v>
      </c>
      <c r="H2" s="111" t="s">
        <v>2</v>
      </c>
      <c r="I2" s="111" t="s">
        <v>158</v>
      </c>
      <c r="J2" s="111" t="s">
        <v>159</v>
      </c>
      <c r="K2" s="113" t="s">
        <v>160</v>
      </c>
      <c r="L2" s="80" t="s">
        <v>176</v>
      </c>
      <c r="M2" s="80" t="s">
        <v>177</v>
      </c>
      <c r="N2" s="80" t="s">
        <v>178</v>
      </c>
      <c r="O2" s="80" t="s">
        <v>179</v>
      </c>
      <c r="P2" s="81" t="s">
        <v>180</v>
      </c>
      <c r="Q2" s="81" t="s">
        <v>181</v>
      </c>
      <c r="R2" s="81" t="s">
        <v>182</v>
      </c>
      <c r="S2" s="81" t="s">
        <v>183</v>
      </c>
    </row>
    <row r="3" spans="1:19" ht="12.75">
      <c r="A3">
        <v>1</v>
      </c>
      <c r="B3" s="1"/>
      <c r="C3" s="19">
        <v>37530</v>
      </c>
      <c r="D3" s="10"/>
      <c r="E3" s="4">
        <f>C3-28489</f>
        <v>9041</v>
      </c>
      <c r="F3" s="82">
        <v>238</v>
      </c>
      <c r="G3" s="7">
        <f aca="true" t="shared" si="0" ref="G3:G30">F3*0.028317</f>
        <v>6.739446</v>
      </c>
      <c r="H3" s="5">
        <f>475.32*G3^-0.9427</f>
        <v>78.67596113536763</v>
      </c>
      <c r="I3" s="5">
        <f>67.67*G3^-0.8126</f>
        <v>14.35675050901497</v>
      </c>
      <c r="J3" s="5">
        <f>873.11*G3^-0.9206</f>
        <v>150.74312901771663</v>
      </c>
      <c r="K3" s="23">
        <f>52.923*G3^-0.8934</f>
        <v>9.62391096079413</v>
      </c>
      <c r="L3" s="7">
        <f>(H3*$G3)</f>
        <v>530.2323915699088</v>
      </c>
      <c r="M3" s="7">
        <f>(I3*$G3)</f>
        <v>96.75654479097891</v>
      </c>
      <c r="N3" s="7">
        <f>(J3*$G3)</f>
        <v>1015.9251778859342</v>
      </c>
      <c r="O3" s="7">
        <f>(K3*$G3)</f>
        <v>64.85982822908016</v>
      </c>
      <c r="P3" s="7">
        <f>(((L3+L4)/2)*(($E4-$E3)*24*60*60))/1000000</f>
        <v>2238.733048564463</v>
      </c>
      <c r="Q3" s="7">
        <f>(((M3+M4)/2)*(($E4-$E3)*24*60*60))/1000000</f>
        <v>416.5333633753042</v>
      </c>
      <c r="R3" s="7">
        <f>(((N3+N4)/2)*(($E4-$E3)*24*60*60))/1000000</f>
        <v>4277.099630130332</v>
      </c>
      <c r="S3" s="7">
        <f>(((O3+O4)/2)*(($E4-$E3)*24*60*60))/1000000</f>
        <v>274.6906224986128</v>
      </c>
    </row>
    <row r="4" spans="1:19" ht="12.75">
      <c r="A4">
        <v>2</v>
      </c>
      <c r="B4" s="1" t="s">
        <v>437</v>
      </c>
      <c r="C4" s="19">
        <v>37579</v>
      </c>
      <c r="D4" s="10">
        <v>0.5833333333333334</v>
      </c>
      <c r="E4" s="4">
        <f>C4-28489</f>
        <v>9090</v>
      </c>
      <c r="F4" s="34">
        <v>247</v>
      </c>
      <c r="G4" s="7">
        <f t="shared" si="0"/>
        <v>6.994299</v>
      </c>
      <c r="H4" s="5">
        <v>75.4</v>
      </c>
      <c r="I4" s="5">
        <v>14.3</v>
      </c>
      <c r="J4" s="5">
        <v>143.63477083333333</v>
      </c>
      <c r="K4" s="23">
        <v>9.28</v>
      </c>
      <c r="L4" s="7">
        <f aca="true" t="shared" si="1" ref="L4:L30">(H4*$G4)</f>
        <v>527.3701446</v>
      </c>
      <c r="M4" s="7">
        <f aca="true" t="shared" si="2" ref="M4:M30">(I4*$G4)</f>
        <v>100.0184757</v>
      </c>
      <c r="N4" s="7">
        <f aca="true" t="shared" si="3" ref="N4:N30">(J4*$G4)</f>
        <v>1004.6245340048125</v>
      </c>
      <c r="O4" s="7">
        <f aca="true" t="shared" si="4" ref="O4:O30">(K4*$G4)</f>
        <v>64.90709471999999</v>
      </c>
      <c r="P4" s="7">
        <f aca="true" t="shared" si="5" ref="P4:P29">(((L4+L5)/2)*(($E5-$E4)*24*60*60))/1000000</f>
        <v>1190.2582391356184</v>
      </c>
      <c r="Q4" s="7">
        <f aca="true" t="shared" si="6" ref="Q4:Q29">(((M4+M5)/2)*(($E5-$E4)*24*60*60))/1000000</f>
        <v>222.43193883301367</v>
      </c>
      <c r="R4" s="7">
        <f aca="true" t="shared" si="7" ref="R4:R29">(((N4+N5)/2)*(($E5-$E4)*24*60*60))/1000000</f>
        <v>2275.7495033166065</v>
      </c>
      <c r="S4" s="7">
        <f aca="true" t="shared" si="8" ref="S4:S29">(((O4+O5)/2)*(($E5-$E4)*24*60*60))/1000000</f>
        <v>146.291972608565</v>
      </c>
    </row>
    <row r="5" spans="1:19" ht="12.75">
      <c r="A5">
        <v>3</v>
      </c>
      <c r="B5" s="1"/>
      <c r="C5" s="19">
        <v>37605</v>
      </c>
      <c r="D5" s="10"/>
      <c r="E5" s="4">
        <f>C5-28489</f>
        <v>9116</v>
      </c>
      <c r="F5" s="34">
        <v>255</v>
      </c>
      <c r="G5" s="7">
        <f t="shared" si="0"/>
        <v>7.220834999999999</v>
      </c>
      <c r="H5" s="5">
        <f>475.32*G5^-0.9427</f>
        <v>73.7217653683097</v>
      </c>
      <c r="I5" s="5">
        <f>67.67*G5^-0.8126</f>
        <v>13.574006036199565</v>
      </c>
      <c r="J5" s="5">
        <f>873.11*G5^-0.9206</f>
        <v>141.4664262231459</v>
      </c>
      <c r="K5" s="23">
        <f>52.923*G5^-0.8934</f>
        <v>9.048622131479966</v>
      </c>
      <c r="L5" s="7">
        <f t="shared" si="1"/>
        <v>532.3327036332786</v>
      </c>
      <c r="M5" s="7">
        <f t="shared" si="2"/>
        <v>98.01565787640108</v>
      </c>
      <c r="N5" s="7">
        <f t="shared" si="3"/>
        <v>1021.5057217970096</v>
      </c>
      <c r="O5" s="7">
        <f t="shared" si="4"/>
        <v>65.33860738876514</v>
      </c>
      <c r="P5" s="7">
        <f t="shared" si="5"/>
        <v>1449.789199300729</v>
      </c>
      <c r="Q5" s="7">
        <f t="shared" si="6"/>
        <v>269.2729654398158</v>
      </c>
      <c r="R5" s="7">
        <f t="shared" si="7"/>
        <v>2718.5894495843904</v>
      </c>
      <c r="S5" s="7">
        <f t="shared" si="8"/>
        <v>175.54697814943964</v>
      </c>
    </row>
    <row r="6" spans="1:19" ht="12.75">
      <c r="A6">
        <v>4</v>
      </c>
      <c r="B6" s="1" t="s">
        <v>438</v>
      </c>
      <c r="C6" s="19">
        <v>37635</v>
      </c>
      <c r="D6" s="10">
        <v>0.6152777777777778</v>
      </c>
      <c r="E6" s="4">
        <f>C6-28489</f>
        <v>9146</v>
      </c>
      <c r="F6" s="34">
        <v>255</v>
      </c>
      <c r="G6" s="7">
        <f t="shared" si="0"/>
        <v>7.220834999999999</v>
      </c>
      <c r="H6" s="5">
        <v>81.2</v>
      </c>
      <c r="I6" s="5">
        <v>15.2</v>
      </c>
      <c r="J6" s="5">
        <v>149.03696354166667</v>
      </c>
      <c r="K6" s="23">
        <v>9.71</v>
      </c>
      <c r="L6" s="7">
        <f t="shared" si="1"/>
        <v>586.3318019999999</v>
      </c>
      <c r="M6" s="7">
        <f t="shared" si="2"/>
        <v>109.75669199999999</v>
      </c>
      <c r="N6" s="7">
        <f t="shared" si="3"/>
        <v>1076.1713226353904</v>
      </c>
      <c r="O6" s="7">
        <f t="shared" si="4"/>
        <v>70.11430785</v>
      </c>
      <c r="P6" s="7">
        <f t="shared" si="5"/>
        <v>49.380113397599985</v>
      </c>
      <c r="Q6" s="7">
        <f t="shared" si="6"/>
        <v>9.295814145599998</v>
      </c>
      <c r="R6" s="7">
        <f t="shared" si="7"/>
        <v>91.59342313725449</v>
      </c>
      <c r="S6" s="7">
        <f t="shared" si="8"/>
        <v>5.9424583716</v>
      </c>
    </row>
    <row r="7" spans="1:19" ht="12.75">
      <c r="A7">
        <v>5</v>
      </c>
      <c r="B7" s="1" t="s">
        <v>439</v>
      </c>
      <c r="C7" s="19">
        <v>37636</v>
      </c>
      <c r="D7" s="10">
        <v>0.5708333333333333</v>
      </c>
      <c r="E7" s="4">
        <f aca="true" t="shared" si="9" ref="E7:E30">C7-28489</f>
        <v>9147</v>
      </c>
      <c r="F7" s="34">
        <v>255</v>
      </c>
      <c r="G7" s="7">
        <f t="shared" si="0"/>
        <v>7.220834999999999</v>
      </c>
      <c r="H7" s="5">
        <v>77.1</v>
      </c>
      <c r="I7" s="5">
        <v>14.6</v>
      </c>
      <c r="J7" s="5">
        <v>144.58809895833332</v>
      </c>
      <c r="K7" s="23">
        <v>9.34</v>
      </c>
      <c r="L7" s="7">
        <f t="shared" si="1"/>
        <v>556.7263784999999</v>
      </c>
      <c r="M7" s="7">
        <f t="shared" si="2"/>
        <v>105.42419099999998</v>
      </c>
      <c r="N7" s="7">
        <f t="shared" si="3"/>
        <v>1044.0468055417966</v>
      </c>
      <c r="O7" s="7">
        <f t="shared" si="4"/>
        <v>67.4425989</v>
      </c>
      <c r="P7" s="7">
        <f t="shared" si="5"/>
        <v>732.8628304488</v>
      </c>
      <c r="Q7" s="7">
        <f t="shared" si="6"/>
        <v>140.74736048639997</v>
      </c>
      <c r="R7" s="7">
        <f t="shared" si="7"/>
        <v>1385.1143692572475</v>
      </c>
      <c r="S7" s="7">
        <f t="shared" si="8"/>
        <v>88.39317374351998</v>
      </c>
    </row>
    <row r="8" spans="1:19" ht="12.75">
      <c r="A8">
        <v>6</v>
      </c>
      <c r="B8" s="1" t="s">
        <v>440</v>
      </c>
      <c r="C8" s="19">
        <v>37651</v>
      </c>
      <c r="D8" s="10">
        <v>0.46875</v>
      </c>
      <c r="E8" s="4">
        <f t="shared" si="9"/>
        <v>9162</v>
      </c>
      <c r="F8" s="34">
        <v>258</v>
      </c>
      <c r="G8" s="7">
        <f t="shared" si="0"/>
        <v>7.3057859999999994</v>
      </c>
      <c r="H8" s="5">
        <v>78.6</v>
      </c>
      <c r="I8" s="5">
        <v>15.3</v>
      </c>
      <c r="J8" s="5">
        <v>149.672515625</v>
      </c>
      <c r="K8" s="23">
        <v>9.44</v>
      </c>
      <c r="L8" s="7">
        <f t="shared" si="1"/>
        <v>574.2347795999999</v>
      </c>
      <c r="M8" s="7">
        <f t="shared" si="2"/>
        <v>111.7785258</v>
      </c>
      <c r="N8" s="7">
        <f t="shared" si="3"/>
        <v>1093.475369237906</v>
      </c>
      <c r="O8" s="7">
        <f t="shared" si="4"/>
        <v>68.96661983999999</v>
      </c>
      <c r="P8" s="7">
        <f t="shared" si="5"/>
        <v>1365.49650218688</v>
      </c>
      <c r="Q8" s="7">
        <f t="shared" si="6"/>
        <v>262.11186586368</v>
      </c>
      <c r="R8" s="7">
        <f t="shared" si="7"/>
        <v>2586.2543178605774</v>
      </c>
      <c r="S8" s="7">
        <f t="shared" si="8"/>
        <v>164.47173635289602</v>
      </c>
    </row>
    <row r="9" spans="1:19" ht="12.75">
      <c r="A9">
        <v>7</v>
      </c>
      <c r="B9" s="1" t="s">
        <v>441</v>
      </c>
      <c r="C9" s="19">
        <v>37679</v>
      </c>
      <c r="D9" s="10">
        <v>0.6104166666666667</v>
      </c>
      <c r="E9" s="4">
        <f t="shared" si="9"/>
        <v>9190</v>
      </c>
      <c r="F9" s="34">
        <v>247</v>
      </c>
      <c r="G9" s="7">
        <f t="shared" si="0"/>
        <v>6.994299</v>
      </c>
      <c r="H9" s="5">
        <v>79.3</v>
      </c>
      <c r="I9" s="5">
        <v>15</v>
      </c>
      <c r="J9" s="5">
        <v>149.35473958333333</v>
      </c>
      <c r="K9" s="23">
        <v>9.58</v>
      </c>
      <c r="L9" s="7">
        <f t="shared" si="1"/>
        <v>554.6479107</v>
      </c>
      <c r="M9" s="7">
        <f t="shared" si="2"/>
        <v>104.914485</v>
      </c>
      <c r="N9" s="7">
        <f t="shared" si="3"/>
        <v>1044.6317057129686</v>
      </c>
      <c r="O9" s="7">
        <f t="shared" si="4"/>
        <v>67.00538442</v>
      </c>
      <c r="P9" s="7">
        <f t="shared" si="5"/>
        <v>760.2676832448</v>
      </c>
      <c r="Q9" s="7">
        <f t="shared" si="6"/>
        <v>149.3844305976</v>
      </c>
      <c r="R9" s="7">
        <f t="shared" si="7"/>
        <v>1441.5410025459673</v>
      </c>
      <c r="S9" s="7">
        <f t="shared" si="8"/>
        <v>91.18430341127998</v>
      </c>
    </row>
    <row r="10" spans="1:19" ht="12.75">
      <c r="A10">
        <v>8</v>
      </c>
      <c r="B10" s="1" t="s">
        <v>442</v>
      </c>
      <c r="C10" s="19">
        <v>37694</v>
      </c>
      <c r="D10" s="9">
        <v>0.6083333333333333</v>
      </c>
      <c r="E10" s="4">
        <f t="shared" si="9"/>
        <v>9205</v>
      </c>
      <c r="F10" s="32">
        <v>279</v>
      </c>
      <c r="G10" s="7">
        <f t="shared" si="0"/>
        <v>7.900442999999999</v>
      </c>
      <c r="H10" s="5">
        <v>78.3</v>
      </c>
      <c r="I10" s="5">
        <v>15.9</v>
      </c>
      <c r="J10" s="5">
        <v>149.35473958333333</v>
      </c>
      <c r="K10" s="23">
        <v>9.33</v>
      </c>
      <c r="L10" s="7">
        <f t="shared" si="1"/>
        <v>618.6046868999999</v>
      </c>
      <c r="M10" s="7">
        <f t="shared" si="2"/>
        <v>125.6170437</v>
      </c>
      <c r="N10" s="7">
        <f t="shared" si="3"/>
        <v>1179.9686068579686</v>
      </c>
      <c r="O10" s="7">
        <f t="shared" si="4"/>
        <v>73.71113319</v>
      </c>
      <c r="P10" s="7">
        <f t="shared" si="5"/>
        <v>1224.14679153792</v>
      </c>
      <c r="Q10" s="7">
        <f t="shared" si="6"/>
        <v>242.53817682816</v>
      </c>
      <c r="R10" s="7">
        <f t="shared" si="7"/>
        <v>2317.287948951491</v>
      </c>
      <c r="S10" s="7">
        <f t="shared" si="8"/>
        <v>146.81206266739198</v>
      </c>
    </row>
    <row r="11" spans="1:19" ht="12.75">
      <c r="A11">
        <v>9</v>
      </c>
      <c r="B11" s="1" t="s">
        <v>443</v>
      </c>
      <c r="C11" s="19">
        <v>37718</v>
      </c>
      <c r="D11" s="10">
        <v>0.4770833333333333</v>
      </c>
      <c r="E11" s="4">
        <f t="shared" si="9"/>
        <v>9229</v>
      </c>
      <c r="F11" s="34">
        <v>250</v>
      </c>
      <c r="G11" s="7">
        <f t="shared" si="0"/>
        <v>7.07925</v>
      </c>
      <c r="H11" s="5">
        <v>79.4</v>
      </c>
      <c r="I11" s="5">
        <v>15.3</v>
      </c>
      <c r="J11" s="5">
        <v>149.03696354166667</v>
      </c>
      <c r="K11" s="23">
        <v>9.59</v>
      </c>
      <c r="L11" s="7">
        <f t="shared" si="1"/>
        <v>562.0924500000001</v>
      </c>
      <c r="M11" s="7">
        <f t="shared" si="2"/>
        <v>108.31252500000001</v>
      </c>
      <c r="N11" s="7">
        <f t="shared" si="3"/>
        <v>1055.0699241523437</v>
      </c>
      <c r="O11" s="7">
        <f t="shared" si="4"/>
        <v>67.8900075</v>
      </c>
      <c r="P11" s="7">
        <f t="shared" si="5"/>
        <v>381.9046976266512</v>
      </c>
      <c r="Q11" s="7">
        <f t="shared" si="6"/>
        <v>73.56835719156388</v>
      </c>
      <c r="R11" s="7">
        <f t="shared" si="7"/>
        <v>727.4642350701866</v>
      </c>
      <c r="S11" s="7">
        <f t="shared" si="8"/>
        <v>46.889333121832244</v>
      </c>
    </row>
    <row r="12" spans="1:19" ht="12.75">
      <c r="A12">
        <v>10</v>
      </c>
      <c r="B12" s="1"/>
      <c r="C12" s="19">
        <v>37726</v>
      </c>
      <c r="D12" s="10"/>
      <c r="E12" s="4">
        <f t="shared" si="9"/>
        <v>9237</v>
      </c>
      <c r="F12" s="34">
        <v>360</v>
      </c>
      <c r="G12" s="7">
        <f t="shared" si="0"/>
        <v>10.19412</v>
      </c>
      <c r="H12" s="5">
        <f>475.32*G12^-0.9427</f>
        <v>53.261670933040854</v>
      </c>
      <c r="I12" s="5">
        <f>67.67*G12^-0.8126</f>
        <v>10.256783215302063</v>
      </c>
      <c r="J12" s="5">
        <f>873.11*G12^-0.9206</f>
        <v>102.98694851376582</v>
      </c>
      <c r="K12" s="23">
        <f>52.923*G12^-0.8934</f>
        <v>6.649435773662204</v>
      </c>
      <c r="L12" s="7">
        <f t="shared" si="1"/>
        <v>542.9558648919304</v>
      </c>
      <c r="M12" s="7">
        <f t="shared" si="2"/>
        <v>104.55887891077506</v>
      </c>
      <c r="N12" s="7">
        <f t="shared" si="3"/>
        <v>1049.8613115831504</v>
      </c>
      <c r="O12" s="7">
        <f t="shared" si="4"/>
        <v>67.78514620900535</v>
      </c>
      <c r="P12" s="7">
        <f t="shared" si="5"/>
        <v>386.30170701801114</v>
      </c>
      <c r="Q12" s="7">
        <f t="shared" si="6"/>
        <v>79.92361625844386</v>
      </c>
      <c r="R12" s="7">
        <f t="shared" si="7"/>
        <v>751.6279188924927</v>
      </c>
      <c r="S12" s="7">
        <f t="shared" si="8"/>
        <v>47.92854618052025</v>
      </c>
    </row>
    <row r="13" spans="1:19" ht="12.75">
      <c r="A13">
        <v>11</v>
      </c>
      <c r="B13" s="1" t="s">
        <v>444</v>
      </c>
      <c r="C13" s="19">
        <v>37734</v>
      </c>
      <c r="D13" s="10">
        <v>0.41805555555555557</v>
      </c>
      <c r="E13" s="4">
        <f t="shared" si="9"/>
        <v>9245</v>
      </c>
      <c r="F13" s="34">
        <v>329</v>
      </c>
      <c r="G13" s="7">
        <f t="shared" si="0"/>
        <v>9.316293</v>
      </c>
      <c r="H13" s="5">
        <v>61.7</v>
      </c>
      <c r="I13" s="5">
        <v>13.6</v>
      </c>
      <c r="J13" s="5">
        <v>120.75489583333332</v>
      </c>
      <c r="K13" s="23">
        <v>7.61</v>
      </c>
      <c r="L13" s="7">
        <f t="shared" si="1"/>
        <v>574.8152781</v>
      </c>
      <c r="M13" s="7">
        <f t="shared" si="2"/>
        <v>126.70158479999999</v>
      </c>
      <c r="N13" s="7">
        <f t="shared" si="3"/>
        <v>1124.9879907678123</v>
      </c>
      <c r="O13" s="7">
        <f t="shared" si="4"/>
        <v>70.89698973</v>
      </c>
      <c r="P13" s="7">
        <f t="shared" si="5"/>
        <v>385.2052118299691</v>
      </c>
      <c r="Q13" s="7">
        <f t="shared" si="6"/>
        <v>79.23759962577911</v>
      </c>
      <c r="R13" s="7">
        <f t="shared" si="7"/>
        <v>748.6933132100066</v>
      </c>
      <c r="S13" s="7">
        <f t="shared" si="8"/>
        <v>47.674515647710926</v>
      </c>
    </row>
    <row r="14" spans="1:19" ht="12.75">
      <c r="A14">
        <v>12</v>
      </c>
      <c r="B14" s="1"/>
      <c r="C14" s="19">
        <v>37742</v>
      </c>
      <c r="D14" s="10"/>
      <c r="E14" s="4">
        <f t="shared" si="9"/>
        <v>9253</v>
      </c>
      <c r="F14" s="34">
        <v>325</v>
      </c>
      <c r="G14" s="7">
        <f t="shared" si="0"/>
        <v>9.203025</v>
      </c>
      <c r="H14" s="5">
        <f>475.32*G14^-0.9427</f>
        <v>58.65279467999535</v>
      </c>
      <c r="I14" s="5">
        <f>67.67*G14^-0.8126</f>
        <v>11.145669720569906</v>
      </c>
      <c r="J14" s="5">
        <f>873.11*G14^-0.9206</f>
        <v>113.1551827465781</v>
      </c>
      <c r="K14" s="23">
        <f>52.923*G14^-0.8934</f>
        <v>7.285659243352318</v>
      </c>
      <c r="L14" s="7">
        <f t="shared" si="1"/>
        <v>539.7831357598642</v>
      </c>
      <c r="M14" s="7">
        <f t="shared" si="2"/>
        <v>102.57387708014787</v>
      </c>
      <c r="N14" s="7">
        <f t="shared" si="3"/>
        <v>1041.369975696327</v>
      </c>
      <c r="O14" s="7">
        <f t="shared" si="4"/>
        <v>67.05010415805246</v>
      </c>
      <c r="P14" s="7">
        <f t="shared" si="5"/>
        <v>325.8678727305149</v>
      </c>
      <c r="Q14" s="7">
        <f t="shared" si="6"/>
        <v>61.6696762363787</v>
      </c>
      <c r="R14" s="7">
        <f t="shared" si="7"/>
        <v>628.2364775582092</v>
      </c>
      <c r="S14" s="7">
        <f t="shared" si="8"/>
        <v>40.41508775457435</v>
      </c>
    </row>
    <row r="15" spans="1:19" ht="12.75">
      <c r="A15">
        <v>13</v>
      </c>
      <c r="B15" s="1"/>
      <c r="C15" s="19">
        <v>37749</v>
      </c>
      <c r="D15" s="10"/>
      <c r="E15" s="4">
        <f t="shared" si="9"/>
        <v>9260</v>
      </c>
      <c r="F15" s="34">
        <v>305</v>
      </c>
      <c r="G15" s="7">
        <f t="shared" si="0"/>
        <v>8.636685</v>
      </c>
      <c r="H15" s="5">
        <f>475.32*G15^-0.9427</f>
        <v>62.27183965621722</v>
      </c>
      <c r="I15" s="5">
        <f>67.67*G15^-0.8126</f>
        <v>11.736011844607217</v>
      </c>
      <c r="J15" s="5">
        <f>873.11*G15^-0.9206</f>
        <v>119.96866894306729</v>
      </c>
      <c r="K15" s="23">
        <f>52.923*G15^-0.8934</f>
        <v>7.711022551839343</v>
      </c>
      <c r="L15" s="7">
        <f t="shared" si="1"/>
        <v>537.8222634812564</v>
      </c>
      <c r="M15" s="7">
        <f t="shared" si="2"/>
        <v>101.36023745814148</v>
      </c>
      <c r="N15" s="7">
        <f t="shared" si="3"/>
        <v>1036.1316035305551</v>
      </c>
      <c r="O15" s="7">
        <f t="shared" si="4"/>
        <v>66.59767280813257</v>
      </c>
      <c r="P15" s="7">
        <f t="shared" si="5"/>
        <v>327.4846752027603</v>
      </c>
      <c r="Q15" s="7">
        <f t="shared" si="6"/>
        <v>62.685845197133446</v>
      </c>
      <c r="R15" s="7">
        <f t="shared" si="7"/>
        <v>632.5669540101268</v>
      </c>
      <c r="S15" s="7">
        <f t="shared" si="8"/>
        <v>40.79030731532859</v>
      </c>
    </row>
    <row r="16" spans="1:19" ht="12.75">
      <c r="A16">
        <v>14</v>
      </c>
      <c r="B16" s="1"/>
      <c r="C16" s="19">
        <v>37756</v>
      </c>
      <c r="D16" s="10"/>
      <c r="E16" s="4">
        <f t="shared" si="9"/>
        <v>9267</v>
      </c>
      <c r="F16" s="34">
        <v>386</v>
      </c>
      <c r="G16" s="7">
        <f t="shared" si="0"/>
        <v>10.930361999999999</v>
      </c>
      <c r="H16" s="5">
        <f>475.32*G16^-0.9427</f>
        <v>49.872978111963704</v>
      </c>
      <c r="I16" s="5">
        <f>67.67*G16^-0.8126</f>
        <v>9.69173977701661</v>
      </c>
      <c r="J16" s="5">
        <f>873.11*G16^-0.9206</f>
        <v>96.58329105052704</v>
      </c>
      <c r="K16" s="23">
        <f>52.923*G16^-0.8934</f>
        <v>6.24781773776816</v>
      </c>
      <c r="L16" s="7">
        <f t="shared" si="1"/>
        <v>545.1297047818398</v>
      </c>
      <c r="M16" s="7">
        <f t="shared" si="2"/>
        <v>105.9342241725908</v>
      </c>
      <c r="N16" s="7">
        <f t="shared" si="3"/>
        <v>1055.6903343336207</v>
      </c>
      <c r="O16" s="7">
        <f t="shared" si="4"/>
        <v>68.29090958382706</v>
      </c>
      <c r="P16" s="7">
        <f t="shared" si="5"/>
        <v>364.7528184897238</v>
      </c>
      <c r="Q16" s="7">
        <f t="shared" si="6"/>
        <v>72.39663293388737</v>
      </c>
      <c r="R16" s="7">
        <f t="shared" si="7"/>
        <v>715.6647062672818</v>
      </c>
      <c r="S16" s="7">
        <f t="shared" si="8"/>
        <v>46.10193050090663</v>
      </c>
    </row>
    <row r="17" spans="1:19" ht="12.75">
      <c r="A17">
        <v>15</v>
      </c>
      <c r="B17" s="1" t="s">
        <v>445</v>
      </c>
      <c r="C17" s="19">
        <v>37764</v>
      </c>
      <c r="D17" s="10">
        <v>0.5513888888888888</v>
      </c>
      <c r="E17" s="4">
        <f t="shared" si="9"/>
        <v>9275</v>
      </c>
      <c r="F17" s="34">
        <v>478</v>
      </c>
      <c r="G17" s="7">
        <f t="shared" si="0"/>
        <v>13.535525999999999</v>
      </c>
      <c r="H17" s="5">
        <v>37.7</v>
      </c>
      <c r="I17" s="5">
        <v>7.65</v>
      </c>
      <c r="J17" s="5">
        <v>74.99514583333332</v>
      </c>
      <c r="K17" s="23">
        <v>4.81</v>
      </c>
      <c r="L17" s="7">
        <f t="shared" si="1"/>
        <v>510.2893302</v>
      </c>
      <c r="M17" s="7">
        <f t="shared" si="2"/>
        <v>103.54677389999999</v>
      </c>
      <c r="N17" s="7">
        <f t="shared" si="3"/>
        <v>1015.0987463008748</v>
      </c>
      <c r="O17" s="7">
        <f t="shared" si="4"/>
        <v>65.10588005999999</v>
      </c>
      <c r="P17" s="7">
        <f t="shared" si="5"/>
        <v>439.0966317024</v>
      </c>
      <c r="Q17" s="7">
        <f t="shared" si="6"/>
        <v>87.8680134576</v>
      </c>
      <c r="R17" s="7">
        <f t="shared" si="7"/>
        <v>870.9499731370679</v>
      </c>
      <c r="S17" s="7">
        <f t="shared" si="8"/>
        <v>56.26640456351999</v>
      </c>
    </row>
    <row r="18" spans="1:19" ht="12.75">
      <c r="A18">
        <v>16</v>
      </c>
      <c r="B18" s="1" t="s">
        <v>446</v>
      </c>
      <c r="C18" s="19">
        <v>37774</v>
      </c>
      <c r="D18" s="10">
        <v>0.5368055555555555</v>
      </c>
      <c r="E18" s="4">
        <f t="shared" si="9"/>
        <v>9285</v>
      </c>
      <c r="F18" s="34">
        <v>540</v>
      </c>
      <c r="G18" s="7">
        <f t="shared" si="0"/>
        <v>15.291179999999999</v>
      </c>
      <c r="H18" s="5">
        <v>33.1</v>
      </c>
      <c r="I18" s="5">
        <v>6.53</v>
      </c>
      <c r="J18" s="5">
        <v>65.46186458333334</v>
      </c>
      <c r="K18" s="23">
        <v>4.26</v>
      </c>
      <c r="L18" s="7">
        <f t="shared" si="1"/>
        <v>506.138058</v>
      </c>
      <c r="M18" s="7">
        <f t="shared" si="2"/>
        <v>99.85140539999999</v>
      </c>
      <c r="N18" s="7">
        <f t="shared" si="3"/>
        <v>1000.989154479375</v>
      </c>
      <c r="O18" s="7">
        <f t="shared" si="4"/>
        <v>65.14042679999999</v>
      </c>
      <c r="P18" s="7">
        <f t="shared" si="5"/>
        <v>363.5944467799379</v>
      </c>
      <c r="Q18" s="7">
        <f t="shared" si="6"/>
        <v>71.29541435489224</v>
      </c>
      <c r="R18" s="7">
        <f t="shared" si="7"/>
        <v>711.5301150704526</v>
      </c>
      <c r="S18" s="7">
        <f t="shared" si="8"/>
        <v>46.178306501820394</v>
      </c>
    </row>
    <row r="19" spans="1:19" ht="12.75">
      <c r="A19">
        <v>17</v>
      </c>
      <c r="B19" s="1"/>
      <c r="C19" s="19">
        <v>37782</v>
      </c>
      <c r="D19" s="10"/>
      <c r="E19" s="4">
        <f t="shared" si="9"/>
        <v>9293</v>
      </c>
      <c r="F19" s="34">
        <v>396</v>
      </c>
      <c r="G19" s="7">
        <f t="shared" si="0"/>
        <v>11.213531999999999</v>
      </c>
      <c r="H19" s="5">
        <f>475.32*G19^-0.9427</f>
        <v>48.68485745510392</v>
      </c>
      <c r="I19" s="5">
        <f>67.67*G19^-0.8126</f>
        <v>9.4923879756469</v>
      </c>
      <c r="J19" s="5">
        <f>873.11*G19^-0.9206</f>
        <v>94.3357017182982</v>
      </c>
      <c r="K19" s="23">
        <f>52.923*G19^-0.8934</f>
        <v>6.106671672836128</v>
      </c>
      <c r="L19" s="7">
        <f t="shared" si="1"/>
        <v>545.9292069882464</v>
      </c>
      <c r="M19" s="7">
        <f t="shared" si="2"/>
        <v>106.44319632133171</v>
      </c>
      <c r="N19" s="7">
        <f t="shared" si="3"/>
        <v>1057.8364099605917</v>
      </c>
      <c r="O19" s="7">
        <f t="shared" si="4"/>
        <v>68.47735821684144</v>
      </c>
      <c r="P19" s="7">
        <f t="shared" si="5"/>
        <v>419.78917063703017</v>
      </c>
      <c r="Q19" s="7">
        <f t="shared" si="6"/>
        <v>78.59773037773377</v>
      </c>
      <c r="R19" s="7">
        <f t="shared" si="7"/>
        <v>818.3492401200867</v>
      </c>
      <c r="S19" s="7">
        <f t="shared" si="8"/>
        <v>52.63704646710794</v>
      </c>
    </row>
    <row r="20" spans="1:19" ht="12.75">
      <c r="A20">
        <v>18</v>
      </c>
      <c r="B20" s="1" t="s">
        <v>447</v>
      </c>
      <c r="C20" s="19">
        <v>37791</v>
      </c>
      <c r="D20" s="10">
        <v>0.45</v>
      </c>
      <c r="E20" s="4">
        <f t="shared" si="9"/>
        <v>9302</v>
      </c>
      <c r="F20" s="34">
        <v>325</v>
      </c>
      <c r="G20" s="7">
        <f t="shared" si="0"/>
        <v>9.203025</v>
      </c>
      <c r="H20" s="5">
        <v>58</v>
      </c>
      <c r="I20" s="5">
        <v>10.4</v>
      </c>
      <c r="J20" s="5">
        <v>113.76382291666667</v>
      </c>
      <c r="K20" s="23">
        <v>7.27</v>
      </c>
      <c r="L20" s="7">
        <f t="shared" si="1"/>
        <v>533.77545</v>
      </c>
      <c r="M20" s="7">
        <f t="shared" si="2"/>
        <v>95.71146</v>
      </c>
      <c r="N20" s="7">
        <f t="shared" si="3"/>
        <v>1046.9713063976562</v>
      </c>
      <c r="O20" s="7">
        <f t="shared" si="4"/>
        <v>66.90599175</v>
      </c>
      <c r="P20" s="7">
        <f t="shared" si="5"/>
        <v>277.2452964849878</v>
      </c>
      <c r="Q20" s="7">
        <f t="shared" si="6"/>
        <v>50.76620680195502</v>
      </c>
      <c r="R20" s="7">
        <f t="shared" si="7"/>
        <v>538.5722061269115</v>
      </c>
      <c r="S20" s="7">
        <f t="shared" si="8"/>
        <v>34.486196840501535</v>
      </c>
    </row>
    <row r="21" spans="1:19" ht="12.75">
      <c r="A21">
        <v>19</v>
      </c>
      <c r="B21" s="1"/>
      <c r="C21" s="19">
        <v>37797</v>
      </c>
      <c r="D21" s="10"/>
      <c r="E21" s="4">
        <f t="shared" si="9"/>
        <v>9308</v>
      </c>
      <c r="F21" s="34">
        <v>286</v>
      </c>
      <c r="G21" s="7">
        <f t="shared" si="0"/>
        <v>8.098662</v>
      </c>
      <c r="H21" s="5">
        <f>475.32*G21^-0.9427</f>
        <v>66.1644787005507</v>
      </c>
      <c r="I21" s="5">
        <f>67.67*G21^-0.8126</f>
        <v>12.365724032998315</v>
      </c>
      <c r="J21" s="5">
        <f>873.11*G21^-0.9206</f>
        <v>127.28689787512214</v>
      </c>
      <c r="K21" s="23">
        <f>52.923*G21^-0.8934</f>
        <v>8.167103056244107</v>
      </c>
      <c r="L21" s="7">
        <f t="shared" si="1"/>
        <v>535.8437494019593</v>
      </c>
      <c r="M21" s="7">
        <f t="shared" si="2"/>
        <v>100.1458193285302</v>
      </c>
      <c r="N21" s="7">
        <f t="shared" si="3"/>
        <v>1030.8535629191322</v>
      </c>
      <c r="O21" s="7">
        <f t="shared" si="4"/>
        <v>66.14260717168801</v>
      </c>
      <c r="P21" s="7">
        <f t="shared" si="5"/>
        <v>272.20434492146785</v>
      </c>
      <c r="Q21" s="7">
        <f t="shared" si="6"/>
        <v>49.016406492195024</v>
      </c>
      <c r="R21" s="7">
        <f t="shared" si="7"/>
        <v>531.971508712131</v>
      </c>
      <c r="S21" s="7">
        <f t="shared" si="8"/>
        <v>33.82774639675753</v>
      </c>
    </row>
    <row r="22" spans="1:19" ht="12.75">
      <c r="A22">
        <v>20</v>
      </c>
      <c r="B22" s="1" t="s">
        <v>448</v>
      </c>
      <c r="C22" s="19">
        <v>37803</v>
      </c>
      <c r="D22" s="10">
        <v>0.43194444444444446</v>
      </c>
      <c r="E22" s="4">
        <f t="shared" si="9"/>
        <v>9314</v>
      </c>
      <c r="F22" s="34">
        <v>264</v>
      </c>
      <c r="G22" s="7">
        <f t="shared" si="0"/>
        <v>7.475688</v>
      </c>
      <c r="H22" s="5">
        <v>68.8</v>
      </c>
      <c r="I22" s="5">
        <v>11.9</v>
      </c>
      <c r="J22" s="5">
        <v>136.6436979166667</v>
      </c>
      <c r="K22" s="23">
        <v>8.61</v>
      </c>
      <c r="L22" s="7">
        <f t="shared" si="1"/>
        <v>514.3273343999999</v>
      </c>
      <c r="M22" s="7">
        <f t="shared" si="2"/>
        <v>88.9606872</v>
      </c>
      <c r="N22" s="7">
        <f t="shared" si="3"/>
        <v>1021.5056527912502</v>
      </c>
      <c r="O22" s="7">
        <f t="shared" si="4"/>
        <v>64.36567368</v>
      </c>
      <c r="P22" s="7">
        <f t="shared" si="5"/>
        <v>315.9517638034538</v>
      </c>
      <c r="Q22" s="7">
        <f t="shared" si="6"/>
        <v>56.20681148816417</v>
      </c>
      <c r="R22" s="7">
        <f t="shared" si="7"/>
        <v>616.3232771753388</v>
      </c>
      <c r="S22" s="7">
        <f t="shared" si="8"/>
        <v>39.09529601235918</v>
      </c>
    </row>
    <row r="23" spans="1:19" ht="12.75">
      <c r="A23">
        <v>21</v>
      </c>
      <c r="B23" s="1"/>
      <c r="C23" s="19">
        <v>37810</v>
      </c>
      <c r="D23" s="10"/>
      <c r="E23" s="4">
        <f t="shared" si="9"/>
        <v>9321</v>
      </c>
      <c r="F23" s="34">
        <v>240</v>
      </c>
      <c r="G23" s="7">
        <f t="shared" si="0"/>
        <v>6.79608</v>
      </c>
      <c r="H23" s="5">
        <f>475.32*G23^-0.9427</f>
        <v>78.05774789902122</v>
      </c>
      <c r="I23" s="5">
        <f>67.67*G23^-0.8126</f>
        <v>14.259455216684986</v>
      </c>
      <c r="J23" s="5">
        <f>873.11*G23^-0.9206</f>
        <v>149.58629423491539</v>
      </c>
      <c r="K23" s="23">
        <f>52.923*G23^-0.8934</f>
        <v>9.55222902088506</v>
      </c>
      <c r="L23" s="7">
        <f t="shared" si="1"/>
        <v>530.4866993415801</v>
      </c>
      <c r="M23" s="7">
        <f t="shared" si="2"/>
        <v>96.9083984090085</v>
      </c>
      <c r="N23" s="7">
        <f t="shared" si="3"/>
        <v>1016.6004225240238</v>
      </c>
      <c r="O23" s="7">
        <f t="shared" si="4"/>
        <v>64.91771260425654</v>
      </c>
      <c r="P23" s="7">
        <f t="shared" si="5"/>
        <v>351.70457269533006</v>
      </c>
      <c r="Q23" s="7">
        <f t="shared" si="6"/>
        <v>61.43745839927334</v>
      </c>
      <c r="R23" s="7">
        <f t="shared" si="7"/>
        <v>696.2837996626786</v>
      </c>
      <c r="S23" s="7">
        <f t="shared" si="8"/>
        <v>43.475833701823056</v>
      </c>
    </row>
    <row r="24" spans="1:19" ht="12.75">
      <c r="A24">
        <v>22</v>
      </c>
      <c r="B24" s="1" t="s">
        <v>449</v>
      </c>
      <c r="C24" s="19">
        <v>37818</v>
      </c>
      <c r="D24" s="10">
        <v>0.5305555555555556</v>
      </c>
      <c r="E24" s="4">
        <f t="shared" si="9"/>
        <v>9329</v>
      </c>
      <c r="F24" s="34">
        <v>236</v>
      </c>
      <c r="G24" s="7">
        <f t="shared" si="0"/>
        <v>6.682811999999999</v>
      </c>
      <c r="H24" s="5">
        <v>72.9</v>
      </c>
      <c r="I24" s="5">
        <v>12.1</v>
      </c>
      <c r="J24" s="5">
        <v>149.35473958333333</v>
      </c>
      <c r="K24" s="23">
        <v>9.11</v>
      </c>
      <c r="L24" s="7">
        <f t="shared" si="1"/>
        <v>487.1769948</v>
      </c>
      <c r="M24" s="7">
        <f t="shared" si="2"/>
        <v>80.86202519999999</v>
      </c>
      <c r="N24" s="7">
        <f t="shared" si="3"/>
        <v>998.1096459443748</v>
      </c>
      <c r="O24" s="7">
        <f t="shared" si="4"/>
        <v>60.88041731999999</v>
      </c>
      <c r="P24" s="7">
        <f t="shared" si="5"/>
        <v>598.35586168512</v>
      </c>
      <c r="Q24" s="7">
        <f t="shared" si="6"/>
        <v>99.25101250848</v>
      </c>
      <c r="R24" s="7">
        <f t="shared" si="7"/>
        <v>1209.784218827858</v>
      </c>
      <c r="S24" s="7">
        <f t="shared" si="8"/>
        <v>74.763912583584</v>
      </c>
    </row>
    <row r="25" spans="1:19" ht="12.75">
      <c r="A25">
        <v>23</v>
      </c>
      <c r="B25" s="1" t="s">
        <v>450</v>
      </c>
      <c r="C25" s="19">
        <v>37832</v>
      </c>
      <c r="D25" s="10">
        <v>0.51875</v>
      </c>
      <c r="E25" s="4">
        <f t="shared" si="9"/>
        <v>9343</v>
      </c>
      <c r="F25" s="34">
        <v>239</v>
      </c>
      <c r="G25" s="7">
        <f t="shared" si="0"/>
        <v>6.7677629999999995</v>
      </c>
      <c r="H25" s="5">
        <v>74.2</v>
      </c>
      <c r="I25" s="5">
        <v>12.3</v>
      </c>
      <c r="J25" s="5">
        <v>148.08363541666668</v>
      </c>
      <c r="K25" s="23">
        <v>9.27</v>
      </c>
      <c r="L25" s="7">
        <f t="shared" si="1"/>
        <v>502.1680146</v>
      </c>
      <c r="M25" s="7">
        <f t="shared" si="2"/>
        <v>83.2434849</v>
      </c>
      <c r="N25" s="7">
        <f t="shared" si="3"/>
        <v>1002.1949486784063</v>
      </c>
      <c r="O25" s="7">
        <f t="shared" si="4"/>
        <v>62.737163009999996</v>
      </c>
      <c r="P25" s="7">
        <f t="shared" si="5"/>
        <v>594.61551672768</v>
      </c>
      <c r="Q25" s="7">
        <f t="shared" si="6"/>
        <v>99.5455818</v>
      </c>
      <c r="R25" s="7">
        <f t="shared" si="7"/>
        <v>1184.3579281031252</v>
      </c>
      <c r="S25" s="7">
        <f t="shared" si="8"/>
        <v>74.33575954358399</v>
      </c>
    </row>
    <row r="26" spans="1:19" ht="12.75">
      <c r="A26">
        <v>24</v>
      </c>
      <c r="B26" s="1" t="s">
        <v>451</v>
      </c>
      <c r="C26" s="19">
        <v>37846</v>
      </c>
      <c r="D26" s="10">
        <v>0.3576388888888889</v>
      </c>
      <c r="E26" s="4">
        <f t="shared" si="9"/>
        <v>9357</v>
      </c>
      <c r="F26" s="34">
        <v>228</v>
      </c>
      <c r="G26" s="7">
        <f t="shared" si="0"/>
        <v>6.456276</v>
      </c>
      <c r="H26" s="5">
        <v>74.5</v>
      </c>
      <c r="I26" s="5">
        <v>12.6</v>
      </c>
      <c r="J26" s="5">
        <v>148.08363541666668</v>
      </c>
      <c r="K26" s="23">
        <v>9.32</v>
      </c>
      <c r="L26" s="7">
        <f t="shared" si="1"/>
        <v>480.992562</v>
      </c>
      <c r="M26" s="7">
        <f t="shared" si="2"/>
        <v>81.3490776</v>
      </c>
      <c r="N26" s="7">
        <f t="shared" si="3"/>
        <v>956.0688213333751</v>
      </c>
      <c r="O26" s="7">
        <f t="shared" si="4"/>
        <v>60.17249232</v>
      </c>
      <c r="P26" s="7">
        <f t="shared" si="5"/>
        <v>500.3665550208</v>
      </c>
      <c r="Q26" s="7">
        <f t="shared" si="6"/>
        <v>84.67741700351999</v>
      </c>
      <c r="R26" s="7">
        <f t="shared" si="7"/>
        <v>990.1885786859557</v>
      </c>
      <c r="S26" s="7">
        <f t="shared" si="8"/>
        <v>62.45377870694401</v>
      </c>
    </row>
    <row r="27" spans="1:19" ht="12.75">
      <c r="A27">
        <v>25</v>
      </c>
      <c r="B27" s="1" t="s">
        <v>452</v>
      </c>
      <c r="C27" s="19">
        <v>37858</v>
      </c>
      <c r="D27" s="10">
        <v>0.5416666666666666</v>
      </c>
      <c r="E27" s="4">
        <f t="shared" si="9"/>
        <v>9369</v>
      </c>
      <c r="F27" s="34">
        <v>228</v>
      </c>
      <c r="G27" s="7">
        <f t="shared" si="0"/>
        <v>6.456276</v>
      </c>
      <c r="H27" s="5">
        <v>75</v>
      </c>
      <c r="I27" s="5">
        <v>12.7</v>
      </c>
      <c r="J27" s="5">
        <v>147.765859375</v>
      </c>
      <c r="K27" s="23">
        <v>9.34</v>
      </c>
      <c r="L27" s="7">
        <f t="shared" si="1"/>
        <v>484.22069999999997</v>
      </c>
      <c r="M27" s="7">
        <f t="shared" si="2"/>
        <v>81.9947052</v>
      </c>
      <c r="N27" s="7">
        <f t="shared" si="3"/>
        <v>954.0171715021875</v>
      </c>
      <c r="O27" s="7">
        <f t="shared" si="4"/>
        <v>60.30161784</v>
      </c>
      <c r="P27" s="7">
        <f t="shared" si="5"/>
        <v>699.7243967999999</v>
      </c>
      <c r="Q27" s="7">
        <f t="shared" si="6"/>
        <v>121.26468455424</v>
      </c>
      <c r="R27" s="7">
        <f t="shared" si="7"/>
        <v>1346.697766076112</v>
      </c>
      <c r="S27" s="7">
        <f t="shared" si="8"/>
        <v>86.599848619008</v>
      </c>
    </row>
    <row r="28" spans="1:19" ht="12.75">
      <c r="A28">
        <v>26</v>
      </c>
      <c r="B28" s="1" t="s">
        <v>453</v>
      </c>
      <c r="C28" s="19">
        <v>37874</v>
      </c>
      <c r="D28" s="10">
        <v>0.3756944444444445</v>
      </c>
      <c r="E28" s="4">
        <f t="shared" si="9"/>
        <v>9385</v>
      </c>
      <c r="F28" s="34">
        <v>250</v>
      </c>
      <c r="G28" s="7">
        <f t="shared" si="0"/>
        <v>7.07925</v>
      </c>
      <c r="H28" s="5">
        <v>74.6</v>
      </c>
      <c r="I28" s="5">
        <v>13.2</v>
      </c>
      <c r="J28" s="5">
        <v>140.45701041666666</v>
      </c>
      <c r="K28" s="23">
        <v>9.18</v>
      </c>
      <c r="L28" s="7">
        <f t="shared" si="1"/>
        <v>528.11205</v>
      </c>
      <c r="M28" s="7">
        <f t="shared" si="2"/>
        <v>93.4461</v>
      </c>
      <c r="N28" s="7">
        <f t="shared" si="3"/>
        <v>994.3302909921874</v>
      </c>
      <c r="O28" s="7">
        <f t="shared" si="4"/>
        <v>64.987515</v>
      </c>
      <c r="P28" s="7">
        <f t="shared" si="5"/>
        <v>533.94745425408</v>
      </c>
      <c r="Q28" s="7">
        <f t="shared" si="6"/>
        <v>94.86501276671999</v>
      </c>
      <c r="R28" s="7">
        <f t="shared" si="7"/>
        <v>1022.9728199800031</v>
      </c>
      <c r="S28" s="7">
        <f t="shared" si="8"/>
        <v>65.942810062848</v>
      </c>
    </row>
    <row r="29" spans="1:19" ht="12.75">
      <c r="A29">
        <v>27</v>
      </c>
      <c r="B29" s="1" t="s">
        <v>454</v>
      </c>
      <c r="C29" s="19">
        <v>37886</v>
      </c>
      <c r="D29" s="10">
        <v>0.5979166666666667</v>
      </c>
      <c r="E29" s="4">
        <f t="shared" si="9"/>
        <v>9397</v>
      </c>
      <c r="F29" s="34">
        <v>236</v>
      </c>
      <c r="G29" s="7">
        <f t="shared" si="0"/>
        <v>6.682811999999999</v>
      </c>
      <c r="H29" s="5">
        <v>75.1</v>
      </c>
      <c r="I29" s="5">
        <v>13.4</v>
      </c>
      <c r="J29" s="5">
        <v>146.49475520833334</v>
      </c>
      <c r="K29" s="23">
        <v>9.31</v>
      </c>
      <c r="L29" s="7">
        <f t="shared" si="1"/>
        <v>501.8791811999999</v>
      </c>
      <c r="M29" s="7">
        <f t="shared" si="2"/>
        <v>89.54968079999999</v>
      </c>
      <c r="N29" s="7">
        <f t="shared" si="3"/>
        <v>978.9969080433125</v>
      </c>
      <c r="O29" s="7">
        <f t="shared" si="4"/>
        <v>62.21697972</v>
      </c>
      <c r="P29" s="7">
        <f t="shared" si="5"/>
        <v>356.47495407222317</v>
      </c>
      <c r="Q29" s="7">
        <f t="shared" si="6"/>
        <v>64.2546446267855</v>
      </c>
      <c r="R29" s="7">
        <f t="shared" si="7"/>
        <v>688.8536674178423</v>
      </c>
      <c r="S29" s="7">
        <f t="shared" si="8"/>
        <v>43.86706784418697</v>
      </c>
    </row>
    <row r="30" spans="1:19" ht="12.75">
      <c r="A30">
        <v>28</v>
      </c>
      <c r="B30" s="1"/>
      <c r="C30" s="19">
        <v>37894</v>
      </c>
      <c r="D30" s="10"/>
      <c r="E30" s="4">
        <f t="shared" si="9"/>
        <v>9405</v>
      </c>
      <c r="F30" s="1">
        <v>233</v>
      </c>
      <c r="G30" s="7">
        <f t="shared" si="0"/>
        <v>6.597861</v>
      </c>
      <c r="H30" s="5">
        <f>475.32*G30^-0.9427</f>
        <v>80.26657424216977</v>
      </c>
      <c r="I30" s="5">
        <f>67.67*G30^-0.8126</f>
        <v>14.606601037583285</v>
      </c>
      <c r="J30" s="5">
        <f>873.11*G30^-0.9206</f>
        <v>153.71859685731644</v>
      </c>
      <c r="K30" s="23">
        <f>52.923*G30^-0.8934</f>
        <v>9.808208060197574</v>
      </c>
      <c r="L30" s="7">
        <f t="shared" si="1"/>
        <v>529.5876997960164</v>
      </c>
      <c r="M30" s="7">
        <f t="shared" si="2"/>
        <v>96.3723233284303</v>
      </c>
      <c r="N30" s="7">
        <f t="shared" si="3"/>
        <v>1014.2139351796108</v>
      </c>
      <c r="O30" s="7">
        <f t="shared" si="4"/>
        <v>64.71319344026323</v>
      </c>
      <c r="P30" s="7"/>
      <c r="Q30" s="7"/>
      <c r="R30" s="7"/>
      <c r="S30" s="7"/>
    </row>
    <row r="31" spans="2:19" ht="12.75">
      <c r="B31" s="17"/>
      <c r="C31" s="142"/>
      <c r="D31" s="17"/>
      <c r="E31" s="17"/>
      <c r="F31" s="13"/>
      <c r="G31" s="17"/>
      <c r="H31" s="91"/>
      <c r="I31" s="91"/>
      <c r="J31" s="91"/>
      <c r="K31" s="84"/>
      <c r="L31" s="17"/>
      <c r="M31" s="17"/>
      <c r="N31" s="17"/>
      <c r="O31" s="17"/>
      <c r="P31" s="17"/>
      <c r="Q31" s="17"/>
      <c r="R31" s="17"/>
      <c r="S31" s="17"/>
    </row>
    <row r="32" spans="6:14" ht="12.75">
      <c r="F32" s="1"/>
      <c r="G32" s="11"/>
      <c r="L32" s="11"/>
      <c r="M32" s="18"/>
      <c r="N32" s="11"/>
    </row>
    <row r="33" spans="2:19" ht="12.75">
      <c r="B33" s="35" t="s">
        <v>223</v>
      </c>
      <c r="F33" s="38"/>
      <c r="G33" s="11"/>
      <c r="L33" s="11"/>
      <c r="P33" s="11">
        <f>SUM(P3:P29)</f>
        <v>16905.52235629895</v>
      </c>
      <c r="Q33" s="11">
        <f>SUM(Q3:Q29)</f>
        <v>3160.844037644319</v>
      </c>
      <c r="R33" s="11">
        <f>SUM(R3:R29)</f>
        <v>32524.318348887733</v>
      </c>
      <c r="S33" s="11">
        <f>SUM(S3:S29)</f>
        <v>2077.063036168223</v>
      </c>
    </row>
    <row r="35" spans="1:19" ht="12.75">
      <c r="A35">
        <v>1</v>
      </c>
      <c r="B35" s="1"/>
      <c r="C35" s="88">
        <v>37895</v>
      </c>
      <c r="D35" s="10">
        <v>0.0006944444444444445</v>
      </c>
      <c r="E35" s="4">
        <f>C35-28489</f>
        <v>9406</v>
      </c>
      <c r="F35" s="93">
        <v>233</v>
      </c>
      <c r="G35" s="7">
        <f aca="true" t="shared" si="10" ref="G35:G62">F35*0.028317</f>
        <v>6.597861</v>
      </c>
      <c r="H35" s="5">
        <f>475.32*G35^-0.9427</f>
        <v>80.26657424216977</v>
      </c>
      <c r="I35" s="5">
        <f>67.67*G35^-0.8126</f>
        <v>14.606601037583285</v>
      </c>
      <c r="J35" s="5">
        <f>873.11*G35^-0.9206</f>
        <v>153.71859685731644</v>
      </c>
      <c r="K35" s="23">
        <f>52.923*G35^-0.8934</f>
        <v>9.808208060197574</v>
      </c>
      <c r="L35" s="7">
        <f>(H35*$G35)</f>
        <v>529.5876997960164</v>
      </c>
      <c r="M35" s="7">
        <f>(I35*$G35)</f>
        <v>96.3723233284303</v>
      </c>
      <c r="N35" s="7">
        <f>(J35*$G35)</f>
        <v>1014.2139351796108</v>
      </c>
      <c r="O35" s="7">
        <f>(K35*$G35)</f>
        <v>64.71319344026323</v>
      </c>
      <c r="P35" s="7">
        <f>(((L35+L36)/2)*(($E36-$E35)*24*60*60))/1000000</f>
        <v>222.94119503433956</v>
      </c>
      <c r="Q35" s="7">
        <f aca="true" t="shared" si="11" ref="Q35:Q61">(((M35+M36)/2)*(($E36-$E35)*24*60*60))/1000000</f>
        <v>40.30350163094094</v>
      </c>
      <c r="R35" s="7">
        <f aca="true" t="shared" si="12" ref="R35:R61">(((N35+N36)/2)*(($E36-$E35)*24*60*60))/1000000</f>
        <v>427.3226021687729</v>
      </c>
      <c r="S35" s="7">
        <f aca="true" t="shared" si="13" ref="S35:S61">(((O35+O36)/2)*(($E36-$E35)*24*60*60))/1000000</f>
        <v>27.474656898296853</v>
      </c>
    </row>
    <row r="36" spans="1:19" ht="12.75">
      <c r="A36">
        <v>2</v>
      </c>
      <c r="B36" s="100" t="s">
        <v>455</v>
      </c>
      <c r="C36" s="19">
        <v>37900</v>
      </c>
      <c r="D36" s="10">
        <v>0.5659722222222222</v>
      </c>
      <c r="E36" s="4">
        <f>C36-28489</f>
        <v>9411</v>
      </c>
      <c r="F36" s="86">
        <v>236</v>
      </c>
      <c r="G36" s="7">
        <f t="shared" si="10"/>
        <v>6.682811999999999</v>
      </c>
      <c r="H36" s="5">
        <v>75.2</v>
      </c>
      <c r="I36" s="5">
        <v>13.5</v>
      </c>
      <c r="J36" s="5">
        <v>144.27032291666666</v>
      </c>
      <c r="K36" s="23">
        <v>9.35</v>
      </c>
      <c r="L36" s="7">
        <f aca="true" t="shared" si="14" ref="L36:L62">(H36*$G36)</f>
        <v>502.5474624</v>
      </c>
      <c r="M36" s="7">
        <f aca="true" t="shared" si="15" ref="M36:M62">(I36*$G36)</f>
        <v>90.21796199999999</v>
      </c>
      <c r="N36" s="7">
        <f aca="true" t="shared" si="16" ref="N36:N62">(J36*$G36)</f>
        <v>964.1314452313749</v>
      </c>
      <c r="O36" s="7">
        <f aca="true" t="shared" si="17" ref="O36:O62">(K36*$G36)</f>
        <v>62.48429219999999</v>
      </c>
      <c r="P36" s="7">
        <f aca="true" t="shared" si="18" ref="P36:P61">(((L36+L37)/2)*(($E37-$E36)*24*60*60))/1000000</f>
        <v>701.94394215936</v>
      </c>
      <c r="Q36" s="7">
        <f t="shared" si="11"/>
        <v>126.91336877567997</v>
      </c>
      <c r="R36" s="7">
        <f t="shared" si="12"/>
        <v>1341.2865936371397</v>
      </c>
      <c r="S36" s="7">
        <f t="shared" si="13"/>
        <v>87.114415175424</v>
      </c>
    </row>
    <row r="37" spans="1:19" ht="12.75">
      <c r="A37">
        <v>3</v>
      </c>
      <c r="B37" s="100" t="s">
        <v>456</v>
      </c>
      <c r="C37" s="19">
        <v>37916</v>
      </c>
      <c r="D37" s="10">
        <v>0.579861111111111</v>
      </c>
      <c r="E37" s="4">
        <f>C37-28489</f>
        <v>9427</v>
      </c>
      <c r="F37" s="86">
        <v>239</v>
      </c>
      <c r="G37" s="7">
        <f t="shared" si="10"/>
        <v>6.7677629999999995</v>
      </c>
      <c r="H37" s="5">
        <v>75.8</v>
      </c>
      <c r="I37" s="5">
        <v>13.8</v>
      </c>
      <c r="J37" s="5">
        <v>144.27032291666666</v>
      </c>
      <c r="K37" s="23">
        <v>9.39</v>
      </c>
      <c r="L37" s="7">
        <f t="shared" si="14"/>
        <v>512.9964354</v>
      </c>
      <c r="M37" s="7">
        <f t="shared" si="15"/>
        <v>93.3951294</v>
      </c>
      <c r="N37" s="7">
        <f t="shared" si="16"/>
        <v>976.3873534334687</v>
      </c>
      <c r="O37" s="7">
        <f t="shared" si="17"/>
        <v>63.54929457</v>
      </c>
      <c r="P37" s="7">
        <f t="shared" si="18"/>
        <v>751.70486710368</v>
      </c>
      <c r="Q37" s="7">
        <f t="shared" si="11"/>
        <v>137.79016860384</v>
      </c>
      <c r="R37" s="7">
        <f t="shared" si="12"/>
        <v>1440.7129998667283</v>
      </c>
      <c r="S37" s="7">
        <f t="shared" si="13"/>
        <v>92.46090898123198</v>
      </c>
    </row>
    <row r="38" spans="1:19" ht="12.75">
      <c r="A38">
        <v>4</v>
      </c>
      <c r="B38" s="100" t="s">
        <v>457</v>
      </c>
      <c r="C38" s="19">
        <v>37933</v>
      </c>
      <c r="D38" s="10">
        <v>0.5520833333333334</v>
      </c>
      <c r="E38" s="4">
        <f aca="true" t="shared" si="19" ref="E38:E62">C38-28489</f>
        <v>9444</v>
      </c>
      <c r="F38" s="86">
        <v>236</v>
      </c>
      <c r="G38" s="7">
        <f t="shared" si="10"/>
        <v>6.682811999999999</v>
      </c>
      <c r="H38" s="5">
        <v>76.4</v>
      </c>
      <c r="I38" s="5">
        <v>14.1</v>
      </c>
      <c r="J38" s="5">
        <v>147.44808333333336</v>
      </c>
      <c r="K38" s="23">
        <v>9.33</v>
      </c>
      <c r="L38" s="7">
        <f t="shared" si="14"/>
        <v>510.5668368</v>
      </c>
      <c r="M38" s="7">
        <f t="shared" si="15"/>
        <v>94.22764919999999</v>
      </c>
      <c r="N38" s="7">
        <f t="shared" si="16"/>
        <v>985.367820677</v>
      </c>
      <c r="O38" s="7">
        <f t="shared" si="17"/>
        <v>62.35063595999999</v>
      </c>
      <c r="P38" s="7">
        <f t="shared" si="18"/>
        <v>467.11252005119997</v>
      </c>
      <c r="Q38" s="7">
        <f t="shared" si="11"/>
        <v>89.35920933119999</v>
      </c>
      <c r="R38" s="7">
        <f t="shared" si="12"/>
        <v>881.912262129813</v>
      </c>
      <c r="S38" s="7">
        <f t="shared" si="13"/>
        <v>55.85855821055999</v>
      </c>
    </row>
    <row r="39" spans="1:19" ht="12.75">
      <c r="A39">
        <v>5</v>
      </c>
      <c r="B39" s="100" t="s">
        <v>458</v>
      </c>
      <c r="C39" s="19">
        <v>37943</v>
      </c>
      <c r="D39" s="10">
        <v>0.6048611111111112</v>
      </c>
      <c r="E39" s="4">
        <f t="shared" si="19"/>
        <v>9454</v>
      </c>
      <c r="F39" s="86">
        <v>244</v>
      </c>
      <c r="G39" s="7">
        <f t="shared" si="10"/>
        <v>6.909348</v>
      </c>
      <c r="H39" s="5">
        <v>82.6</v>
      </c>
      <c r="I39" s="5">
        <v>16.3</v>
      </c>
      <c r="J39" s="5">
        <v>152.85027604166666</v>
      </c>
      <c r="K39" s="23">
        <v>9.69</v>
      </c>
      <c r="L39" s="7">
        <f t="shared" si="14"/>
        <v>570.7121447999999</v>
      </c>
      <c r="M39" s="7">
        <f t="shared" si="15"/>
        <v>112.6223724</v>
      </c>
      <c r="N39" s="7">
        <f t="shared" si="16"/>
        <v>1056.0957490679375</v>
      </c>
      <c r="O39" s="7">
        <f t="shared" si="17"/>
        <v>66.95158212</v>
      </c>
      <c r="P39" s="7">
        <f t="shared" si="18"/>
        <v>761.2531692134401</v>
      </c>
      <c r="Q39" s="7">
        <f t="shared" si="11"/>
        <v>149.00312973312</v>
      </c>
      <c r="R39" s="7">
        <f t="shared" si="12"/>
        <v>1406.830197271493</v>
      </c>
      <c r="S39" s="7">
        <f t="shared" si="13"/>
        <v>91.073387308032</v>
      </c>
    </row>
    <row r="40" spans="1:19" ht="12.75">
      <c r="A40">
        <v>6</v>
      </c>
      <c r="B40" s="100" t="s">
        <v>459</v>
      </c>
      <c r="C40" s="19">
        <v>37959</v>
      </c>
      <c r="D40" s="10">
        <v>0.5708333333333333</v>
      </c>
      <c r="E40" s="4">
        <f t="shared" si="19"/>
        <v>9470</v>
      </c>
      <c r="F40" s="86">
        <v>244</v>
      </c>
      <c r="G40" s="7">
        <f t="shared" si="10"/>
        <v>6.909348</v>
      </c>
      <c r="H40" s="5">
        <v>76.8</v>
      </c>
      <c r="I40" s="5">
        <v>14.9</v>
      </c>
      <c r="J40" s="5">
        <v>141.72811458333334</v>
      </c>
      <c r="K40" s="23">
        <v>9.38</v>
      </c>
      <c r="L40" s="7">
        <f t="shared" si="14"/>
        <v>530.6379264</v>
      </c>
      <c r="M40" s="7">
        <f t="shared" si="15"/>
        <v>102.94928519999999</v>
      </c>
      <c r="N40" s="7">
        <f t="shared" si="16"/>
        <v>979.248865040125</v>
      </c>
      <c r="O40" s="7">
        <f t="shared" si="17"/>
        <v>64.80968424</v>
      </c>
      <c r="P40" s="7">
        <f t="shared" si="18"/>
        <v>523.6387523452801</v>
      </c>
      <c r="Q40" s="7">
        <f t="shared" si="11"/>
        <v>103.41926584703998</v>
      </c>
      <c r="R40" s="7">
        <f t="shared" si="12"/>
        <v>952.8110605572175</v>
      </c>
      <c r="S40" s="7">
        <f t="shared" si="13"/>
        <v>62.991612322848</v>
      </c>
    </row>
    <row r="41" spans="1:19" ht="12.75">
      <c r="A41">
        <v>7</v>
      </c>
      <c r="B41" s="100" t="s">
        <v>460</v>
      </c>
      <c r="C41" s="19">
        <v>37970</v>
      </c>
      <c r="D41" s="10">
        <v>0.5118055555555555</v>
      </c>
      <c r="E41" s="4">
        <f t="shared" si="19"/>
        <v>9481</v>
      </c>
      <c r="F41" s="86">
        <v>250</v>
      </c>
      <c r="G41" s="7">
        <f t="shared" si="10"/>
        <v>7.07925</v>
      </c>
      <c r="H41" s="5">
        <v>80.7</v>
      </c>
      <c r="I41" s="5">
        <v>16.2</v>
      </c>
      <c r="J41" s="5">
        <v>144.905875</v>
      </c>
      <c r="K41" s="23">
        <v>9.57</v>
      </c>
      <c r="L41" s="7">
        <f t="shared" si="14"/>
        <v>571.295475</v>
      </c>
      <c r="M41" s="7">
        <f t="shared" si="15"/>
        <v>114.68384999999999</v>
      </c>
      <c r="N41" s="7">
        <f t="shared" si="16"/>
        <v>1025.8249155937501</v>
      </c>
      <c r="O41" s="7">
        <f t="shared" si="17"/>
        <v>67.7484225</v>
      </c>
      <c r="P41" s="7">
        <f t="shared" si="18"/>
        <v>1475.336739226266</v>
      </c>
      <c r="Q41" s="7">
        <f t="shared" si="11"/>
        <v>283.2628307452648</v>
      </c>
      <c r="R41" s="7">
        <f t="shared" si="12"/>
        <v>2734.764739802784</v>
      </c>
      <c r="S41" s="7">
        <f t="shared" si="13"/>
        <v>177.62780119696004</v>
      </c>
    </row>
    <row r="42" spans="1:19" ht="12.75">
      <c r="A42">
        <v>8</v>
      </c>
      <c r="B42" s="100"/>
      <c r="C42" s="19">
        <v>38001</v>
      </c>
      <c r="D42" s="10">
        <v>0.5</v>
      </c>
      <c r="E42" s="4">
        <f t="shared" si="19"/>
        <v>9512</v>
      </c>
      <c r="F42" s="86">
        <v>239</v>
      </c>
      <c r="G42" s="7">
        <f t="shared" si="10"/>
        <v>6.7677629999999995</v>
      </c>
      <c r="H42" s="5">
        <f>475.32*G42^-0.9427</f>
        <v>78.36559823774915</v>
      </c>
      <c r="I42" s="5">
        <f>67.67*G42^-0.8126</f>
        <v>14.307918388391307</v>
      </c>
      <c r="J42" s="5">
        <f>873.11*G42^-0.9206</f>
        <v>150.1623875492914</v>
      </c>
      <c r="K42" s="23">
        <f>52.923*G42^-0.8934</f>
        <v>9.587928021544517</v>
      </c>
      <c r="L42" s="7">
        <f t="shared" si="14"/>
        <v>530.3597962263038</v>
      </c>
      <c r="M42" s="7">
        <f t="shared" si="15"/>
        <v>96.83260067597432</v>
      </c>
      <c r="N42" s="7">
        <f t="shared" si="16"/>
        <v>1016.263450447755</v>
      </c>
      <c r="O42" s="7">
        <f t="shared" si="17"/>
        <v>64.88882451087218</v>
      </c>
      <c r="P42" s="7">
        <f t="shared" si="18"/>
        <v>1161.1778951444082</v>
      </c>
      <c r="Q42" s="7">
        <f t="shared" si="11"/>
        <v>215.67880613805227</v>
      </c>
      <c r="R42" s="7">
        <f t="shared" si="12"/>
        <v>2198.516539632609</v>
      </c>
      <c r="S42" s="7">
        <f t="shared" si="13"/>
        <v>140.83283197894195</v>
      </c>
    </row>
    <row r="43" spans="1:19" ht="12.75">
      <c r="A43">
        <v>9</v>
      </c>
      <c r="B43" s="100" t="s">
        <v>461</v>
      </c>
      <c r="C43" s="19">
        <v>38026</v>
      </c>
      <c r="D43" s="10">
        <v>0.6638888888888889</v>
      </c>
      <c r="E43" s="4">
        <f t="shared" si="19"/>
        <v>9537</v>
      </c>
      <c r="F43" s="86">
        <v>239</v>
      </c>
      <c r="G43" s="7">
        <f t="shared" si="10"/>
        <v>6.7677629999999995</v>
      </c>
      <c r="H43" s="5">
        <v>80.5</v>
      </c>
      <c r="I43" s="5">
        <v>15.2</v>
      </c>
      <c r="J43" s="5">
        <v>150.62584375</v>
      </c>
      <c r="K43" s="23">
        <v>9.68</v>
      </c>
      <c r="L43" s="7">
        <f t="shared" si="14"/>
        <v>544.8049215</v>
      </c>
      <c r="M43" s="7">
        <f t="shared" si="15"/>
        <v>102.86999759999999</v>
      </c>
      <c r="N43" s="7">
        <f t="shared" si="16"/>
        <v>1019.4000121750312</v>
      </c>
      <c r="O43" s="7">
        <f t="shared" si="17"/>
        <v>65.51194584</v>
      </c>
      <c r="P43" s="7">
        <f t="shared" si="18"/>
        <v>975.6192336113747</v>
      </c>
      <c r="Q43" s="7">
        <f t="shared" si="11"/>
        <v>181.30749213310233</v>
      </c>
      <c r="R43" s="7">
        <f t="shared" si="12"/>
        <v>1847.3641250494045</v>
      </c>
      <c r="S43" s="7">
        <f t="shared" si="13"/>
        <v>118.35189604329955</v>
      </c>
    </row>
    <row r="44" spans="1:19" ht="12.75">
      <c r="A44">
        <v>10</v>
      </c>
      <c r="B44" s="100"/>
      <c r="C44" s="19">
        <v>38047</v>
      </c>
      <c r="D44" s="10"/>
      <c r="E44" s="4">
        <f t="shared" si="19"/>
        <v>9558</v>
      </c>
      <c r="F44" s="86">
        <v>241</v>
      </c>
      <c r="G44" s="7">
        <f t="shared" si="10"/>
        <v>6.824396999999999</v>
      </c>
      <c r="H44" s="5">
        <f>475.32*G44^-0.9427</f>
        <v>77.75237943624394</v>
      </c>
      <c r="I44" s="5">
        <f>67.67*G44^-0.8126</f>
        <v>14.211356686383935</v>
      </c>
      <c r="J44" s="5">
        <f>873.11*G44^-0.9206</f>
        <v>149.01479273582734</v>
      </c>
      <c r="K44" s="23">
        <f>52.923*G44^-0.8934</f>
        <v>9.516810549147117</v>
      </c>
      <c r="L44" s="7">
        <f t="shared" si="14"/>
        <v>530.6131049675648</v>
      </c>
      <c r="M44" s="7">
        <f t="shared" si="15"/>
        <v>96.98393993648845</v>
      </c>
      <c r="N44" s="7">
        <f t="shared" si="16"/>
        <v>1016.9361045020019</v>
      </c>
      <c r="O44" s="7">
        <f t="shared" si="17"/>
        <v>64.94649336116792</v>
      </c>
      <c r="P44" s="7">
        <f t="shared" si="18"/>
        <v>1047.7758291503712</v>
      </c>
      <c r="Q44" s="7">
        <f t="shared" si="11"/>
        <v>209.91546828615122</v>
      </c>
      <c r="R44" s="7">
        <f t="shared" si="12"/>
        <v>2043.2977644080756</v>
      </c>
      <c r="S44" s="7">
        <f t="shared" si="13"/>
        <v>128.8437667488589</v>
      </c>
    </row>
    <row r="45" spans="1:19" ht="12.75">
      <c r="A45">
        <v>11</v>
      </c>
      <c r="B45" s="100" t="s">
        <v>462</v>
      </c>
      <c r="C45" s="19">
        <v>38071</v>
      </c>
      <c r="D45" s="1" t="s">
        <v>199</v>
      </c>
      <c r="E45" s="4">
        <f t="shared" si="19"/>
        <v>9582</v>
      </c>
      <c r="F45" s="86">
        <v>250</v>
      </c>
      <c r="G45" s="7">
        <f t="shared" si="10"/>
        <v>7.07925</v>
      </c>
      <c r="H45" s="5">
        <v>67.8</v>
      </c>
      <c r="I45" s="5">
        <v>14.9</v>
      </c>
      <c r="J45" s="5">
        <v>134.73704166666667</v>
      </c>
      <c r="K45" s="23">
        <v>8.38</v>
      </c>
      <c r="L45" s="7">
        <f t="shared" si="14"/>
        <v>479.97315</v>
      </c>
      <c r="M45" s="7">
        <f t="shared" si="15"/>
        <v>105.48082500000001</v>
      </c>
      <c r="N45" s="7">
        <f t="shared" si="16"/>
        <v>953.83720221875</v>
      </c>
      <c r="O45" s="7">
        <f t="shared" si="17"/>
        <v>59.324115000000006</v>
      </c>
      <c r="P45" s="7">
        <f t="shared" si="18"/>
        <v>477.20261925072003</v>
      </c>
      <c r="Q45" s="7">
        <f t="shared" si="11"/>
        <v>99.45909488592001</v>
      </c>
      <c r="R45" s="7">
        <f t="shared" si="12"/>
        <v>910.6276282860215</v>
      </c>
      <c r="S45" s="7">
        <f t="shared" si="13"/>
        <v>59.544796856688</v>
      </c>
    </row>
    <row r="46" spans="1:19" ht="12.75">
      <c r="A46">
        <v>12</v>
      </c>
      <c r="B46" s="100" t="s">
        <v>463</v>
      </c>
      <c r="C46" s="19">
        <v>38082</v>
      </c>
      <c r="D46" s="1" t="s">
        <v>199</v>
      </c>
      <c r="E46" s="4">
        <f t="shared" si="19"/>
        <v>9593</v>
      </c>
      <c r="F46" s="86">
        <v>303</v>
      </c>
      <c r="G46" s="7">
        <f t="shared" si="10"/>
        <v>8.580051</v>
      </c>
      <c r="H46" s="5">
        <v>61.1</v>
      </c>
      <c r="I46" s="5">
        <v>12.1</v>
      </c>
      <c r="J46" s="5">
        <v>112.17494270833333</v>
      </c>
      <c r="K46" s="23">
        <v>7.69</v>
      </c>
      <c r="L46" s="7">
        <f t="shared" si="14"/>
        <v>524.2411161</v>
      </c>
      <c r="M46" s="7">
        <f t="shared" si="15"/>
        <v>103.81861709999998</v>
      </c>
      <c r="N46" s="7">
        <f t="shared" si="16"/>
        <v>962.466729359578</v>
      </c>
      <c r="O46" s="7">
        <f t="shared" si="17"/>
        <v>65.98059219</v>
      </c>
      <c r="P46" s="7">
        <f t="shared" si="18"/>
        <v>667.0247588524801</v>
      </c>
      <c r="Q46" s="7">
        <f t="shared" si="11"/>
        <v>131.61081927167996</v>
      </c>
      <c r="R46" s="7">
        <f t="shared" si="12"/>
        <v>1228.8865904981944</v>
      </c>
      <c r="S46" s="7">
        <f t="shared" si="13"/>
        <v>82.466899556832</v>
      </c>
    </row>
    <row r="47" spans="1:19" ht="12.75">
      <c r="A47">
        <v>13</v>
      </c>
      <c r="B47" s="100" t="s">
        <v>464</v>
      </c>
      <c r="C47" s="19">
        <v>38096</v>
      </c>
      <c r="D47" s="1" t="s">
        <v>199</v>
      </c>
      <c r="E47" s="4">
        <f t="shared" si="19"/>
        <v>9607</v>
      </c>
      <c r="F47" s="86">
        <v>285</v>
      </c>
      <c r="G47" s="7">
        <f t="shared" si="10"/>
        <v>8.070345</v>
      </c>
      <c r="H47" s="5">
        <v>71.7</v>
      </c>
      <c r="I47" s="5">
        <v>14.1</v>
      </c>
      <c r="J47" s="5">
        <v>132.51260937499998</v>
      </c>
      <c r="K47" s="23">
        <v>8.72</v>
      </c>
      <c r="L47" s="7">
        <f t="shared" si="14"/>
        <v>578.6437365</v>
      </c>
      <c r="M47" s="7">
        <f t="shared" si="15"/>
        <v>113.79186449999999</v>
      </c>
      <c r="N47" s="7">
        <f t="shared" si="16"/>
        <v>1069.4224745064841</v>
      </c>
      <c r="O47" s="7">
        <f t="shared" si="17"/>
        <v>70.3734084</v>
      </c>
      <c r="P47" s="7">
        <f t="shared" si="18"/>
        <v>336.6572664501169</v>
      </c>
      <c r="Q47" s="7">
        <f t="shared" si="11"/>
        <v>64.47298464974914</v>
      </c>
      <c r="R47" s="7">
        <f t="shared" si="12"/>
        <v>634.1542172586751</v>
      </c>
      <c r="S47" s="7">
        <f t="shared" si="13"/>
        <v>41.19899274653216</v>
      </c>
    </row>
    <row r="48" spans="2:19" ht="12.75">
      <c r="B48" s="100"/>
      <c r="C48" s="19">
        <v>38103</v>
      </c>
      <c r="D48" s="1"/>
      <c r="E48" s="4">
        <f t="shared" si="19"/>
        <v>9614</v>
      </c>
      <c r="F48" s="86">
        <v>275</v>
      </c>
      <c r="G48" s="7">
        <f t="shared" si="10"/>
        <v>7.7871749999999995</v>
      </c>
      <c r="H48" s="5">
        <f>475.32*G48^-0.9427</f>
        <v>68.6565891708921</v>
      </c>
      <c r="I48" s="5">
        <f>67.67*G48^-0.8126</f>
        <v>12.766176414162198</v>
      </c>
      <c r="J48" s="5">
        <f>873.11*G48^-0.9206</f>
        <v>131.96677225844047</v>
      </c>
      <c r="K48" s="23">
        <f>52.923*G48^-0.8934</f>
        <v>8.458349398690016</v>
      </c>
      <c r="L48" s="7">
        <f t="shared" si="14"/>
        <v>534.6408747768417</v>
      </c>
      <c r="M48" s="7">
        <f t="shared" si="15"/>
        <v>99.4124498179535</v>
      </c>
      <c r="N48" s="7">
        <f t="shared" si="16"/>
        <v>1027.6483497616211</v>
      </c>
      <c r="O48" s="7">
        <f t="shared" si="17"/>
        <v>65.86664697874393</v>
      </c>
      <c r="P48" s="7">
        <f t="shared" si="18"/>
        <v>359.7460454857565</v>
      </c>
      <c r="Q48" s="7">
        <f t="shared" si="11"/>
        <v>68.36707142943673</v>
      </c>
      <c r="R48" s="7">
        <f t="shared" si="12"/>
        <v>696.9547756675787</v>
      </c>
      <c r="S48" s="7">
        <f t="shared" si="13"/>
        <v>45.0329516347659</v>
      </c>
    </row>
    <row r="49" spans="1:19" ht="12.75">
      <c r="A49">
        <v>14</v>
      </c>
      <c r="B49" s="100" t="s">
        <v>465</v>
      </c>
      <c r="C49" s="19">
        <v>38111</v>
      </c>
      <c r="D49" s="1" t="s">
        <v>199</v>
      </c>
      <c r="E49" s="4">
        <f t="shared" si="19"/>
        <v>9622</v>
      </c>
      <c r="F49" s="86">
        <v>387</v>
      </c>
      <c r="G49" s="7">
        <f t="shared" si="10"/>
        <v>10.958679</v>
      </c>
      <c r="H49" s="5">
        <v>46.2</v>
      </c>
      <c r="I49" s="5">
        <v>8.98</v>
      </c>
      <c r="J49" s="5">
        <v>90.24839583333333</v>
      </c>
      <c r="K49" s="23">
        <v>5.88</v>
      </c>
      <c r="L49" s="7">
        <f t="shared" si="14"/>
        <v>506.2909698</v>
      </c>
      <c r="M49" s="7">
        <f t="shared" si="15"/>
        <v>98.40893742</v>
      </c>
      <c r="N49" s="7">
        <f t="shared" si="16"/>
        <v>989.0032002024375</v>
      </c>
      <c r="O49" s="7">
        <f t="shared" si="17"/>
        <v>64.43703252</v>
      </c>
      <c r="P49" s="7">
        <f t="shared" si="18"/>
        <v>363.25856831620564</v>
      </c>
      <c r="Q49" s="7">
        <f t="shared" si="11"/>
        <v>70.54959824628344</v>
      </c>
      <c r="R49" s="7">
        <f t="shared" si="12"/>
        <v>706.3444490394594</v>
      </c>
      <c r="S49" s="7">
        <f t="shared" si="13"/>
        <v>45.844583780044815</v>
      </c>
    </row>
    <row r="50" spans="1:19" ht="12.75">
      <c r="A50">
        <v>15</v>
      </c>
      <c r="B50" s="100"/>
      <c r="C50" s="19">
        <v>38119</v>
      </c>
      <c r="D50" s="1"/>
      <c r="E50" s="4">
        <f t="shared" si="19"/>
        <v>9630</v>
      </c>
      <c r="F50" s="86">
        <v>382</v>
      </c>
      <c r="G50" s="7">
        <f t="shared" si="10"/>
        <v>10.817093999999999</v>
      </c>
      <c r="H50" s="5">
        <f>475.32*G50^-0.9427</f>
        <v>50.36513731261514</v>
      </c>
      <c r="I50" s="5">
        <f>67.67*G50^-0.8126</f>
        <v>9.774125248395066</v>
      </c>
      <c r="J50" s="5">
        <f>873.11*G50^-0.9206</f>
        <v>97.51394815890461</v>
      </c>
      <c r="K50" s="23">
        <f>52.923*G50^-0.8934</f>
        <v>6.306233413644494</v>
      </c>
      <c r="L50" s="7">
        <f t="shared" si="14"/>
        <v>544.8044246334653</v>
      </c>
      <c r="M50" s="7">
        <f t="shared" si="15"/>
        <v>105.72763157966277</v>
      </c>
      <c r="N50" s="7">
        <f t="shared" si="16"/>
        <v>1054.817543545998</v>
      </c>
      <c r="O50" s="7">
        <f t="shared" si="17"/>
        <v>68.21511962133337</v>
      </c>
      <c r="P50" s="7">
        <f t="shared" si="18"/>
        <v>370.43490258436555</v>
      </c>
      <c r="Q50" s="7">
        <f t="shared" si="11"/>
        <v>70.66987255169145</v>
      </c>
      <c r="R50" s="7">
        <f t="shared" si="12"/>
        <v>710.2193460848382</v>
      </c>
      <c r="S50" s="7">
        <f t="shared" si="13"/>
        <v>46.42608900602881</v>
      </c>
    </row>
    <row r="51" spans="1:19" ht="12.75">
      <c r="A51">
        <v>16</v>
      </c>
      <c r="B51" s="100" t="s">
        <v>466</v>
      </c>
      <c r="C51" s="19">
        <v>38127</v>
      </c>
      <c r="D51" s="1" t="s">
        <v>199</v>
      </c>
      <c r="E51" s="4">
        <f t="shared" si="19"/>
        <v>9638</v>
      </c>
      <c r="F51" s="86">
        <v>373</v>
      </c>
      <c r="G51" s="7">
        <f t="shared" si="10"/>
        <v>10.562241</v>
      </c>
      <c r="H51" s="5">
        <v>49.9</v>
      </c>
      <c r="I51" s="5">
        <v>9.35</v>
      </c>
      <c r="J51" s="5">
        <v>94.69726041666668</v>
      </c>
      <c r="K51" s="23">
        <v>6.26</v>
      </c>
      <c r="L51" s="7">
        <f t="shared" si="14"/>
        <v>527.0558259</v>
      </c>
      <c r="M51" s="7">
        <f t="shared" si="15"/>
        <v>98.75695335</v>
      </c>
      <c r="N51" s="7">
        <f t="shared" si="16"/>
        <v>1000.2152865605939</v>
      </c>
      <c r="O51" s="7">
        <f t="shared" si="17"/>
        <v>66.11962866</v>
      </c>
      <c r="P51" s="7">
        <f t="shared" si="18"/>
        <v>596.8792230148799</v>
      </c>
      <c r="Q51" s="7">
        <f t="shared" si="11"/>
        <v>111.618922579632</v>
      </c>
      <c r="R51" s="7">
        <f t="shared" si="12"/>
        <v>1148.1788758241967</v>
      </c>
      <c r="S51" s="7">
        <f t="shared" si="13"/>
        <v>75.382899549984</v>
      </c>
    </row>
    <row r="52" spans="1:19" ht="12.75">
      <c r="A52">
        <v>17</v>
      </c>
      <c r="B52" s="100" t="s">
        <v>467</v>
      </c>
      <c r="C52" s="19">
        <v>38140</v>
      </c>
      <c r="D52" s="1" t="s">
        <v>199</v>
      </c>
      <c r="E52" s="4">
        <f t="shared" si="19"/>
        <v>9651</v>
      </c>
      <c r="F52" s="86">
        <v>383</v>
      </c>
      <c r="G52" s="7">
        <f t="shared" si="10"/>
        <v>10.845410999999999</v>
      </c>
      <c r="H52" s="5">
        <v>49.4</v>
      </c>
      <c r="I52" s="5">
        <v>9.22</v>
      </c>
      <c r="J52" s="5">
        <v>96.286140625</v>
      </c>
      <c r="K52" s="23">
        <v>6.28</v>
      </c>
      <c r="L52" s="7">
        <f t="shared" si="14"/>
        <v>535.7633033999999</v>
      </c>
      <c r="M52" s="7">
        <f t="shared" si="15"/>
        <v>99.99468942</v>
      </c>
      <c r="N52" s="7">
        <f t="shared" si="16"/>
        <v>1044.2627686819217</v>
      </c>
      <c r="O52" s="7">
        <f t="shared" si="17"/>
        <v>68.10918108</v>
      </c>
      <c r="P52" s="7">
        <f t="shared" si="18"/>
        <v>328.12510412054155</v>
      </c>
      <c r="Q52" s="7">
        <f t="shared" si="11"/>
        <v>63.08264852175476</v>
      </c>
      <c r="R52" s="7">
        <f t="shared" si="12"/>
        <v>638.4202436225218</v>
      </c>
      <c r="S52" s="7">
        <f t="shared" si="13"/>
        <v>41.542724314123085</v>
      </c>
    </row>
    <row r="53" spans="2:19" ht="12.75">
      <c r="B53" s="100"/>
      <c r="C53" s="19">
        <v>38147</v>
      </c>
      <c r="D53" s="1"/>
      <c r="E53" s="4">
        <f t="shared" si="19"/>
        <v>9658</v>
      </c>
      <c r="F53" s="86">
        <v>441</v>
      </c>
      <c r="G53" s="7">
        <f t="shared" si="10"/>
        <v>12.487796999999999</v>
      </c>
      <c r="H53" s="5">
        <f>475.32*G53^-0.9427</f>
        <v>43.98746114774325</v>
      </c>
      <c r="I53" s="5">
        <f>67.67*G53^-0.8126</f>
        <v>8.697446997017948</v>
      </c>
      <c r="J53" s="5">
        <f>873.11*G53^-0.9206</f>
        <v>85.43662950521694</v>
      </c>
      <c r="K53" s="23">
        <f>52.923*G53^-0.8934</f>
        <v>5.546819247862503</v>
      </c>
      <c r="L53" s="7">
        <f t="shared" si="14"/>
        <v>549.3064853584046</v>
      </c>
      <c r="M53" s="7">
        <f t="shared" si="15"/>
        <v>108.61195251701973</v>
      </c>
      <c r="N53" s="7">
        <f t="shared" si="16"/>
        <v>1066.9152856253595</v>
      </c>
      <c r="O53" s="7">
        <f t="shared" si="17"/>
        <v>69.26755276299961</v>
      </c>
      <c r="P53" s="7">
        <f t="shared" si="18"/>
        <v>367.26204793826463</v>
      </c>
      <c r="Q53" s="7">
        <f t="shared" si="11"/>
        <v>69.89379775961002</v>
      </c>
      <c r="R53" s="7">
        <f t="shared" si="12"/>
        <v>717.0561540594666</v>
      </c>
      <c r="S53" s="7">
        <f t="shared" si="13"/>
        <v>46.28346388174066</v>
      </c>
    </row>
    <row r="54" spans="1:19" ht="12.75">
      <c r="A54">
        <v>18</v>
      </c>
      <c r="B54" s="100" t="s">
        <v>468</v>
      </c>
      <c r="C54" s="19">
        <v>38155</v>
      </c>
      <c r="D54" s="1" t="s">
        <v>199</v>
      </c>
      <c r="E54" s="4">
        <f t="shared" si="19"/>
        <v>9666</v>
      </c>
      <c r="F54" s="86">
        <v>359</v>
      </c>
      <c r="G54" s="7">
        <f t="shared" si="10"/>
        <v>10.165802999999999</v>
      </c>
      <c r="H54" s="5">
        <v>50.5</v>
      </c>
      <c r="I54" s="5">
        <v>9.21</v>
      </c>
      <c r="J54" s="5">
        <v>99.146125</v>
      </c>
      <c r="K54" s="23">
        <v>6.36</v>
      </c>
      <c r="L54" s="7">
        <f t="shared" si="14"/>
        <v>513.3730515</v>
      </c>
      <c r="M54" s="7">
        <f t="shared" si="15"/>
        <v>93.62704563</v>
      </c>
      <c r="N54" s="7">
        <f t="shared" si="16"/>
        <v>1007.8999749633748</v>
      </c>
      <c r="O54" s="7">
        <f t="shared" si="17"/>
        <v>64.65450707999999</v>
      </c>
      <c r="P54" s="7">
        <f t="shared" si="18"/>
        <v>496.36699398</v>
      </c>
      <c r="Q54" s="7">
        <f t="shared" si="11"/>
        <v>90.05977780113601</v>
      </c>
      <c r="R54" s="7">
        <f t="shared" si="12"/>
        <v>990.0299753558477</v>
      </c>
      <c r="S54" s="7">
        <f t="shared" si="13"/>
        <v>62.39819220940799</v>
      </c>
    </row>
    <row r="55" spans="1:19" ht="12.75">
      <c r="A55">
        <v>19</v>
      </c>
      <c r="B55" s="100" t="s">
        <v>469</v>
      </c>
      <c r="C55" s="19">
        <v>38166</v>
      </c>
      <c r="D55" s="1" t="s">
        <v>199</v>
      </c>
      <c r="E55" s="4">
        <f t="shared" si="19"/>
        <v>9677</v>
      </c>
      <c r="F55" s="86">
        <v>332</v>
      </c>
      <c r="G55" s="7">
        <f t="shared" si="10"/>
        <v>9.401244</v>
      </c>
      <c r="H55" s="5">
        <v>56.5</v>
      </c>
      <c r="I55" s="5">
        <v>10.2</v>
      </c>
      <c r="J55" s="5">
        <v>114.399375</v>
      </c>
      <c r="K55" s="23">
        <v>7.09</v>
      </c>
      <c r="L55" s="7">
        <f t="shared" si="14"/>
        <v>531.170286</v>
      </c>
      <c r="M55" s="7">
        <f t="shared" si="15"/>
        <v>95.8926888</v>
      </c>
      <c r="N55" s="7">
        <f t="shared" si="16"/>
        <v>1075.4964378225002</v>
      </c>
      <c r="O55" s="7">
        <f t="shared" si="17"/>
        <v>66.65481996</v>
      </c>
      <c r="P55" s="7">
        <f t="shared" si="18"/>
        <v>635.39452486944</v>
      </c>
      <c r="Q55" s="7">
        <f t="shared" si="11"/>
        <v>111.03892200576</v>
      </c>
      <c r="R55" s="7">
        <f t="shared" si="12"/>
        <v>1272.3812213783456</v>
      </c>
      <c r="S55" s="7">
        <f t="shared" si="13"/>
        <v>79.68356227439997</v>
      </c>
    </row>
    <row r="56" spans="1:19" ht="12.75">
      <c r="A56">
        <v>20</v>
      </c>
      <c r="B56" s="100" t="s">
        <v>470</v>
      </c>
      <c r="C56" s="19">
        <v>38180</v>
      </c>
      <c r="D56" s="1" t="s">
        <v>199</v>
      </c>
      <c r="E56" s="4">
        <f t="shared" si="19"/>
        <v>9691</v>
      </c>
      <c r="F56" s="86">
        <v>267</v>
      </c>
      <c r="G56" s="7">
        <f t="shared" si="10"/>
        <v>7.560638999999999</v>
      </c>
      <c r="H56" s="5">
        <v>68.7</v>
      </c>
      <c r="I56" s="5">
        <v>11.6</v>
      </c>
      <c r="J56" s="5">
        <v>136.00814583333334</v>
      </c>
      <c r="K56" s="23">
        <v>8.61</v>
      </c>
      <c r="L56" s="7">
        <f t="shared" si="14"/>
        <v>519.4158993</v>
      </c>
      <c r="M56" s="7">
        <f t="shared" si="15"/>
        <v>87.70341239999999</v>
      </c>
      <c r="N56" s="7">
        <f t="shared" si="16"/>
        <v>1028.3084917051874</v>
      </c>
      <c r="O56" s="7">
        <f t="shared" si="17"/>
        <v>65.09710178999998</v>
      </c>
      <c r="P56" s="7">
        <f t="shared" si="18"/>
        <v>734.15866620672</v>
      </c>
      <c r="Q56" s="7">
        <f t="shared" si="11"/>
        <v>122.62694519808001</v>
      </c>
      <c r="R56" s="7">
        <f t="shared" si="12"/>
        <v>1446.3877337219087</v>
      </c>
      <c r="S56" s="7">
        <f t="shared" si="13"/>
        <v>91.49987666764798</v>
      </c>
    </row>
    <row r="57" spans="1:19" ht="12.75">
      <c r="A57">
        <v>21</v>
      </c>
      <c r="B57" s="100" t="s">
        <v>471</v>
      </c>
      <c r="C57" s="19">
        <v>38196</v>
      </c>
      <c r="D57" s="1" t="s">
        <v>199</v>
      </c>
      <c r="E57" s="4">
        <f t="shared" si="19"/>
        <v>9707</v>
      </c>
      <c r="F57" s="86">
        <v>264</v>
      </c>
      <c r="G57" s="7">
        <f t="shared" si="10"/>
        <v>7.475688</v>
      </c>
      <c r="H57" s="5">
        <v>72.6</v>
      </c>
      <c r="I57" s="5">
        <v>12</v>
      </c>
      <c r="J57" s="5">
        <v>142.36366666666666</v>
      </c>
      <c r="K57" s="23">
        <v>9</v>
      </c>
      <c r="L57" s="7">
        <f t="shared" si="14"/>
        <v>542.7349488</v>
      </c>
      <c r="M57" s="7">
        <f t="shared" si="15"/>
        <v>89.708256</v>
      </c>
      <c r="N57" s="7">
        <f t="shared" si="16"/>
        <v>1064.2663545359999</v>
      </c>
      <c r="O57" s="7">
        <f t="shared" si="17"/>
        <v>67.281192</v>
      </c>
      <c r="P57" s="7">
        <f t="shared" si="18"/>
        <v>631.9710131615999</v>
      </c>
      <c r="Q57" s="7">
        <f t="shared" si="11"/>
        <v>105.01737765120001</v>
      </c>
      <c r="R57" s="7">
        <f t="shared" si="12"/>
        <v>1241.8555226037251</v>
      </c>
      <c r="S57" s="7">
        <f t="shared" si="13"/>
        <v>78.678430197696</v>
      </c>
    </row>
    <row r="58" spans="1:19" ht="12.75">
      <c r="A58">
        <v>22</v>
      </c>
      <c r="B58" s="100" t="s">
        <v>472</v>
      </c>
      <c r="C58" s="19">
        <v>38210</v>
      </c>
      <c r="D58" s="10">
        <v>0.6326388888888889</v>
      </c>
      <c r="E58" s="4">
        <f t="shared" si="19"/>
        <v>9721</v>
      </c>
      <c r="F58" s="86">
        <v>247</v>
      </c>
      <c r="G58" s="7">
        <f t="shared" si="10"/>
        <v>6.994299</v>
      </c>
      <c r="H58" s="5">
        <v>71.8</v>
      </c>
      <c r="I58" s="5">
        <v>12</v>
      </c>
      <c r="J58" s="5">
        <v>141.41033854166668</v>
      </c>
      <c r="K58" s="23">
        <v>8.98</v>
      </c>
      <c r="L58" s="7">
        <f t="shared" si="14"/>
        <v>502.19066819999995</v>
      </c>
      <c r="M58" s="7">
        <f t="shared" si="15"/>
        <v>83.931588</v>
      </c>
      <c r="N58" s="7">
        <f t="shared" si="16"/>
        <v>989.0661894516406</v>
      </c>
      <c r="O58" s="7">
        <f t="shared" si="17"/>
        <v>62.80880502</v>
      </c>
      <c r="P58" s="7">
        <f t="shared" si="18"/>
        <v>618.95662869888</v>
      </c>
      <c r="Q58" s="7">
        <f t="shared" si="11"/>
        <v>109.08654414336</v>
      </c>
      <c r="R58" s="7">
        <f t="shared" si="12"/>
        <v>1183.47472524527</v>
      </c>
      <c r="S58" s="7">
        <f t="shared" si="13"/>
        <v>75.748297587264</v>
      </c>
    </row>
    <row r="59" spans="1:19" ht="12.75">
      <c r="A59">
        <v>23</v>
      </c>
      <c r="B59" s="100" t="s">
        <v>473</v>
      </c>
      <c r="C59" s="19">
        <v>38222</v>
      </c>
      <c r="D59" s="1" t="s">
        <v>199</v>
      </c>
      <c r="E59" s="4">
        <f t="shared" si="19"/>
        <v>9733</v>
      </c>
      <c r="F59" s="86">
        <v>349</v>
      </c>
      <c r="G59" s="7">
        <f t="shared" si="10"/>
        <v>9.882633</v>
      </c>
      <c r="H59" s="5">
        <v>70</v>
      </c>
      <c r="I59" s="5">
        <v>12.8</v>
      </c>
      <c r="J59" s="5">
        <v>130.92372916666667</v>
      </c>
      <c r="K59" s="23">
        <v>8.43</v>
      </c>
      <c r="L59" s="7">
        <f t="shared" si="14"/>
        <v>691.78431</v>
      </c>
      <c r="M59" s="7">
        <f t="shared" si="15"/>
        <v>126.49770240000001</v>
      </c>
      <c r="N59" s="7">
        <f t="shared" si="16"/>
        <v>1293.8711663455626</v>
      </c>
      <c r="O59" s="7">
        <f t="shared" si="17"/>
        <v>83.31059619</v>
      </c>
      <c r="P59" s="7">
        <f t="shared" si="18"/>
        <v>921.54290239872</v>
      </c>
      <c r="Q59" s="7">
        <f t="shared" si="11"/>
        <v>164.98620504576002</v>
      </c>
      <c r="R59" s="7">
        <f t="shared" si="12"/>
        <v>1764.1635000043666</v>
      </c>
      <c r="S59" s="7">
        <f t="shared" si="13"/>
        <v>113.029246460448</v>
      </c>
    </row>
    <row r="60" spans="1:19" ht="12.75">
      <c r="A60">
        <v>24</v>
      </c>
      <c r="B60" s="100" t="s">
        <v>474</v>
      </c>
      <c r="C60" s="19">
        <v>38240</v>
      </c>
      <c r="D60" s="10">
        <v>0.4583333333333333</v>
      </c>
      <c r="E60" s="4">
        <f t="shared" si="19"/>
        <v>9751</v>
      </c>
      <c r="F60" s="86">
        <v>244</v>
      </c>
      <c r="G60" s="7">
        <f t="shared" si="10"/>
        <v>6.909348</v>
      </c>
      <c r="H60" s="5">
        <v>71.4</v>
      </c>
      <c r="I60" s="5">
        <v>12.4</v>
      </c>
      <c r="J60" s="5">
        <v>141.0925625</v>
      </c>
      <c r="K60" s="23">
        <v>8.98</v>
      </c>
      <c r="L60" s="7">
        <f t="shared" si="14"/>
        <v>493.3274472</v>
      </c>
      <c r="M60" s="7">
        <f t="shared" si="15"/>
        <v>85.67591519999999</v>
      </c>
      <c r="N60" s="7">
        <f t="shared" si="16"/>
        <v>974.85761452425</v>
      </c>
      <c r="O60" s="7">
        <f t="shared" si="17"/>
        <v>62.04594504</v>
      </c>
      <c r="P60" s="7">
        <f t="shared" si="18"/>
        <v>492.6096452304</v>
      </c>
      <c r="Q60" s="7">
        <f t="shared" si="11"/>
        <v>97.4427387264</v>
      </c>
      <c r="R60" s="7">
        <f t="shared" si="12"/>
        <v>926.492237366976</v>
      </c>
      <c r="S60" s="7">
        <f t="shared" si="13"/>
        <v>59.88172883328001</v>
      </c>
    </row>
    <row r="61" spans="1:19" ht="12.75">
      <c r="A61">
        <v>25</v>
      </c>
      <c r="B61" s="100" t="s">
        <v>475</v>
      </c>
      <c r="C61" s="19">
        <v>38250</v>
      </c>
      <c r="D61" s="10">
        <v>0.4375</v>
      </c>
      <c r="E61" s="4">
        <f t="shared" si="19"/>
        <v>9761</v>
      </c>
      <c r="F61" s="86">
        <v>325</v>
      </c>
      <c r="G61" s="7">
        <f t="shared" si="10"/>
        <v>9.203025</v>
      </c>
      <c r="H61" s="5">
        <v>70.3</v>
      </c>
      <c r="I61" s="5">
        <v>15.2</v>
      </c>
      <c r="J61" s="5">
        <v>127.11041666666667</v>
      </c>
      <c r="K61" s="23">
        <v>8.32</v>
      </c>
      <c r="L61" s="7">
        <f t="shared" si="14"/>
        <v>646.9726575</v>
      </c>
      <c r="M61" s="7">
        <f t="shared" si="15"/>
        <v>139.88598</v>
      </c>
      <c r="N61" s="7">
        <f t="shared" si="16"/>
        <v>1169.8003423437501</v>
      </c>
      <c r="O61" s="7">
        <f t="shared" si="17"/>
        <v>76.569168</v>
      </c>
      <c r="P61" s="7">
        <f t="shared" si="18"/>
        <v>509.3561817838208</v>
      </c>
      <c r="Q61" s="7">
        <f t="shared" si="11"/>
        <v>102.7110727327063</v>
      </c>
      <c r="R61" s="7">
        <f t="shared" si="12"/>
        <v>946.3684110970216</v>
      </c>
      <c r="S61" s="7">
        <f t="shared" si="13"/>
        <v>61.280476492640986</v>
      </c>
    </row>
    <row r="62" spans="1:19" ht="12.75">
      <c r="A62">
        <v>26</v>
      </c>
      <c r="C62" s="88">
        <v>38260</v>
      </c>
      <c r="E62" s="15">
        <f t="shared" si="19"/>
        <v>9771</v>
      </c>
      <c r="F62" s="93">
        <v>253</v>
      </c>
      <c r="G62" s="7">
        <f t="shared" si="10"/>
        <v>7.164200999999999</v>
      </c>
      <c r="H62" s="5">
        <f>475.32*G62^-0.9427</f>
        <v>74.27102870378654</v>
      </c>
      <c r="I62" s="5">
        <f>67.67*G62^-0.8126</f>
        <v>13.661137202486433</v>
      </c>
      <c r="J62" s="5">
        <f>873.11*G62^-0.9206</f>
        <v>142.49562176387744</v>
      </c>
      <c r="K62" s="23">
        <f>52.923*G62^-0.8934</f>
        <v>9.112500730238631</v>
      </c>
      <c r="L62" s="7">
        <f t="shared" si="14"/>
        <v>532.0925781106962</v>
      </c>
      <c r="M62" s="7">
        <f t="shared" si="15"/>
        <v>97.87113280719049</v>
      </c>
      <c r="N62" s="7">
        <f t="shared" si="16"/>
        <v>1020.8672759363924</v>
      </c>
      <c r="O62" s="7">
        <f t="shared" si="17"/>
        <v>65.28378684407633</v>
      </c>
      <c r="P62" s="7"/>
      <c r="Q62" s="7"/>
      <c r="R62" s="7"/>
      <c r="S62" s="7"/>
    </row>
    <row r="63" spans="2:19" ht="12.75">
      <c r="B63" s="17"/>
      <c r="C63" s="143"/>
      <c r="D63" s="17"/>
      <c r="E63" s="17"/>
      <c r="F63" s="17"/>
      <c r="G63" s="17"/>
      <c r="H63" s="91"/>
      <c r="I63" s="91"/>
      <c r="J63" s="91"/>
      <c r="K63" s="84"/>
      <c r="L63" s="17"/>
      <c r="M63" s="17"/>
      <c r="N63" s="17"/>
      <c r="O63" s="17"/>
      <c r="P63" s="17"/>
      <c r="Q63" s="17"/>
      <c r="R63" s="17"/>
      <c r="S63" s="17"/>
    </row>
    <row r="64" spans="3:19" ht="12.75">
      <c r="C64" s="88"/>
      <c r="G64" s="11"/>
      <c r="L64" s="11"/>
      <c r="M64" s="11"/>
      <c r="N64" s="11"/>
      <c r="O64" s="11"/>
      <c r="P64" s="18"/>
      <c r="Q64" s="18"/>
      <c r="R64" s="18"/>
      <c r="S64" s="18"/>
    </row>
    <row r="65" spans="2:19" ht="12.75">
      <c r="B65" s="35" t="s">
        <v>223</v>
      </c>
      <c r="C65" s="88"/>
      <c r="F65" s="11"/>
      <c r="G65" s="11"/>
      <c r="L65" s="11"/>
      <c r="M65" s="11"/>
      <c r="N65" s="11"/>
      <c r="O65" s="11"/>
      <c r="P65" s="11">
        <f>SUM(P35:P61)</f>
        <v>16995.45123538263</v>
      </c>
      <c r="Q65" s="11">
        <f>SUM(Q35:Q61)</f>
        <v>3189.6476344245516</v>
      </c>
      <c r="R65" s="11">
        <f>SUM(R35:R61)</f>
        <v>32436.814491638448</v>
      </c>
      <c r="S65" s="11">
        <f>SUM(S35:S61)</f>
        <v>2088.553046913977</v>
      </c>
    </row>
    <row r="68" spans="1:3" ht="12.75">
      <c r="A68" t="s">
        <v>630</v>
      </c>
      <c r="C68" s="49" t="s">
        <v>629</v>
      </c>
    </row>
    <row r="69" spans="1:3" ht="12.75">
      <c r="A69" t="s">
        <v>632</v>
      </c>
      <c r="C69" s="49" t="s">
        <v>631</v>
      </c>
    </row>
    <row r="70" spans="1:3" ht="12.75">
      <c r="A70" t="s">
        <v>634</v>
      </c>
      <c r="C70" s="49" t="s">
        <v>633</v>
      </c>
    </row>
    <row r="71" spans="1:3" ht="12.75">
      <c r="A71" t="s">
        <v>636</v>
      </c>
      <c r="C71" s="49" t="s">
        <v>635</v>
      </c>
    </row>
  </sheetData>
  <dataValidations count="1">
    <dataValidation type="textLength" operator="greaterThanOrEqual" allowBlank="1" showInputMessage="1" showErrorMessage="1" sqref="M32 P64:S64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9"/>
  <sheetViews>
    <sheetView workbookViewId="0" topLeftCell="A1">
      <pane xSplit="2" ySplit="2" topLeftCell="D3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63" sqref="P63:S63"/>
    </sheetView>
  </sheetViews>
  <sheetFormatPr defaultColWidth="9.140625" defaultRowHeight="12.75"/>
  <cols>
    <col min="3" max="3" width="9.140625" style="49" customWidth="1"/>
    <col min="8" max="10" width="9.140625" style="5" customWidth="1"/>
    <col min="11" max="11" width="11.57421875" style="23" bestFit="1" customWidth="1"/>
  </cols>
  <sheetData>
    <row r="1" spans="2:19" ht="13.5" thickBot="1">
      <c r="B1" s="67" t="s">
        <v>476</v>
      </c>
      <c r="C1" s="68"/>
      <c r="D1" s="69"/>
      <c r="E1" s="69"/>
      <c r="F1" s="69"/>
      <c r="G1" s="70"/>
      <c r="H1" s="109"/>
      <c r="I1" s="110"/>
      <c r="J1" s="110"/>
      <c r="K1" s="71"/>
      <c r="L1" s="74"/>
      <c r="M1" s="74"/>
      <c r="N1" s="74"/>
      <c r="O1" s="74"/>
      <c r="P1" s="75"/>
      <c r="Q1" s="75"/>
      <c r="R1" s="75"/>
      <c r="S1" s="75"/>
    </row>
    <row r="2" spans="2:19" ht="52.5" thickBot="1" thickTop="1">
      <c r="B2" s="78" t="s">
        <v>0</v>
      </c>
      <c r="C2" s="138" t="s">
        <v>1</v>
      </c>
      <c r="D2" s="79" t="s">
        <v>163</v>
      </c>
      <c r="E2" s="79" t="s">
        <v>29</v>
      </c>
      <c r="F2" s="79" t="s">
        <v>162</v>
      </c>
      <c r="G2" s="80" t="s">
        <v>161</v>
      </c>
      <c r="H2" s="111" t="s">
        <v>2</v>
      </c>
      <c r="I2" s="111" t="s">
        <v>158</v>
      </c>
      <c r="J2" s="111" t="s">
        <v>159</v>
      </c>
      <c r="K2" s="113" t="s">
        <v>160</v>
      </c>
      <c r="L2" s="80" t="s">
        <v>176</v>
      </c>
      <c r="M2" s="80" t="s">
        <v>177</v>
      </c>
      <c r="N2" s="80" t="s">
        <v>178</v>
      </c>
      <c r="O2" s="80" t="s">
        <v>179</v>
      </c>
      <c r="P2" s="81" t="s">
        <v>180</v>
      </c>
      <c r="Q2" s="81" t="s">
        <v>181</v>
      </c>
      <c r="R2" s="81" t="s">
        <v>182</v>
      </c>
      <c r="S2" s="81" t="s">
        <v>183</v>
      </c>
    </row>
    <row r="3" spans="1:19" ht="15">
      <c r="A3">
        <v>1</v>
      </c>
      <c r="B3" s="1"/>
      <c r="C3" s="19">
        <v>37530</v>
      </c>
      <c r="D3" s="10"/>
      <c r="E3" s="4">
        <f>C3-28489</f>
        <v>9041</v>
      </c>
      <c r="F3" s="82">
        <v>103</v>
      </c>
      <c r="G3" s="7">
        <f aca="true" t="shared" si="0" ref="G3:G30">F3*0.028317</f>
        <v>2.916651</v>
      </c>
      <c r="H3" s="5">
        <f>116.14*G3^-0.6942</f>
        <v>55.24068123799001</v>
      </c>
      <c r="I3" s="5">
        <f>38.476*G3^-0.4023</f>
        <v>25.01306407286651</v>
      </c>
      <c r="J3" s="5">
        <f>234.15*G3^-0.6794</f>
        <v>113.1492439114193</v>
      </c>
      <c r="K3" s="144">
        <f>7.9236*G3^-0.6033</f>
        <v>4.15391633705832</v>
      </c>
      <c r="L3" s="7">
        <f>(H3*$G3)</f>
        <v>161.1177881734648</v>
      </c>
      <c r="M3" s="7">
        <f>(I3*$G3)</f>
        <v>72.95437834119018</v>
      </c>
      <c r="N3" s="7">
        <f>(J3*$G3)</f>
        <v>330.016855403485</v>
      </c>
      <c r="O3" s="7">
        <f>(K3*$G3)</f>
        <v>12.115524238397484</v>
      </c>
      <c r="P3" s="7">
        <f>(((L3+L4)/2)*(($E4-$E3)*24*60*60))/1000000</f>
        <v>553.2755380268399</v>
      </c>
      <c r="Q3" s="7">
        <f aca="true" t="shared" si="1" ref="Q3:Q29">(((M3+M4)/2)*(($E4-$E3)*24*60*60))/1000000</f>
        <v>236.91852478505783</v>
      </c>
      <c r="R3" s="7">
        <f aca="true" t="shared" si="2" ref="R3:R29">(((N3+N4)/2)*(($E4-$E3)*24*60*60))/1000000</f>
        <v>1072.036574438137</v>
      </c>
      <c r="S3" s="7">
        <f aca="true" t="shared" si="3" ref="S3:S29">(((O3+O4)/2)*(($E4-$E3)*24*60*60))/1000000</f>
        <v>38.95381441608931</v>
      </c>
    </row>
    <row r="4" spans="1:19" ht="12.75">
      <c r="A4">
        <v>2</v>
      </c>
      <c r="B4" s="1" t="s">
        <v>477</v>
      </c>
      <c r="C4" s="19">
        <v>37568</v>
      </c>
      <c r="D4" s="10">
        <v>0.5159722222222222</v>
      </c>
      <c r="E4" s="4">
        <f>C4-28489</f>
        <v>9079</v>
      </c>
      <c r="F4" s="34">
        <v>93</v>
      </c>
      <c r="G4" s="7">
        <f t="shared" si="0"/>
        <v>2.6334809999999997</v>
      </c>
      <c r="H4" s="5">
        <v>66.8</v>
      </c>
      <c r="I4" s="5">
        <v>27.1</v>
      </c>
      <c r="J4" s="5">
        <v>122.66155208333335</v>
      </c>
      <c r="K4" s="23">
        <v>4.41</v>
      </c>
      <c r="L4" s="7">
        <f aca="true" t="shared" si="4" ref="L4:L30">(H4*$G4)</f>
        <v>175.91653079999998</v>
      </c>
      <c r="M4" s="7">
        <f aca="true" t="shared" si="5" ref="M4:M30">(I4*$G4)</f>
        <v>71.36733509999999</v>
      </c>
      <c r="N4" s="7">
        <f aca="true" t="shared" si="6" ref="N4:N30">(J4*$G4)</f>
        <v>323.02686684196874</v>
      </c>
      <c r="O4" s="7">
        <f aca="true" t="shared" si="7" ref="O4:O30">(K4*$G4)</f>
        <v>11.613651209999999</v>
      </c>
      <c r="P4" s="7">
        <f aca="true" t="shared" si="8" ref="P4:P29">(((L4+L5)/2)*(($E5-$E4)*24*60*60))/1000000</f>
        <v>157.0544864856</v>
      </c>
      <c r="Q4" s="7">
        <f t="shared" si="1"/>
        <v>65.32465493664</v>
      </c>
      <c r="R4" s="7">
        <f t="shared" si="2"/>
        <v>309.3907814039641</v>
      </c>
      <c r="S4" s="7">
        <f t="shared" si="3"/>
        <v>11.062642713408</v>
      </c>
    </row>
    <row r="5" spans="1:19" ht="12.75">
      <c r="A5">
        <v>3</v>
      </c>
      <c r="B5" s="1" t="s">
        <v>478</v>
      </c>
      <c r="C5" s="19">
        <v>37579</v>
      </c>
      <c r="D5" s="10">
        <v>0.54375</v>
      </c>
      <c r="E5" s="4">
        <f>C5-28489</f>
        <v>9090</v>
      </c>
      <c r="F5" s="34">
        <v>93</v>
      </c>
      <c r="G5" s="7">
        <f t="shared" si="0"/>
        <v>2.6334809999999997</v>
      </c>
      <c r="H5" s="5">
        <v>58.7</v>
      </c>
      <c r="I5" s="5">
        <v>25.1</v>
      </c>
      <c r="J5" s="5">
        <v>124.56820833333332</v>
      </c>
      <c r="K5" s="23">
        <v>4.43</v>
      </c>
      <c r="L5" s="7">
        <f t="shared" si="4"/>
        <v>154.5853347</v>
      </c>
      <c r="M5" s="7">
        <f t="shared" si="5"/>
        <v>66.1003731</v>
      </c>
      <c r="N5" s="7">
        <f t="shared" si="6"/>
        <v>328.0480098498749</v>
      </c>
      <c r="O5" s="7">
        <f t="shared" si="7"/>
        <v>11.666320829999998</v>
      </c>
      <c r="P5" s="7">
        <f t="shared" si="8"/>
        <v>218.53420479360003</v>
      </c>
      <c r="Q5" s="7">
        <f t="shared" si="1"/>
        <v>93.03704394479999</v>
      </c>
      <c r="R5" s="7">
        <f t="shared" si="2"/>
        <v>430.8296194244452</v>
      </c>
      <c r="S5" s="7">
        <f t="shared" si="3"/>
        <v>15.404151237839999</v>
      </c>
    </row>
    <row r="6" spans="1:19" ht="12.75">
      <c r="A6">
        <v>4</v>
      </c>
      <c r="B6" s="1" t="s">
        <v>479</v>
      </c>
      <c r="C6" s="19">
        <v>37594</v>
      </c>
      <c r="D6" s="10">
        <v>0.5284722222222222</v>
      </c>
      <c r="E6" s="4">
        <f aca="true" t="shared" si="9" ref="E6:E30">C6-28489</f>
        <v>9105</v>
      </c>
      <c r="F6" s="34">
        <v>95</v>
      </c>
      <c r="G6" s="7">
        <f t="shared" si="0"/>
        <v>2.690115</v>
      </c>
      <c r="H6" s="5">
        <v>67.9</v>
      </c>
      <c r="I6" s="5">
        <v>28.8</v>
      </c>
      <c r="J6" s="5">
        <v>125.20376041666667</v>
      </c>
      <c r="K6" s="23">
        <v>4.5</v>
      </c>
      <c r="L6" s="7">
        <f t="shared" si="4"/>
        <v>182.65880850000002</v>
      </c>
      <c r="M6" s="7">
        <f t="shared" si="5"/>
        <v>77.475312</v>
      </c>
      <c r="N6" s="7">
        <f t="shared" si="6"/>
        <v>336.81251395328127</v>
      </c>
      <c r="O6" s="7">
        <f t="shared" si="7"/>
        <v>12.1055175</v>
      </c>
      <c r="P6" s="7">
        <f t="shared" si="8"/>
        <v>698.1335024327999</v>
      </c>
      <c r="Q6" s="7">
        <f t="shared" si="1"/>
        <v>305.55471989088</v>
      </c>
      <c r="R6" s="7">
        <f t="shared" si="2"/>
        <v>1193.3159063849982</v>
      </c>
      <c r="S6" s="7">
        <f t="shared" si="3"/>
        <v>43.674533753616004</v>
      </c>
    </row>
    <row r="7" spans="1:19" ht="12.75">
      <c r="A7">
        <v>5</v>
      </c>
      <c r="B7" s="1" t="s">
        <v>480</v>
      </c>
      <c r="C7" s="19">
        <v>37635</v>
      </c>
      <c r="D7" s="10">
        <v>0.4444444444444444</v>
      </c>
      <c r="E7" s="4">
        <f t="shared" si="9"/>
        <v>9146</v>
      </c>
      <c r="F7" s="34">
        <v>97</v>
      </c>
      <c r="G7" s="7">
        <f t="shared" si="0"/>
        <v>2.746749</v>
      </c>
      <c r="H7" s="5">
        <v>77</v>
      </c>
      <c r="I7" s="5">
        <v>34.6</v>
      </c>
      <c r="J7" s="5">
        <v>122.66155208333335</v>
      </c>
      <c r="K7" s="23">
        <v>4.57</v>
      </c>
      <c r="L7" s="7">
        <f t="shared" si="4"/>
        <v>211.499673</v>
      </c>
      <c r="M7" s="7">
        <f t="shared" si="5"/>
        <v>95.0375154</v>
      </c>
      <c r="N7" s="7">
        <f t="shared" si="6"/>
        <v>336.9204955233438</v>
      </c>
      <c r="O7" s="7">
        <f t="shared" si="7"/>
        <v>12.552642930000001</v>
      </c>
      <c r="P7" s="7">
        <f t="shared" si="8"/>
        <v>17.33567193072</v>
      </c>
      <c r="Q7" s="7">
        <f t="shared" si="1"/>
        <v>7.96890670992</v>
      </c>
      <c r="R7" s="7">
        <f t="shared" si="2"/>
        <v>29.448517824304876</v>
      </c>
      <c r="S7" s="7">
        <f t="shared" si="3"/>
        <v>1.078774399584</v>
      </c>
    </row>
    <row r="8" spans="1:19" ht="12.75">
      <c r="A8">
        <v>6</v>
      </c>
      <c r="B8" s="1" t="s">
        <v>481</v>
      </c>
      <c r="C8" s="19">
        <v>37636</v>
      </c>
      <c r="D8" s="10">
        <v>0.5208333333333334</v>
      </c>
      <c r="E8" s="4">
        <f t="shared" si="9"/>
        <v>9147</v>
      </c>
      <c r="F8" s="34">
        <v>99</v>
      </c>
      <c r="G8" s="7">
        <f t="shared" si="0"/>
        <v>2.8033829999999997</v>
      </c>
      <c r="H8" s="5">
        <v>67.7</v>
      </c>
      <c r="I8" s="5">
        <v>31.9</v>
      </c>
      <c r="J8" s="5">
        <v>122.979328125</v>
      </c>
      <c r="K8" s="23">
        <v>4.43</v>
      </c>
      <c r="L8" s="7">
        <f t="shared" si="4"/>
        <v>189.7890291</v>
      </c>
      <c r="M8" s="7">
        <f t="shared" si="5"/>
        <v>89.42791769999998</v>
      </c>
      <c r="N8" s="7">
        <f t="shared" si="6"/>
        <v>344.7581578170468</v>
      </c>
      <c r="O8" s="7">
        <f t="shared" si="7"/>
        <v>12.418986689999999</v>
      </c>
      <c r="P8" s="7">
        <f t="shared" si="8"/>
        <v>249.377738148</v>
      </c>
      <c r="Q8" s="7">
        <f t="shared" si="1"/>
        <v>118.92256509599999</v>
      </c>
      <c r="R8" s="7">
        <f t="shared" si="2"/>
        <v>444.25259243577443</v>
      </c>
      <c r="S8" s="7">
        <f t="shared" si="3"/>
        <v>16.1649180252</v>
      </c>
    </row>
    <row r="9" spans="1:19" ht="12.75">
      <c r="A9">
        <v>7</v>
      </c>
      <c r="B9" s="1" t="s">
        <v>482</v>
      </c>
      <c r="C9" s="19">
        <v>37651</v>
      </c>
      <c r="D9" s="10">
        <v>0.5083333333333333</v>
      </c>
      <c r="E9" s="4">
        <f t="shared" si="9"/>
        <v>9162</v>
      </c>
      <c r="F9" s="34">
        <v>101</v>
      </c>
      <c r="G9" s="7">
        <f t="shared" si="0"/>
        <v>2.860017</v>
      </c>
      <c r="H9" s="5">
        <v>68.2</v>
      </c>
      <c r="I9" s="5">
        <v>32.9</v>
      </c>
      <c r="J9" s="5">
        <v>119.166015625</v>
      </c>
      <c r="K9" s="23">
        <v>4.38</v>
      </c>
      <c r="L9" s="7">
        <f t="shared" si="4"/>
        <v>195.0531594</v>
      </c>
      <c r="M9" s="7">
        <f t="shared" si="5"/>
        <v>94.0945593</v>
      </c>
      <c r="N9" s="7">
        <f t="shared" si="6"/>
        <v>340.8168305097656</v>
      </c>
      <c r="O9" s="7">
        <f t="shared" si="7"/>
        <v>12.52687446</v>
      </c>
      <c r="P9" s="7">
        <f t="shared" si="8"/>
        <v>453.47229817344</v>
      </c>
      <c r="Q9" s="7">
        <f t="shared" si="1"/>
        <v>215.73090334656</v>
      </c>
      <c r="R9" s="7">
        <f t="shared" si="2"/>
        <v>806.185391741774</v>
      </c>
      <c r="S9" s="7">
        <f t="shared" si="3"/>
        <v>28.89005452704</v>
      </c>
    </row>
    <row r="10" spans="1:19" ht="12.75">
      <c r="A10">
        <v>8</v>
      </c>
      <c r="B10" s="1" t="s">
        <v>483</v>
      </c>
      <c r="C10" s="19">
        <v>37679</v>
      </c>
      <c r="D10" s="10">
        <v>0.5659722222222222</v>
      </c>
      <c r="E10" s="4">
        <f t="shared" si="9"/>
        <v>9190</v>
      </c>
      <c r="F10" s="34">
        <v>87</v>
      </c>
      <c r="G10" s="7">
        <f t="shared" si="0"/>
        <v>2.4635789999999997</v>
      </c>
      <c r="H10" s="5">
        <v>73</v>
      </c>
      <c r="I10" s="5">
        <v>34.2</v>
      </c>
      <c r="J10" s="5">
        <v>132.19483333333335</v>
      </c>
      <c r="K10" s="23">
        <v>4.61</v>
      </c>
      <c r="L10" s="7">
        <f t="shared" si="4"/>
        <v>179.841267</v>
      </c>
      <c r="M10" s="7">
        <f t="shared" si="5"/>
        <v>84.2544018</v>
      </c>
      <c r="N10" s="7">
        <f t="shared" si="6"/>
        <v>325.6724153085</v>
      </c>
      <c r="O10" s="7">
        <f t="shared" si="7"/>
        <v>11.35709919</v>
      </c>
      <c r="P10" s="7">
        <f t="shared" si="8"/>
        <v>246.010620312</v>
      </c>
      <c r="Q10" s="7">
        <f t="shared" si="1"/>
        <v>117.98490993839998</v>
      </c>
      <c r="R10" s="7">
        <f t="shared" si="2"/>
        <v>443.69281597657044</v>
      </c>
      <c r="S10" s="7">
        <f t="shared" si="3"/>
        <v>15.740496033119998</v>
      </c>
    </row>
    <row r="11" spans="1:19" ht="12.75">
      <c r="A11">
        <v>9</v>
      </c>
      <c r="B11" s="1" t="s">
        <v>484</v>
      </c>
      <c r="C11" s="19">
        <v>37694</v>
      </c>
      <c r="D11" s="10">
        <v>0.5111111111111112</v>
      </c>
      <c r="E11" s="4">
        <f t="shared" si="9"/>
        <v>9205</v>
      </c>
      <c r="F11" s="34">
        <v>105</v>
      </c>
      <c r="G11" s="7">
        <f t="shared" si="0"/>
        <v>2.9732849999999997</v>
      </c>
      <c r="H11" s="5">
        <v>67.2</v>
      </c>
      <c r="I11" s="5">
        <v>32.9</v>
      </c>
      <c r="J11" s="5">
        <v>120.75489583333332</v>
      </c>
      <c r="K11" s="23">
        <v>4.35</v>
      </c>
      <c r="L11" s="7">
        <f t="shared" si="4"/>
        <v>199.80475199999998</v>
      </c>
      <c r="M11" s="7">
        <f t="shared" si="5"/>
        <v>97.82107649999999</v>
      </c>
      <c r="N11" s="7">
        <f t="shared" si="6"/>
        <v>359.0387204578124</v>
      </c>
      <c r="O11" s="7">
        <f t="shared" si="7"/>
        <v>12.933789749999997</v>
      </c>
      <c r="P11" s="7">
        <f t="shared" si="8"/>
        <v>397.91515970304</v>
      </c>
      <c r="Q11" s="7">
        <f t="shared" si="1"/>
        <v>193.05934357247997</v>
      </c>
      <c r="R11" s="7">
        <f t="shared" si="2"/>
        <v>713.5470525473387</v>
      </c>
      <c r="S11" s="7">
        <f t="shared" si="3"/>
        <v>25.459007325695996</v>
      </c>
    </row>
    <row r="12" spans="1:19" ht="12.75">
      <c r="A12">
        <v>10</v>
      </c>
      <c r="B12" s="1" t="s">
        <v>485</v>
      </c>
      <c r="C12" s="19">
        <v>37718</v>
      </c>
      <c r="D12" s="10">
        <v>0.4354166666666666</v>
      </c>
      <c r="E12" s="4">
        <f t="shared" si="9"/>
        <v>9229</v>
      </c>
      <c r="F12" s="34">
        <v>91</v>
      </c>
      <c r="G12" s="7">
        <f t="shared" si="0"/>
        <v>2.576847</v>
      </c>
      <c r="H12" s="5">
        <v>71.4</v>
      </c>
      <c r="I12" s="5">
        <v>34.3</v>
      </c>
      <c r="J12" s="5">
        <v>127.74596875</v>
      </c>
      <c r="K12" s="23">
        <v>4.51</v>
      </c>
      <c r="L12" s="7">
        <f t="shared" si="4"/>
        <v>183.9868758</v>
      </c>
      <c r="M12" s="7">
        <f t="shared" si="5"/>
        <v>88.3858521</v>
      </c>
      <c r="N12" s="7">
        <f t="shared" si="6"/>
        <v>329.18181633553127</v>
      </c>
      <c r="O12" s="7">
        <f t="shared" si="7"/>
        <v>11.621579969999999</v>
      </c>
      <c r="P12" s="7">
        <f t="shared" si="8"/>
        <v>131.37553249621226</v>
      </c>
      <c r="Q12" s="7">
        <f t="shared" si="1"/>
        <v>67.58297463748318</v>
      </c>
      <c r="R12" s="7">
        <f t="shared" si="2"/>
        <v>253.94700524777363</v>
      </c>
      <c r="S12" s="7">
        <f t="shared" si="3"/>
        <v>9.420991209310161</v>
      </c>
    </row>
    <row r="13" spans="1:19" ht="12.75">
      <c r="A13">
        <v>11</v>
      </c>
      <c r="B13" s="1"/>
      <c r="C13" s="19">
        <v>37726</v>
      </c>
      <c r="D13" s="10"/>
      <c r="E13" s="4">
        <f t="shared" si="9"/>
        <v>9237</v>
      </c>
      <c r="F13" s="34">
        <v>196</v>
      </c>
      <c r="G13" s="7">
        <f t="shared" si="0"/>
        <v>5.550132</v>
      </c>
      <c r="H13" s="5">
        <f>116.14*G13^-0.6942</f>
        <v>35.34162076830274</v>
      </c>
      <c r="I13" s="5">
        <f>38.476*G13^-0.4023</f>
        <v>19.308862663108727</v>
      </c>
      <c r="J13" s="5">
        <f>234.15*G13^-0.6794</f>
        <v>73.08268453276808</v>
      </c>
      <c r="K13" s="144">
        <f>7.9236*G13^-0.6033</f>
        <v>2.817632545845598</v>
      </c>
      <c r="L13" s="7">
        <f t="shared" si="4"/>
        <v>196.1506603580216</v>
      </c>
      <c r="M13" s="7">
        <f t="shared" si="5"/>
        <v>107.16673655012495</v>
      </c>
      <c r="N13" s="7">
        <f t="shared" si="6"/>
        <v>405.61854607122115</v>
      </c>
      <c r="O13" s="7">
        <f t="shared" si="7"/>
        <v>15.638232556939121</v>
      </c>
      <c r="P13" s="7">
        <f t="shared" si="8"/>
        <v>181.00801152853228</v>
      </c>
      <c r="Q13" s="7">
        <f t="shared" si="1"/>
        <v>102.98707184452317</v>
      </c>
      <c r="R13" s="7">
        <f t="shared" si="2"/>
        <v>293.24953242233005</v>
      </c>
      <c r="S13" s="7">
        <f t="shared" si="3"/>
        <v>11.95458070703816</v>
      </c>
    </row>
    <row r="14" spans="1:19" ht="12.75">
      <c r="A14">
        <v>12</v>
      </c>
      <c r="B14" s="1" t="s">
        <v>486</v>
      </c>
      <c r="C14" s="19">
        <v>37734</v>
      </c>
      <c r="D14" s="10">
        <v>0.4486111111111111</v>
      </c>
      <c r="E14" s="4">
        <f t="shared" si="9"/>
        <v>9245</v>
      </c>
      <c r="F14" s="34">
        <v>230</v>
      </c>
      <c r="G14" s="7">
        <f t="shared" si="0"/>
        <v>6.51291</v>
      </c>
      <c r="H14" s="5">
        <v>50.3</v>
      </c>
      <c r="I14" s="5">
        <v>29.3</v>
      </c>
      <c r="J14" s="5">
        <v>68.00407291666667</v>
      </c>
      <c r="K14" s="23">
        <v>2.91</v>
      </c>
      <c r="L14" s="7">
        <f t="shared" si="4"/>
        <v>327.59937299999996</v>
      </c>
      <c r="M14" s="7">
        <f t="shared" si="5"/>
        <v>190.828263</v>
      </c>
      <c r="N14" s="7">
        <f t="shared" si="6"/>
        <v>442.9044065396875</v>
      </c>
      <c r="O14" s="7">
        <f t="shared" si="7"/>
        <v>18.9525681</v>
      </c>
      <c r="P14" s="7">
        <f t="shared" si="8"/>
        <v>181.53222387395667</v>
      </c>
      <c r="Q14" s="7">
        <f t="shared" si="1"/>
        <v>103.54892518820226</v>
      </c>
      <c r="R14" s="7">
        <f t="shared" si="2"/>
        <v>294.3862232964252</v>
      </c>
      <c r="S14" s="7">
        <f t="shared" si="3"/>
        <v>12.0088592039063</v>
      </c>
    </row>
    <row r="15" spans="1:19" ht="12.75">
      <c r="A15">
        <v>13</v>
      </c>
      <c r="B15" s="1"/>
      <c r="C15" s="19">
        <v>37742</v>
      </c>
      <c r="D15" s="10"/>
      <c r="E15" s="4">
        <f t="shared" si="9"/>
        <v>9253</v>
      </c>
      <c r="F15" s="34">
        <v>201</v>
      </c>
      <c r="G15" s="7">
        <f t="shared" si="0"/>
        <v>5.691717</v>
      </c>
      <c r="H15" s="5">
        <f>116.14*G15^-0.6942</f>
        <v>34.72897167711312</v>
      </c>
      <c r="I15" s="5">
        <f>38.476*G15^-0.4023</f>
        <v>19.11417408925144</v>
      </c>
      <c r="J15" s="5">
        <f>234.15*G15^-0.6794</f>
        <v>71.84257090878668</v>
      </c>
      <c r="K15" s="144">
        <f>7.9236*G15^-0.6033</f>
        <v>2.775135937500833</v>
      </c>
      <c r="L15" s="7">
        <f t="shared" si="4"/>
        <v>197.66747848714326</v>
      </c>
      <c r="M15" s="7">
        <f t="shared" si="5"/>
        <v>108.79246960475193</v>
      </c>
      <c r="N15" s="7">
        <f t="shared" si="6"/>
        <v>408.9075821652466</v>
      </c>
      <c r="O15" s="7">
        <f t="shared" si="7"/>
        <v>15.795288392784428</v>
      </c>
      <c r="P15" s="7">
        <f t="shared" si="8"/>
        <v>118.90485581949042</v>
      </c>
      <c r="Q15" s="7">
        <f t="shared" si="1"/>
        <v>65.10800532523038</v>
      </c>
      <c r="R15" s="7">
        <f t="shared" si="2"/>
        <v>245.91003192943623</v>
      </c>
      <c r="S15" s="7">
        <f t="shared" si="3"/>
        <v>9.486294683837455</v>
      </c>
    </row>
    <row r="16" spans="1:19" ht="12.75">
      <c r="A16">
        <v>14</v>
      </c>
      <c r="B16" s="1"/>
      <c r="C16" s="19">
        <v>37749</v>
      </c>
      <c r="D16" s="10"/>
      <c r="E16" s="4">
        <f t="shared" si="9"/>
        <v>9260</v>
      </c>
      <c r="F16" s="34">
        <v>194</v>
      </c>
      <c r="G16" s="7">
        <f t="shared" si="0"/>
        <v>5.493498</v>
      </c>
      <c r="H16" s="5">
        <f>116.14*G16^-0.6942</f>
        <v>35.59415327079802</v>
      </c>
      <c r="I16" s="5">
        <f>38.476*G16^-0.4023</f>
        <v>19.38869929676314</v>
      </c>
      <c r="J16" s="5">
        <f>234.15*G16^-0.6794</f>
        <v>73.59372259095352</v>
      </c>
      <c r="K16" s="144">
        <f>7.9236*G16^-0.6033</f>
        <v>2.8351213943925457</v>
      </c>
      <c r="L16" s="7">
        <f t="shared" si="4"/>
        <v>195.53640980482237</v>
      </c>
      <c r="M16" s="7">
        <f t="shared" si="5"/>
        <v>106.51178080936971</v>
      </c>
      <c r="N16" s="7">
        <f t="shared" si="6"/>
        <v>404.28696786595793</v>
      </c>
      <c r="O16" s="7">
        <f t="shared" si="7"/>
        <v>15.57473370985266</v>
      </c>
      <c r="P16" s="7">
        <f t="shared" si="8"/>
        <v>126.2762292309961</v>
      </c>
      <c r="Q16" s="7">
        <f t="shared" si="1"/>
        <v>73.5035984427519</v>
      </c>
      <c r="R16" s="7">
        <f t="shared" si="2"/>
        <v>261.9428831749809</v>
      </c>
      <c r="S16" s="7">
        <f t="shared" si="3"/>
        <v>10.264042220555787</v>
      </c>
    </row>
    <row r="17" spans="1:19" ht="12.75">
      <c r="A17">
        <v>15</v>
      </c>
      <c r="B17" s="1"/>
      <c r="C17" s="19">
        <v>37756</v>
      </c>
      <c r="D17" s="10"/>
      <c r="E17" s="4">
        <f t="shared" si="9"/>
        <v>9267</v>
      </c>
      <c r="F17" s="34">
        <v>294</v>
      </c>
      <c r="G17" s="7">
        <f t="shared" si="0"/>
        <v>8.325198</v>
      </c>
      <c r="H17" s="5">
        <f>116.14*G17^-0.6942</f>
        <v>26.671283171109074</v>
      </c>
      <c r="I17" s="5">
        <f>38.476*G17^-0.4023</f>
        <v>16.402693888897375</v>
      </c>
      <c r="J17" s="5">
        <f>234.15*G17^-0.6794</f>
        <v>55.48531940580212</v>
      </c>
      <c r="K17" s="144">
        <f>7.9236*G17^-0.6033</f>
        <v>2.206218380654288</v>
      </c>
      <c r="L17" s="7">
        <f t="shared" si="4"/>
        <v>222.04371331355094</v>
      </c>
      <c r="M17" s="7">
        <f t="shared" si="5"/>
        <v>136.55567435846066</v>
      </c>
      <c r="N17" s="7">
        <f t="shared" si="6"/>
        <v>461.92627014654505</v>
      </c>
      <c r="O17" s="7">
        <f t="shared" si="7"/>
        <v>18.367204850186315</v>
      </c>
      <c r="P17" s="7">
        <f t="shared" si="8"/>
        <v>145.2095201134832</v>
      </c>
      <c r="Q17" s="7">
        <f t="shared" si="1"/>
        <v>95.81225369188401</v>
      </c>
      <c r="R17" s="7">
        <f t="shared" si="2"/>
        <v>321.86493683996514</v>
      </c>
      <c r="S17" s="7">
        <f t="shared" si="3"/>
        <v>12.91121870176039</v>
      </c>
    </row>
    <row r="18" spans="1:19" ht="12.75">
      <c r="A18">
        <v>16</v>
      </c>
      <c r="B18" s="1" t="s">
        <v>487</v>
      </c>
      <c r="C18" s="19">
        <v>37764</v>
      </c>
      <c r="D18" s="10">
        <v>0.5125</v>
      </c>
      <c r="E18" s="4">
        <f t="shared" si="9"/>
        <v>9275</v>
      </c>
      <c r="F18" s="34">
        <v>414</v>
      </c>
      <c r="G18" s="7">
        <f t="shared" si="0"/>
        <v>11.723237999999998</v>
      </c>
      <c r="H18" s="5">
        <v>16.9</v>
      </c>
      <c r="I18" s="5">
        <v>12</v>
      </c>
      <c r="J18" s="5">
        <v>40.039781250000004</v>
      </c>
      <c r="K18" s="23">
        <v>1.62</v>
      </c>
      <c r="L18" s="7">
        <f t="shared" si="4"/>
        <v>198.12272219999997</v>
      </c>
      <c r="M18" s="7">
        <f t="shared" si="5"/>
        <v>140.678856</v>
      </c>
      <c r="N18" s="7">
        <f t="shared" si="6"/>
        <v>469.39588506168747</v>
      </c>
      <c r="O18" s="7">
        <f t="shared" si="7"/>
        <v>18.99164556</v>
      </c>
      <c r="P18" s="7">
        <f t="shared" si="8"/>
        <v>175.7800655136</v>
      </c>
      <c r="Q18" s="7">
        <f t="shared" si="1"/>
        <v>116.20318164480001</v>
      </c>
      <c r="R18" s="7">
        <f t="shared" si="2"/>
        <v>429.67508047733696</v>
      </c>
      <c r="S18" s="7">
        <f t="shared" si="3"/>
        <v>16.23703123008</v>
      </c>
    </row>
    <row r="19" spans="1:19" ht="12.75">
      <c r="A19">
        <v>17</v>
      </c>
      <c r="B19" s="1" t="s">
        <v>488</v>
      </c>
      <c r="C19" s="19">
        <v>37774</v>
      </c>
      <c r="D19" s="1" t="s">
        <v>199</v>
      </c>
      <c r="E19" s="4">
        <f t="shared" si="9"/>
        <v>9285</v>
      </c>
      <c r="F19" s="34">
        <v>384</v>
      </c>
      <c r="G19" s="7">
        <f t="shared" si="0"/>
        <v>10.873728</v>
      </c>
      <c r="H19" s="5">
        <v>19.2</v>
      </c>
      <c r="I19" s="5">
        <v>11.8</v>
      </c>
      <c r="J19" s="5">
        <v>48.30195833333334</v>
      </c>
      <c r="K19" s="23">
        <v>1.71</v>
      </c>
      <c r="L19" s="7">
        <f t="shared" si="4"/>
        <v>208.7755776</v>
      </c>
      <c r="M19" s="7">
        <f t="shared" si="5"/>
        <v>128.3099904</v>
      </c>
      <c r="N19" s="7">
        <f t="shared" si="6"/>
        <v>525.222356784</v>
      </c>
      <c r="O19" s="7">
        <f t="shared" si="7"/>
        <v>18.59407488</v>
      </c>
      <c r="P19" s="7">
        <f t="shared" si="8"/>
        <v>141.3879297756598</v>
      </c>
      <c r="Q19" s="7">
        <f t="shared" si="1"/>
        <v>82.93997360125567</v>
      </c>
      <c r="R19" s="7">
        <f t="shared" si="2"/>
        <v>324.83385922648966</v>
      </c>
      <c r="S19" s="7">
        <f t="shared" si="3"/>
        <v>11.980648610020046</v>
      </c>
    </row>
    <row r="20" spans="1:19" ht="12.75">
      <c r="A20">
        <v>18</v>
      </c>
      <c r="B20" s="1"/>
      <c r="C20" s="19">
        <v>37782</v>
      </c>
      <c r="D20" s="1"/>
      <c r="E20" s="4">
        <f t="shared" si="9"/>
        <v>9293</v>
      </c>
      <c r="F20" s="34">
        <v>210</v>
      </c>
      <c r="G20" s="7">
        <f t="shared" si="0"/>
        <v>5.9465699999999995</v>
      </c>
      <c r="H20" s="5">
        <f>116.14*G20^-0.6942</f>
        <v>33.68883499241873</v>
      </c>
      <c r="I20" s="5">
        <f>38.476*G20^-0.4023</f>
        <v>18.78029841415645</v>
      </c>
      <c r="J20" s="5">
        <f>234.15*G20^-0.6794</f>
        <v>69.73607143776756</v>
      </c>
      <c r="K20" s="144">
        <f>7.9236*G20^-0.6033</f>
        <v>2.702760370592821</v>
      </c>
      <c r="L20" s="7">
        <f t="shared" si="4"/>
        <v>200.33301550086742</v>
      </c>
      <c r="M20" s="7">
        <f t="shared" si="5"/>
        <v>111.67835914067032</v>
      </c>
      <c r="N20" s="7">
        <f t="shared" si="6"/>
        <v>414.6904303296854</v>
      </c>
      <c r="O20" s="7">
        <f t="shared" si="7"/>
        <v>16.07215373695615</v>
      </c>
      <c r="P20" s="7">
        <f t="shared" si="8"/>
        <v>153.85936156161725</v>
      </c>
      <c r="Q20" s="7">
        <f t="shared" si="1"/>
        <v>78.62610255981262</v>
      </c>
      <c r="R20" s="7">
        <f t="shared" si="2"/>
        <v>333.9506657995759</v>
      </c>
      <c r="S20" s="7">
        <f t="shared" si="3"/>
        <v>12.73408746980855</v>
      </c>
    </row>
    <row r="21" spans="1:19" ht="12.75">
      <c r="A21">
        <v>19</v>
      </c>
      <c r="B21" s="1" t="s">
        <v>489</v>
      </c>
      <c r="C21" s="19">
        <v>37791</v>
      </c>
      <c r="D21" s="10">
        <v>0.5298611111111111</v>
      </c>
      <c r="E21" s="4">
        <f t="shared" si="9"/>
        <v>9302</v>
      </c>
      <c r="F21" s="34">
        <v>187</v>
      </c>
      <c r="G21" s="7">
        <f t="shared" si="0"/>
        <v>5.295279</v>
      </c>
      <c r="H21" s="5">
        <v>36.9</v>
      </c>
      <c r="I21" s="5">
        <v>17.1</v>
      </c>
      <c r="J21" s="5">
        <v>83.89287500000002</v>
      </c>
      <c r="K21" s="23">
        <v>3.15</v>
      </c>
      <c r="L21" s="7">
        <f t="shared" si="4"/>
        <v>195.3957951</v>
      </c>
      <c r="M21" s="7">
        <f t="shared" si="5"/>
        <v>90.54927090000001</v>
      </c>
      <c r="N21" s="7">
        <f t="shared" si="6"/>
        <v>444.2361792371251</v>
      </c>
      <c r="O21" s="7">
        <f t="shared" si="7"/>
        <v>16.68012885</v>
      </c>
      <c r="P21" s="7">
        <f t="shared" si="8"/>
        <v>115.67241650616099</v>
      </c>
      <c r="Q21" s="7">
        <f t="shared" si="1"/>
        <v>56.93687717353581</v>
      </c>
      <c r="R21" s="7">
        <f t="shared" si="2"/>
        <v>251.08152613479515</v>
      </c>
      <c r="S21" s="7">
        <f t="shared" si="3"/>
        <v>9.492551172000189</v>
      </c>
    </row>
    <row r="22" spans="1:19" ht="12.75">
      <c r="A22">
        <v>20</v>
      </c>
      <c r="B22" s="1"/>
      <c r="C22" s="19">
        <v>37798</v>
      </c>
      <c r="D22" s="10"/>
      <c r="E22" s="4">
        <f t="shared" si="9"/>
        <v>9309</v>
      </c>
      <c r="F22" s="34">
        <v>168</v>
      </c>
      <c r="G22" s="7">
        <f t="shared" si="0"/>
        <v>4.757256</v>
      </c>
      <c r="H22" s="5">
        <f>116.14*G22^-0.6942</f>
        <v>39.33334883563466</v>
      </c>
      <c r="I22" s="5">
        <f>38.476*G22^-0.4023</f>
        <v>20.544207225039017</v>
      </c>
      <c r="J22" s="5">
        <f>234.15*G22^-0.6794</f>
        <v>81.15179691736742</v>
      </c>
      <c r="K22" s="144">
        <f>7.9236*G22^-0.6033</f>
        <v>3.0922411359867277</v>
      </c>
      <c r="L22" s="7">
        <f t="shared" si="4"/>
        <v>187.118809748416</v>
      </c>
      <c r="M22" s="7">
        <f t="shared" si="5"/>
        <v>97.73405308656021</v>
      </c>
      <c r="N22" s="7">
        <f t="shared" si="6"/>
        <v>386.0598727959277</v>
      </c>
      <c r="O22" s="7">
        <f t="shared" si="7"/>
        <v>14.710582697619676</v>
      </c>
      <c r="P22" s="7">
        <f t="shared" si="8"/>
        <v>75.25953400645786</v>
      </c>
      <c r="Q22" s="7">
        <f t="shared" si="1"/>
        <v>36.030465616297</v>
      </c>
      <c r="R22" s="7">
        <f t="shared" si="2"/>
        <v>163.41364217095884</v>
      </c>
      <c r="S22" s="7">
        <f t="shared" si="3"/>
        <v>6.30807972644585</v>
      </c>
    </row>
    <row r="23" spans="1:19" ht="12.75">
      <c r="A23">
        <v>21</v>
      </c>
      <c r="B23" s="1" t="s">
        <v>490</v>
      </c>
      <c r="C23" s="19">
        <v>37803</v>
      </c>
      <c r="D23" s="10">
        <v>0.8125</v>
      </c>
      <c r="E23" s="4">
        <f t="shared" si="9"/>
        <v>9314</v>
      </c>
      <c r="F23" s="34">
        <v>141</v>
      </c>
      <c r="G23" s="7">
        <f t="shared" si="0"/>
        <v>3.9926969999999997</v>
      </c>
      <c r="H23" s="5">
        <v>40.4</v>
      </c>
      <c r="I23" s="5">
        <v>17.3</v>
      </c>
      <c r="J23" s="5">
        <v>92.79060416666665</v>
      </c>
      <c r="K23" s="23">
        <v>3.63</v>
      </c>
      <c r="L23" s="7">
        <f t="shared" si="4"/>
        <v>161.30495879999998</v>
      </c>
      <c r="M23" s="7">
        <f t="shared" si="5"/>
        <v>69.0736581</v>
      </c>
      <c r="N23" s="7">
        <f t="shared" si="6"/>
        <v>370.4847668844374</v>
      </c>
      <c r="O23" s="7">
        <f t="shared" si="7"/>
        <v>14.493490109999998</v>
      </c>
      <c r="P23" s="7">
        <f t="shared" si="8"/>
        <v>181.0243286064</v>
      </c>
      <c r="Q23" s="7">
        <f t="shared" si="1"/>
        <v>76.8528590328</v>
      </c>
      <c r="R23" s="7">
        <f t="shared" si="2"/>
        <v>452.38101310379915</v>
      </c>
      <c r="S23" s="7">
        <f t="shared" si="3"/>
        <v>17.36460284328</v>
      </c>
    </row>
    <row r="24" spans="1:19" ht="12.75">
      <c r="A24">
        <v>22</v>
      </c>
      <c r="B24" s="1" t="s">
        <v>491</v>
      </c>
      <c r="C24" s="19">
        <v>37818</v>
      </c>
      <c r="D24" s="10">
        <v>0.5034722222222222</v>
      </c>
      <c r="E24" s="4">
        <f t="shared" si="9"/>
        <v>9329</v>
      </c>
      <c r="F24" s="34">
        <v>110</v>
      </c>
      <c r="G24" s="7">
        <f t="shared" si="0"/>
        <v>3.11487</v>
      </c>
      <c r="H24" s="5">
        <v>37.9</v>
      </c>
      <c r="I24" s="5">
        <v>15.9</v>
      </c>
      <c r="J24" s="5">
        <v>105.18386979166665</v>
      </c>
      <c r="K24" s="23">
        <v>3.95</v>
      </c>
      <c r="L24" s="7">
        <f t="shared" si="4"/>
        <v>118.05357299999999</v>
      </c>
      <c r="M24" s="7">
        <f t="shared" si="5"/>
        <v>49.526433</v>
      </c>
      <c r="N24" s="7">
        <f t="shared" si="6"/>
        <v>327.6340804979687</v>
      </c>
      <c r="O24" s="7">
        <f t="shared" si="7"/>
        <v>12.3037365</v>
      </c>
      <c r="P24" s="7">
        <f t="shared" si="8"/>
        <v>135.22614354143997</v>
      </c>
      <c r="Q24" s="7">
        <f t="shared" si="1"/>
        <v>59.70508512192</v>
      </c>
      <c r="R24" s="7">
        <f t="shared" si="2"/>
        <v>396.03407021378547</v>
      </c>
      <c r="S24" s="7">
        <f t="shared" si="3"/>
        <v>14.464037258495999</v>
      </c>
    </row>
    <row r="25" spans="1:19" ht="12.75">
      <c r="A25">
        <v>23</v>
      </c>
      <c r="B25" s="1" t="s">
        <v>492</v>
      </c>
      <c r="C25" s="19">
        <v>37832</v>
      </c>
      <c r="D25" s="10">
        <v>0.3673611111111111</v>
      </c>
      <c r="E25" s="4">
        <f t="shared" si="9"/>
        <v>9343</v>
      </c>
      <c r="F25" s="34">
        <v>101</v>
      </c>
      <c r="G25" s="7">
        <f t="shared" si="0"/>
        <v>2.860017</v>
      </c>
      <c r="H25" s="5">
        <v>36.9</v>
      </c>
      <c r="I25" s="5">
        <v>17.2</v>
      </c>
      <c r="J25" s="5">
        <v>114.399375</v>
      </c>
      <c r="K25" s="23">
        <v>4.06</v>
      </c>
      <c r="L25" s="7">
        <f t="shared" si="4"/>
        <v>105.5346273</v>
      </c>
      <c r="M25" s="7">
        <f t="shared" si="5"/>
        <v>49.1922924</v>
      </c>
      <c r="N25" s="7">
        <f t="shared" si="6"/>
        <v>327.18415728937504</v>
      </c>
      <c r="O25" s="7">
        <f t="shared" si="7"/>
        <v>11.611669019999999</v>
      </c>
      <c r="P25" s="7">
        <f t="shared" si="8"/>
        <v>129.94444764</v>
      </c>
      <c r="Q25" s="7">
        <f t="shared" si="1"/>
        <v>59.65370675712</v>
      </c>
      <c r="R25" s="7">
        <f t="shared" si="2"/>
        <v>389.50878712753666</v>
      </c>
      <c r="S25" s="7">
        <f t="shared" si="3"/>
        <v>13.916857673375999</v>
      </c>
    </row>
    <row r="26" spans="1:19" ht="12.75">
      <c r="A26">
        <v>24</v>
      </c>
      <c r="B26" s="1" t="s">
        <v>493</v>
      </c>
      <c r="C26" s="19">
        <v>37846</v>
      </c>
      <c r="D26" s="10">
        <v>0.3819444444444444</v>
      </c>
      <c r="E26" s="4">
        <f t="shared" si="9"/>
        <v>9357</v>
      </c>
      <c r="F26" s="34">
        <v>97</v>
      </c>
      <c r="G26" s="7">
        <f t="shared" si="0"/>
        <v>2.746749</v>
      </c>
      <c r="H26" s="5">
        <v>39.8</v>
      </c>
      <c r="I26" s="5">
        <v>18</v>
      </c>
      <c r="J26" s="5">
        <v>115.35270312499999</v>
      </c>
      <c r="K26" s="23">
        <v>4.15</v>
      </c>
      <c r="L26" s="7">
        <f t="shared" si="4"/>
        <v>109.32061019999999</v>
      </c>
      <c r="M26" s="7">
        <f t="shared" si="5"/>
        <v>49.441482</v>
      </c>
      <c r="N26" s="7">
        <f t="shared" si="6"/>
        <v>316.8449219558906</v>
      </c>
      <c r="O26" s="7">
        <f t="shared" si="7"/>
        <v>11.39900835</v>
      </c>
      <c r="P26" s="7">
        <f t="shared" si="8"/>
        <v>114.55613806463998</v>
      </c>
      <c r="Q26" s="7">
        <f t="shared" si="1"/>
        <v>50.47704148607999</v>
      </c>
      <c r="R26" s="7">
        <f t="shared" si="2"/>
        <v>323.03300019514825</v>
      </c>
      <c r="S26" s="7">
        <f t="shared" si="3"/>
        <v>11.724983233344</v>
      </c>
    </row>
    <row r="27" spans="1:19" ht="12.75">
      <c r="A27">
        <v>25</v>
      </c>
      <c r="B27" s="1" t="s">
        <v>494</v>
      </c>
      <c r="C27" s="19">
        <v>37858</v>
      </c>
      <c r="D27" s="10">
        <v>0.3840277777777778</v>
      </c>
      <c r="E27" s="4">
        <f t="shared" si="9"/>
        <v>9369</v>
      </c>
      <c r="F27" s="34">
        <v>93</v>
      </c>
      <c r="G27" s="7">
        <f t="shared" si="0"/>
        <v>2.6334809999999997</v>
      </c>
      <c r="H27" s="5">
        <v>42.4</v>
      </c>
      <c r="I27" s="5">
        <v>18.2</v>
      </c>
      <c r="J27" s="5">
        <v>116.30603124999999</v>
      </c>
      <c r="K27" s="23">
        <v>4.26</v>
      </c>
      <c r="L27" s="7">
        <f t="shared" si="4"/>
        <v>111.65959439999999</v>
      </c>
      <c r="M27" s="7">
        <f t="shared" si="5"/>
        <v>47.92935419999999</v>
      </c>
      <c r="N27" s="7">
        <f t="shared" si="6"/>
        <v>306.2897234822812</v>
      </c>
      <c r="O27" s="7">
        <f t="shared" si="7"/>
        <v>11.218629059999998</v>
      </c>
      <c r="P27" s="7">
        <f t="shared" si="8"/>
        <v>172.51386946559998</v>
      </c>
      <c r="Q27" s="7">
        <f t="shared" si="1"/>
        <v>77.11452170495998</v>
      </c>
      <c r="R27" s="7">
        <f t="shared" si="2"/>
        <v>435.84195113623434</v>
      </c>
      <c r="S27" s="7">
        <f t="shared" si="3"/>
        <v>15.853895423999997</v>
      </c>
    </row>
    <row r="28" spans="1:19" ht="12.75">
      <c r="A28">
        <v>26</v>
      </c>
      <c r="B28" s="1" t="s">
        <v>495</v>
      </c>
      <c r="C28" s="19">
        <v>37874</v>
      </c>
      <c r="D28" s="10">
        <v>0.3965277777777778</v>
      </c>
      <c r="E28" s="4">
        <f t="shared" si="9"/>
        <v>9385</v>
      </c>
      <c r="F28" s="34">
        <v>99</v>
      </c>
      <c r="G28" s="7">
        <f t="shared" si="0"/>
        <v>2.8033829999999997</v>
      </c>
      <c r="H28" s="5">
        <v>49.2</v>
      </c>
      <c r="I28" s="5">
        <v>22.7</v>
      </c>
      <c r="J28" s="5">
        <v>115.67047916666667</v>
      </c>
      <c r="K28" s="23">
        <v>4.18</v>
      </c>
      <c r="L28" s="7">
        <f t="shared" si="4"/>
        <v>137.9264436</v>
      </c>
      <c r="M28" s="7">
        <f t="shared" si="5"/>
        <v>63.63679409999999</v>
      </c>
      <c r="N28" s="7">
        <f t="shared" si="6"/>
        <v>324.2686548976875</v>
      </c>
      <c r="O28" s="7">
        <f t="shared" si="7"/>
        <v>11.718140939999998</v>
      </c>
      <c r="P28" s="7">
        <f t="shared" si="8"/>
        <v>137.75860760832</v>
      </c>
      <c r="Q28" s="7">
        <f t="shared" si="1"/>
        <v>62.24415497855999</v>
      </c>
      <c r="R28" s="7">
        <f t="shared" si="2"/>
        <v>328.5607927297878</v>
      </c>
      <c r="S28" s="7">
        <f t="shared" si="3"/>
        <v>11.872218947328</v>
      </c>
    </row>
    <row r="29" spans="1:19" ht="12.75">
      <c r="A29">
        <v>27</v>
      </c>
      <c r="B29" s="1" t="s">
        <v>496</v>
      </c>
      <c r="C29" s="19">
        <v>37886</v>
      </c>
      <c r="D29" s="10">
        <v>0.4534722222222222</v>
      </c>
      <c r="E29" s="4">
        <f t="shared" si="9"/>
        <v>9397</v>
      </c>
      <c r="F29" s="34">
        <v>91</v>
      </c>
      <c r="G29" s="7">
        <f t="shared" si="0"/>
        <v>2.576847</v>
      </c>
      <c r="H29" s="5">
        <v>49.6</v>
      </c>
      <c r="I29" s="5">
        <v>21.9</v>
      </c>
      <c r="J29" s="5">
        <v>120.11934375</v>
      </c>
      <c r="K29" s="23">
        <v>4.34</v>
      </c>
      <c r="L29" s="7">
        <f t="shared" si="4"/>
        <v>127.8116112</v>
      </c>
      <c r="M29" s="7">
        <f t="shared" si="5"/>
        <v>56.4329493</v>
      </c>
      <c r="N29" s="7">
        <f t="shared" si="6"/>
        <v>309.52917058415625</v>
      </c>
      <c r="O29" s="7">
        <f t="shared" si="7"/>
        <v>11.18351598</v>
      </c>
      <c r="P29" s="7">
        <f t="shared" si="8"/>
        <v>97.05231901523238</v>
      </c>
      <c r="Q29" s="7">
        <f t="shared" si="1"/>
        <v>42.29630350890771</v>
      </c>
      <c r="R29" s="7">
        <f t="shared" si="2"/>
        <v>215.01814200714546</v>
      </c>
      <c r="S29" s="7">
        <f t="shared" si="3"/>
        <v>7.78091511892366</v>
      </c>
    </row>
    <row r="30" spans="1:19" ht="12.75">
      <c r="A30">
        <v>28</v>
      </c>
      <c r="B30" s="1"/>
      <c r="C30" s="19">
        <v>37894</v>
      </c>
      <c r="D30" s="10"/>
      <c r="E30" s="4">
        <f t="shared" si="9"/>
        <v>9405</v>
      </c>
      <c r="F30" s="1">
        <v>87</v>
      </c>
      <c r="G30" s="7">
        <f t="shared" si="0"/>
        <v>2.4635789999999997</v>
      </c>
      <c r="H30" s="5">
        <f>116.14*G30^-0.6942</f>
        <v>62.10926101243024</v>
      </c>
      <c r="I30" s="5">
        <f>38.476*G30^-0.4023</f>
        <v>26.770884216785525</v>
      </c>
      <c r="J30" s="5">
        <f>234.15*G30^-0.6794</f>
        <v>126.90066165159053</v>
      </c>
      <c r="K30" s="144">
        <f>7.9236*G30^-0.6033</f>
        <v>4.5992866506924805</v>
      </c>
      <c r="L30" s="7">
        <f t="shared" si="4"/>
        <v>153.01107113574184</v>
      </c>
      <c r="M30" s="7">
        <f t="shared" si="5"/>
        <v>65.95218816790425</v>
      </c>
      <c r="N30" s="7">
        <f t="shared" si="6"/>
        <v>312.6298051309637</v>
      </c>
      <c r="O30" s="7">
        <f t="shared" si="7"/>
        <v>11.330706007626329</v>
      </c>
      <c r="P30" s="7"/>
      <c r="Q30" s="7"/>
      <c r="R30" s="7"/>
      <c r="S30" s="7"/>
    </row>
    <row r="31" spans="2:16" ht="12.75">
      <c r="B31" s="17"/>
      <c r="C31" s="142"/>
      <c r="D31" s="17"/>
      <c r="E31" s="17"/>
      <c r="F31" s="13"/>
      <c r="G31" s="17"/>
      <c r="H31" s="91"/>
      <c r="I31" s="91"/>
      <c r="J31" s="91"/>
      <c r="K31" s="84"/>
      <c r="L31" s="17"/>
      <c r="M31" s="17"/>
      <c r="N31" s="17"/>
      <c r="O31" s="17"/>
      <c r="P31" s="17"/>
    </row>
    <row r="32" spans="2:19" ht="12.75">
      <c r="B32" s="35" t="s">
        <v>223</v>
      </c>
      <c r="F32" s="1"/>
      <c r="G32" s="11"/>
      <c r="L32" s="11"/>
      <c r="M32" s="11"/>
      <c r="N32" s="11"/>
      <c r="O32" s="11"/>
      <c r="P32" s="11">
        <f>SUM(P3:P29)</f>
        <v>5505.450754373841</v>
      </c>
      <c r="Q32" s="11">
        <f>SUM(Q3:Q29)</f>
        <v>2662.124674536861</v>
      </c>
      <c r="R32" s="11">
        <f>SUM(R3:R29)</f>
        <v>11157.332395410811</v>
      </c>
      <c r="S32" s="11">
        <f>SUM(S3:S29)</f>
        <v>412.2042878651038</v>
      </c>
    </row>
    <row r="33" spans="6:15" ht="12.75">
      <c r="F33" s="38"/>
      <c r="G33" s="11"/>
      <c r="L33" s="11"/>
      <c r="M33" s="11"/>
      <c r="N33" s="11"/>
      <c r="O33" s="11"/>
    </row>
    <row r="34" spans="1:19" ht="12.75">
      <c r="A34">
        <v>1</v>
      </c>
      <c r="B34" s="1"/>
      <c r="C34" s="88">
        <v>37895</v>
      </c>
      <c r="D34" s="10">
        <v>0.0006944444444444445</v>
      </c>
      <c r="E34" s="4">
        <f>C34-28489</f>
        <v>9406</v>
      </c>
      <c r="F34" s="93">
        <v>87</v>
      </c>
      <c r="G34" s="7">
        <f aca="true" t="shared" si="10" ref="G34:G61">F34*0.028317</f>
        <v>2.4635789999999997</v>
      </c>
      <c r="H34" s="5">
        <f>116.14*G34^-0.6942</f>
        <v>62.10926101243024</v>
      </c>
      <c r="I34" s="5">
        <f>38.476*G34^-0.4023</f>
        <v>26.770884216785525</v>
      </c>
      <c r="J34" s="5">
        <f>234.15*G34^-0.6794</f>
        <v>126.90066165159053</v>
      </c>
      <c r="K34" s="144">
        <f>7.9236*G34^-0.6033</f>
        <v>4.5992866506924805</v>
      </c>
      <c r="L34" s="7">
        <f>(H34*$G34)</f>
        <v>153.01107113574184</v>
      </c>
      <c r="M34" s="7">
        <f>(I34*$G34)</f>
        <v>65.95218816790425</v>
      </c>
      <c r="N34" s="7">
        <f>(J34*$G34)</f>
        <v>312.6298051309637</v>
      </c>
      <c r="O34" s="7">
        <f>(K34*$G34)</f>
        <v>11.330706007626329</v>
      </c>
      <c r="P34" s="7">
        <f>(((L34+L35)/2)*(($E35-$E34)*24*60*60))/1000000</f>
        <v>61.684043386120244</v>
      </c>
      <c r="Q34" s="7">
        <f aca="true" t="shared" si="11" ref="Q34:Q60">(((M34+M35)/2)*(($E35-$E34)*24*60*60))/1000000</f>
        <v>26.27616142106732</v>
      </c>
      <c r="R34" s="7">
        <f aca="true" t="shared" si="12" ref="R34:R60">(((N34+N35)/2)*(($E35-$E34)*24*60*60))/1000000</f>
        <v>134.9927632519369</v>
      </c>
      <c r="S34" s="7">
        <f aca="true" t="shared" si="13" ref="S34:S60">(((O34+O35)/2)*(($E35-$E34)*24*60*60))/1000000</f>
        <v>4.837199272767287</v>
      </c>
    </row>
    <row r="35" spans="1:19" ht="12.75">
      <c r="A35">
        <v>2</v>
      </c>
      <c r="B35" s="100" t="s">
        <v>497</v>
      </c>
      <c r="C35" s="19">
        <v>37900</v>
      </c>
      <c r="D35" s="10">
        <v>0.4479166666666667</v>
      </c>
      <c r="E35" s="4">
        <f>C35-28489</f>
        <v>9411</v>
      </c>
      <c r="F35" s="6">
        <v>89</v>
      </c>
      <c r="G35" s="7">
        <f t="shared" si="10"/>
        <v>2.520213</v>
      </c>
      <c r="H35" s="5">
        <v>52.6</v>
      </c>
      <c r="I35" s="5">
        <v>22.1</v>
      </c>
      <c r="J35" s="5">
        <v>123.93265625</v>
      </c>
      <c r="K35" s="23">
        <v>4.39</v>
      </c>
      <c r="L35" s="7">
        <f aca="true" t="shared" si="14" ref="L35:L61">(H35*$G35)</f>
        <v>132.5632038</v>
      </c>
      <c r="M35" s="7">
        <f aca="true" t="shared" si="15" ref="M35:M61">(I35*$G35)</f>
        <v>55.69670730000001</v>
      </c>
      <c r="N35" s="7">
        <f aca="true" t="shared" si="16" ref="N35:N61">(J35*$G35)</f>
        <v>312.33669140578127</v>
      </c>
      <c r="O35" s="7">
        <f aca="true" t="shared" si="17" ref="O35:O61">(K35*$G35)</f>
        <v>11.06373507</v>
      </c>
      <c r="P35" s="7">
        <f aca="true" t="shared" si="18" ref="P35:P60">(((L35+L36)/2)*(($E36-$E35)*24*60*60))/1000000</f>
        <v>187.15621411584002</v>
      </c>
      <c r="Q35" s="7">
        <f t="shared" si="11"/>
        <v>78.85453565952</v>
      </c>
      <c r="R35" s="7">
        <f t="shared" si="12"/>
        <v>424.75837724399526</v>
      </c>
      <c r="S35" s="7">
        <f t="shared" si="13"/>
        <v>15.190771995647996</v>
      </c>
    </row>
    <row r="36" spans="1:19" ht="12.75">
      <c r="A36">
        <v>3</v>
      </c>
      <c r="B36" s="100" t="s">
        <v>498</v>
      </c>
      <c r="C36" s="19">
        <v>37916</v>
      </c>
      <c r="D36" s="10">
        <v>0.4472222222222222</v>
      </c>
      <c r="E36" s="4">
        <f>C36-28489</f>
        <v>9427</v>
      </c>
      <c r="F36" s="6">
        <v>87</v>
      </c>
      <c r="G36" s="7">
        <f t="shared" si="10"/>
        <v>2.4635789999999997</v>
      </c>
      <c r="H36" s="5">
        <v>56.1</v>
      </c>
      <c r="I36" s="5">
        <v>23.7</v>
      </c>
      <c r="J36" s="5">
        <v>122.66155208333335</v>
      </c>
      <c r="K36" s="23">
        <v>4.43</v>
      </c>
      <c r="L36" s="7">
        <f t="shared" si="14"/>
        <v>138.20678189999998</v>
      </c>
      <c r="M36" s="7">
        <f t="shared" si="15"/>
        <v>58.38682229999999</v>
      </c>
      <c r="N36" s="7">
        <f t="shared" si="16"/>
        <v>302.1864238199063</v>
      </c>
      <c r="O36" s="7">
        <f t="shared" si="17"/>
        <v>10.913654969999998</v>
      </c>
      <c r="P36" s="7">
        <f t="shared" si="18"/>
        <v>350.90946073583996</v>
      </c>
      <c r="Q36" s="7">
        <f t="shared" si="11"/>
        <v>155.0048567184</v>
      </c>
      <c r="R36" s="7">
        <f t="shared" si="12"/>
        <v>688.7349609931215</v>
      </c>
      <c r="S36" s="7">
        <f t="shared" si="13"/>
        <v>24.956343423791996</v>
      </c>
    </row>
    <row r="37" spans="1:19" ht="12.75">
      <c r="A37">
        <v>4</v>
      </c>
      <c r="B37" s="100" t="s">
        <v>499</v>
      </c>
      <c r="C37" s="19">
        <v>37943</v>
      </c>
      <c r="D37" s="10">
        <v>0.4791666666666667</v>
      </c>
      <c r="E37" s="4">
        <f aca="true" t="shared" si="19" ref="E37:E61">C37-28489</f>
        <v>9454</v>
      </c>
      <c r="F37" s="6">
        <v>83</v>
      </c>
      <c r="G37" s="7">
        <f t="shared" si="10"/>
        <v>2.350311</v>
      </c>
      <c r="H37" s="5">
        <v>69.2</v>
      </c>
      <c r="I37" s="5">
        <v>31.7</v>
      </c>
      <c r="J37" s="5">
        <v>122.66155208333335</v>
      </c>
      <c r="K37" s="23">
        <v>4.46</v>
      </c>
      <c r="L37" s="7">
        <f t="shared" si="14"/>
        <v>162.6415212</v>
      </c>
      <c r="M37" s="7">
        <f t="shared" si="15"/>
        <v>74.5048587</v>
      </c>
      <c r="N37" s="7">
        <f t="shared" si="16"/>
        <v>288.2927951385313</v>
      </c>
      <c r="O37" s="7">
        <f t="shared" si="17"/>
        <v>10.48238706</v>
      </c>
      <c r="P37" s="7">
        <f t="shared" si="18"/>
        <v>404.93160939311997</v>
      </c>
      <c r="Q37" s="7">
        <f t="shared" si="11"/>
        <v>187.47561628367995</v>
      </c>
      <c r="R37" s="7">
        <f t="shared" si="12"/>
        <v>667.7328479643614</v>
      </c>
      <c r="S37" s="7">
        <f t="shared" si="13"/>
        <v>24.870137867424</v>
      </c>
    </row>
    <row r="38" spans="1:19" ht="12.75">
      <c r="A38">
        <v>5</v>
      </c>
      <c r="B38" s="100" t="s">
        <v>500</v>
      </c>
      <c r="C38" s="19">
        <v>37970</v>
      </c>
      <c r="D38" s="10">
        <v>0.5534722222222223</v>
      </c>
      <c r="E38" s="4">
        <f t="shared" si="19"/>
        <v>9481</v>
      </c>
      <c r="F38" s="6">
        <v>87</v>
      </c>
      <c r="G38" s="7">
        <f t="shared" si="10"/>
        <v>2.4635789999999997</v>
      </c>
      <c r="H38" s="5">
        <v>74.9</v>
      </c>
      <c r="I38" s="5">
        <v>35</v>
      </c>
      <c r="J38" s="5">
        <v>115.35270312499999</v>
      </c>
      <c r="K38" s="23">
        <v>4.4</v>
      </c>
      <c r="L38" s="7">
        <f t="shared" si="14"/>
        <v>184.5220671</v>
      </c>
      <c r="M38" s="7">
        <f t="shared" si="15"/>
        <v>86.225265</v>
      </c>
      <c r="N38" s="7">
        <f t="shared" si="16"/>
        <v>284.1804970119843</v>
      </c>
      <c r="O38" s="7">
        <f t="shared" si="17"/>
        <v>10.839747599999999</v>
      </c>
      <c r="P38" s="7">
        <f t="shared" si="18"/>
        <v>446.06824188920984</v>
      </c>
      <c r="Q38" s="7">
        <f t="shared" si="11"/>
        <v>198.84784764312178</v>
      </c>
      <c r="R38" s="7">
        <f t="shared" si="12"/>
        <v>786.4989554515123</v>
      </c>
      <c r="S38" s="7">
        <f t="shared" si="13"/>
        <v>29.12099241314838</v>
      </c>
    </row>
    <row r="39" spans="1:19" ht="12.75">
      <c r="A39">
        <v>6</v>
      </c>
      <c r="B39" s="100"/>
      <c r="C39" s="19">
        <v>38001</v>
      </c>
      <c r="D39" s="10"/>
      <c r="E39" s="4">
        <f t="shared" si="19"/>
        <v>9512</v>
      </c>
      <c r="F39" s="6">
        <v>79</v>
      </c>
      <c r="G39" s="7">
        <f t="shared" si="10"/>
        <v>2.237043</v>
      </c>
      <c r="H39" s="5">
        <f>116.14*G39^-0.6942</f>
        <v>66.41067590385214</v>
      </c>
      <c r="I39" s="5">
        <f>38.476*G39^-0.4023</f>
        <v>27.830174680383088</v>
      </c>
      <c r="J39" s="5">
        <f>234.15*G39^-0.6794</f>
        <v>135.4956712771144</v>
      </c>
      <c r="K39" s="144">
        <f>7.9236*G39^-0.6033</f>
        <v>4.8748810011144315</v>
      </c>
      <c r="L39" s="7">
        <f t="shared" si="14"/>
        <v>148.5635376559811</v>
      </c>
      <c r="M39" s="7">
        <f t="shared" si="15"/>
        <v>62.257297457528225</v>
      </c>
      <c r="N39" s="7">
        <f t="shared" si="16"/>
        <v>303.10964296076986</v>
      </c>
      <c r="O39" s="7">
        <f t="shared" si="17"/>
        <v>10.90531841937603</v>
      </c>
      <c r="P39" s="7">
        <f t="shared" si="18"/>
        <v>360.2309456044596</v>
      </c>
      <c r="Q39" s="7">
        <f t="shared" si="11"/>
        <v>158.6913705981305</v>
      </c>
      <c r="R39" s="7">
        <f t="shared" si="12"/>
        <v>685.4404181446902</v>
      </c>
      <c r="S39" s="7">
        <f t="shared" si="13"/>
        <v>24.243725476126116</v>
      </c>
    </row>
    <row r="40" spans="1:19" ht="12.75">
      <c r="A40">
        <v>7</v>
      </c>
      <c r="B40" s="100" t="s">
        <v>501</v>
      </c>
      <c r="C40" s="19">
        <v>38026</v>
      </c>
      <c r="D40" s="10">
        <v>0.625</v>
      </c>
      <c r="E40" s="4">
        <f t="shared" si="19"/>
        <v>9537</v>
      </c>
      <c r="F40" s="6">
        <v>89</v>
      </c>
      <c r="G40" s="7">
        <f t="shared" si="10"/>
        <v>2.520213</v>
      </c>
      <c r="H40" s="5">
        <v>73.4</v>
      </c>
      <c r="I40" s="5">
        <v>33.6</v>
      </c>
      <c r="J40" s="5">
        <v>131.55928125</v>
      </c>
      <c r="K40" s="23">
        <v>4.58</v>
      </c>
      <c r="L40" s="7">
        <f t="shared" si="14"/>
        <v>184.9836342</v>
      </c>
      <c r="M40" s="7">
        <f t="shared" si="15"/>
        <v>84.6791568</v>
      </c>
      <c r="N40" s="7">
        <f t="shared" si="16"/>
        <v>331.55741087690626</v>
      </c>
      <c r="O40" s="7">
        <f t="shared" si="17"/>
        <v>11.54257554</v>
      </c>
      <c r="P40" s="7">
        <f t="shared" si="18"/>
        <v>305.64507765197675</v>
      </c>
      <c r="Q40" s="7">
        <f t="shared" si="11"/>
        <v>135.82681018315162</v>
      </c>
      <c r="R40" s="7">
        <f t="shared" si="12"/>
        <v>582.2998099938894</v>
      </c>
      <c r="S40" s="7">
        <f t="shared" si="13"/>
        <v>20.65624113338622</v>
      </c>
    </row>
    <row r="41" spans="1:19" ht="12.75">
      <c r="A41">
        <v>8</v>
      </c>
      <c r="B41" s="100"/>
      <c r="C41" s="19">
        <v>38047</v>
      </c>
      <c r="D41" s="10">
        <v>0.5</v>
      </c>
      <c r="E41" s="4">
        <f t="shared" si="19"/>
        <v>9558</v>
      </c>
      <c r="F41" s="6">
        <v>85</v>
      </c>
      <c r="G41" s="7">
        <f t="shared" si="10"/>
        <v>2.406945</v>
      </c>
      <c r="H41" s="5">
        <f>116.14*G41^-0.6942</f>
        <v>63.12014805648621</v>
      </c>
      <c r="I41" s="5">
        <f>38.476*G41^-0.4023</f>
        <v>27.022534331159992</v>
      </c>
      <c r="J41" s="5">
        <f>234.15*G41^-0.6794</f>
        <v>128.9217074115991</v>
      </c>
      <c r="K41" s="144">
        <f>7.9236*G41^-0.6033</f>
        <v>4.66427346499986</v>
      </c>
      <c r="L41" s="7">
        <f t="shared" si="14"/>
        <v>151.92672476381918</v>
      </c>
      <c r="M41" s="7">
        <f t="shared" si="15"/>
        <v>65.04175389571388</v>
      </c>
      <c r="N41" s="7">
        <f t="shared" si="16"/>
        <v>310.30745904581136</v>
      </c>
      <c r="O41" s="7">
        <f t="shared" si="17"/>
        <v>11.226649695214087</v>
      </c>
      <c r="P41" s="7">
        <f t="shared" si="18"/>
        <v>353.61269919064773</v>
      </c>
      <c r="Q41" s="7">
        <f t="shared" si="11"/>
        <v>183.95554999235614</v>
      </c>
      <c r="R41" s="7">
        <f t="shared" si="12"/>
        <v>707.804597451696</v>
      </c>
      <c r="S41" s="7">
        <f t="shared" si="13"/>
        <v>26.098249440029967</v>
      </c>
    </row>
    <row r="42" spans="1:19" ht="12.75">
      <c r="A42">
        <v>9</v>
      </c>
      <c r="B42" s="100" t="s">
        <v>502</v>
      </c>
      <c r="C42" s="19">
        <v>38071</v>
      </c>
      <c r="D42" s="10">
        <v>0.5020833333333333</v>
      </c>
      <c r="E42" s="4">
        <f t="shared" si="19"/>
        <v>9582</v>
      </c>
      <c r="F42" s="6">
        <v>121</v>
      </c>
      <c r="G42" s="7">
        <f t="shared" si="10"/>
        <v>3.426357</v>
      </c>
      <c r="H42" s="5">
        <v>55.2</v>
      </c>
      <c r="I42" s="5">
        <v>32.8</v>
      </c>
      <c r="J42" s="5">
        <v>108.67940625000001</v>
      </c>
      <c r="K42" s="23">
        <v>4.07</v>
      </c>
      <c r="L42" s="7">
        <f t="shared" si="14"/>
        <v>189.1349064</v>
      </c>
      <c r="M42" s="7">
        <f t="shared" si="15"/>
        <v>112.38450959999999</v>
      </c>
      <c r="N42" s="7">
        <f t="shared" si="16"/>
        <v>372.3744443605313</v>
      </c>
      <c r="O42" s="7">
        <f t="shared" si="17"/>
        <v>13.945272990000001</v>
      </c>
      <c r="P42" s="7">
        <f t="shared" si="18"/>
        <v>192.54800651328</v>
      </c>
      <c r="Q42" s="7">
        <f t="shared" si="11"/>
        <v>117.45681374591999</v>
      </c>
      <c r="R42" s="7">
        <f t="shared" si="12"/>
        <v>374.5067780208695</v>
      </c>
      <c r="S42" s="7">
        <f t="shared" si="13"/>
        <v>14.727449241648001</v>
      </c>
    </row>
    <row r="43" spans="1:19" ht="12.75">
      <c r="A43">
        <v>10</v>
      </c>
      <c r="B43" s="100" t="s">
        <v>503</v>
      </c>
      <c r="C43" s="19">
        <v>38082</v>
      </c>
      <c r="D43" s="10">
        <v>0.37986111111111115</v>
      </c>
      <c r="E43" s="4">
        <f t="shared" si="19"/>
        <v>9593</v>
      </c>
      <c r="F43" s="6">
        <v>175</v>
      </c>
      <c r="G43" s="7">
        <f t="shared" si="10"/>
        <v>4.955475</v>
      </c>
      <c r="H43" s="5">
        <v>43.6</v>
      </c>
      <c r="I43" s="5">
        <v>27.2</v>
      </c>
      <c r="J43" s="5">
        <v>83.89287500000002</v>
      </c>
      <c r="K43" s="23">
        <v>3.44</v>
      </c>
      <c r="L43" s="7">
        <f t="shared" si="14"/>
        <v>216.05871</v>
      </c>
      <c r="M43" s="7">
        <f t="shared" si="15"/>
        <v>134.78892</v>
      </c>
      <c r="N43" s="7">
        <f t="shared" si="16"/>
        <v>415.72904474062506</v>
      </c>
      <c r="O43" s="7">
        <f t="shared" si="17"/>
        <v>17.046834</v>
      </c>
      <c r="P43" s="7">
        <f t="shared" si="18"/>
        <v>223.29037342079997</v>
      </c>
      <c r="Q43" s="7">
        <f t="shared" si="11"/>
        <v>133.52209444224</v>
      </c>
      <c r="R43" s="7">
        <f t="shared" si="12"/>
        <v>379.92494766558156</v>
      </c>
      <c r="S43" s="7">
        <f t="shared" si="13"/>
        <v>15.553258592256</v>
      </c>
    </row>
    <row r="44" spans="1:19" ht="12.75">
      <c r="A44">
        <v>11</v>
      </c>
      <c r="B44" s="100" t="s">
        <v>504</v>
      </c>
      <c r="C44" s="19">
        <v>38094</v>
      </c>
      <c r="D44" s="10">
        <v>0.38958333333333334</v>
      </c>
      <c r="E44" s="4">
        <f t="shared" si="19"/>
        <v>9605</v>
      </c>
      <c r="F44" s="6">
        <v>133</v>
      </c>
      <c r="G44" s="7">
        <f t="shared" si="10"/>
        <v>3.766161</v>
      </c>
      <c r="H44" s="5">
        <v>57</v>
      </c>
      <c r="I44" s="5">
        <v>32.6</v>
      </c>
      <c r="J44" s="5">
        <v>84.21065104166668</v>
      </c>
      <c r="K44" s="23">
        <v>3.44</v>
      </c>
      <c r="L44" s="7">
        <f t="shared" si="14"/>
        <v>214.671177</v>
      </c>
      <c r="M44" s="7">
        <f t="shared" si="15"/>
        <v>122.77684860000001</v>
      </c>
      <c r="N44" s="7">
        <f t="shared" si="16"/>
        <v>317.1508697377344</v>
      </c>
      <c r="O44" s="7">
        <f t="shared" si="17"/>
        <v>12.955593839999999</v>
      </c>
      <c r="P44" s="7">
        <f t="shared" si="18"/>
        <v>116.35557822661582</v>
      </c>
      <c r="Q44" s="7">
        <f t="shared" si="11"/>
        <v>61.65766680574121</v>
      </c>
      <c r="R44" s="7">
        <f t="shared" si="12"/>
        <v>201.54581016501183</v>
      </c>
      <c r="S44" s="7">
        <f t="shared" si="13"/>
        <v>7.848715317956223</v>
      </c>
    </row>
    <row r="45" spans="1:19" ht="12.75">
      <c r="A45">
        <v>12</v>
      </c>
      <c r="B45" s="100"/>
      <c r="C45" s="19">
        <v>38101</v>
      </c>
      <c r="D45" s="10"/>
      <c r="E45" s="4">
        <f t="shared" si="19"/>
        <v>9612</v>
      </c>
      <c r="F45" s="6">
        <v>123</v>
      </c>
      <c r="G45" s="7">
        <f t="shared" si="10"/>
        <v>3.4829909999999997</v>
      </c>
      <c r="H45" s="5">
        <f>116.14*G45^-0.6942</f>
        <v>48.838070647290714</v>
      </c>
      <c r="I45" s="5">
        <f>38.476*G45^-0.4023</f>
        <v>23.28962440977777</v>
      </c>
      <c r="J45" s="5">
        <f>234.15*G45^-0.6794</f>
        <v>100.29787551537073</v>
      </c>
      <c r="K45" s="144">
        <f>7.9236*G45^-0.6033</f>
        <v>3.732180927775267</v>
      </c>
      <c r="L45" s="7">
        <f t="shared" si="14"/>
        <v>170.1025605218777</v>
      </c>
      <c r="M45" s="7">
        <f t="shared" si="15"/>
        <v>81.11755221263627</v>
      </c>
      <c r="N45" s="7">
        <f t="shared" si="16"/>
        <v>349.3365977391566</v>
      </c>
      <c r="O45" s="7">
        <f t="shared" si="17"/>
        <v>12.999152581812904</v>
      </c>
      <c r="P45" s="7">
        <f t="shared" si="18"/>
        <v>146.1333139726512</v>
      </c>
      <c r="Q45" s="7">
        <f t="shared" si="11"/>
        <v>77.96084328545886</v>
      </c>
      <c r="R45" s="7">
        <f t="shared" si="12"/>
        <v>303.2970018955156</v>
      </c>
      <c r="S45" s="7">
        <f t="shared" si="13"/>
        <v>11.801589037263174</v>
      </c>
    </row>
    <row r="46" spans="1:19" ht="12.75">
      <c r="A46">
        <v>13</v>
      </c>
      <c r="B46" s="100" t="s">
        <v>505</v>
      </c>
      <c r="C46" s="19">
        <v>38111</v>
      </c>
      <c r="D46" s="10">
        <v>0.4458333333333333</v>
      </c>
      <c r="E46" s="4">
        <f t="shared" si="19"/>
        <v>9622</v>
      </c>
      <c r="F46" s="6">
        <v>196</v>
      </c>
      <c r="G46" s="7">
        <f t="shared" si="10"/>
        <v>5.550132</v>
      </c>
      <c r="H46" s="5">
        <v>30.3</v>
      </c>
      <c r="I46" s="5">
        <v>17.9</v>
      </c>
      <c r="J46" s="5">
        <v>63.55520833333333</v>
      </c>
      <c r="K46" s="23">
        <v>2.58</v>
      </c>
      <c r="L46" s="7">
        <f t="shared" si="14"/>
        <v>168.1689996</v>
      </c>
      <c r="M46" s="7">
        <f t="shared" si="15"/>
        <v>99.34736279999998</v>
      </c>
      <c r="N46" s="7">
        <f t="shared" si="16"/>
        <v>352.73979553749996</v>
      </c>
      <c r="O46" s="7">
        <f t="shared" si="17"/>
        <v>14.319340559999999</v>
      </c>
      <c r="P46" s="7">
        <f t="shared" si="18"/>
        <v>122.43212086820071</v>
      </c>
      <c r="Q46" s="7">
        <f t="shared" si="11"/>
        <v>67.74952350096514</v>
      </c>
      <c r="R46" s="7">
        <f t="shared" si="12"/>
        <v>254.56064235008856</v>
      </c>
      <c r="S46" s="7">
        <f t="shared" si="13"/>
        <v>9.9965310758836</v>
      </c>
    </row>
    <row r="47" spans="1:19" ht="12.75">
      <c r="A47">
        <v>14</v>
      </c>
      <c r="B47" s="100"/>
      <c r="C47" s="19">
        <v>38119</v>
      </c>
      <c r="D47" s="10"/>
      <c r="E47" s="4">
        <f t="shared" si="19"/>
        <v>9630</v>
      </c>
      <c r="F47" s="6">
        <v>165</v>
      </c>
      <c r="G47" s="7">
        <f t="shared" si="10"/>
        <v>4.672305</v>
      </c>
      <c r="H47" s="5">
        <f>116.14*G47^-0.6942</f>
        <v>39.82843786816922</v>
      </c>
      <c r="I47" s="5">
        <f>38.476*G47^-0.4023</f>
        <v>20.693670055967708</v>
      </c>
      <c r="J47" s="5">
        <f>234.15*G47^-0.6794</f>
        <v>82.15134439820403</v>
      </c>
      <c r="K47" s="144">
        <f>7.9236*G47^-0.6033</f>
        <v>3.126038909920275</v>
      </c>
      <c r="L47" s="7">
        <f t="shared" si="14"/>
        <v>186.09060939363636</v>
      </c>
      <c r="M47" s="7">
        <f t="shared" si="15"/>
        <v>96.68713807084819</v>
      </c>
      <c r="N47" s="7">
        <f t="shared" si="16"/>
        <v>383.83613718845066</v>
      </c>
      <c r="O47" s="7">
        <f t="shared" si="17"/>
        <v>14.60580722901505</v>
      </c>
      <c r="P47" s="7">
        <f t="shared" si="18"/>
        <v>122.34795821348071</v>
      </c>
      <c r="Q47" s="7">
        <f t="shared" si="11"/>
        <v>64.18239703056514</v>
      </c>
      <c r="R47" s="7">
        <f t="shared" si="12"/>
        <v>250.34987942918735</v>
      </c>
      <c r="S47" s="7">
        <f t="shared" si="13"/>
        <v>9.4514310912436</v>
      </c>
    </row>
    <row r="48" spans="1:19" ht="12.75">
      <c r="A48">
        <v>15</v>
      </c>
      <c r="B48" s="100" t="s">
        <v>506</v>
      </c>
      <c r="C48" s="19">
        <v>38127</v>
      </c>
      <c r="D48" s="10">
        <v>0.6416666666666667</v>
      </c>
      <c r="E48" s="4">
        <f t="shared" si="19"/>
        <v>9638</v>
      </c>
      <c r="F48" s="6">
        <v>149</v>
      </c>
      <c r="G48" s="7">
        <f t="shared" si="10"/>
        <v>4.219233</v>
      </c>
      <c r="H48" s="5">
        <v>39.8</v>
      </c>
      <c r="I48" s="5">
        <v>21.1</v>
      </c>
      <c r="J48" s="5">
        <v>80.71511458333333</v>
      </c>
      <c r="K48" s="23">
        <v>3.02</v>
      </c>
      <c r="L48" s="7">
        <f t="shared" si="14"/>
        <v>167.9254734</v>
      </c>
      <c r="M48" s="7">
        <f t="shared" si="15"/>
        <v>89.0258163</v>
      </c>
      <c r="N48" s="7">
        <f t="shared" si="16"/>
        <v>340.5558750487812</v>
      </c>
      <c r="O48" s="7">
        <f t="shared" si="17"/>
        <v>12.74208366</v>
      </c>
      <c r="P48" s="7">
        <f t="shared" si="18"/>
        <v>109.5353486566642</v>
      </c>
      <c r="Q48" s="7">
        <f t="shared" si="11"/>
        <v>58.73197061576286</v>
      </c>
      <c r="R48" s="7">
        <f t="shared" si="12"/>
        <v>224.42659657038672</v>
      </c>
      <c r="S48" s="7">
        <f t="shared" si="13"/>
        <v>8.524240051357948</v>
      </c>
    </row>
    <row r="49" spans="1:19" ht="12.75">
      <c r="A49">
        <v>16</v>
      </c>
      <c r="B49" s="100"/>
      <c r="C49" s="19">
        <v>38134</v>
      </c>
      <c r="D49" s="10"/>
      <c r="E49" s="4">
        <f t="shared" si="19"/>
        <v>9645</v>
      </c>
      <c r="F49" s="6">
        <v>190</v>
      </c>
      <c r="G49" s="7">
        <f t="shared" si="10"/>
        <v>5.38023</v>
      </c>
      <c r="H49" s="5">
        <f>116.14*G49^-0.6942</f>
        <v>36.112693120754074</v>
      </c>
      <c r="I49" s="5">
        <f>38.476*G49^-0.4023</f>
        <v>19.55188964960241</v>
      </c>
      <c r="J49" s="5">
        <f>234.15*G49^-0.6794</f>
        <v>74.64282542500229</v>
      </c>
      <c r="K49" s="144">
        <f>7.9236*G49^-0.6033</f>
        <v>2.8709815097976894</v>
      </c>
      <c r="L49" s="7">
        <f t="shared" si="14"/>
        <v>194.2945949090747</v>
      </c>
      <c r="M49" s="7">
        <f t="shared" si="15"/>
        <v>105.19366324948037</v>
      </c>
      <c r="N49" s="7">
        <f t="shared" si="16"/>
        <v>401.59556863636004</v>
      </c>
      <c r="O49" s="7">
        <f t="shared" si="17"/>
        <v>15.446540848458822</v>
      </c>
      <c r="P49" s="7">
        <f t="shared" si="18"/>
        <v>96.21634958443217</v>
      </c>
      <c r="Q49" s="7">
        <f t="shared" si="11"/>
        <v>51.92781261826531</v>
      </c>
      <c r="R49" s="7">
        <f t="shared" si="12"/>
        <v>202.870792420917</v>
      </c>
      <c r="S49" s="7">
        <f t="shared" si="13"/>
        <v>7.728674835920526</v>
      </c>
    </row>
    <row r="50" spans="1:19" ht="12.75">
      <c r="A50">
        <v>17</v>
      </c>
      <c r="B50" s="100" t="s">
        <v>507</v>
      </c>
      <c r="C50" s="19">
        <v>38140</v>
      </c>
      <c r="D50" s="10">
        <v>0.49652777777777773</v>
      </c>
      <c r="E50" s="4">
        <f t="shared" si="19"/>
        <v>9651</v>
      </c>
      <c r="F50" s="6">
        <v>175</v>
      </c>
      <c r="G50" s="7">
        <f t="shared" si="10"/>
        <v>4.955475</v>
      </c>
      <c r="H50" s="5">
        <v>35.7</v>
      </c>
      <c r="I50" s="5">
        <v>19.2</v>
      </c>
      <c r="J50" s="5">
        <v>76.90180208333332</v>
      </c>
      <c r="K50" s="23">
        <v>2.9</v>
      </c>
      <c r="L50" s="7">
        <f t="shared" si="14"/>
        <v>176.9104575</v>
      </c>
      <c r="M50" s="7">
        <f t="shared" si="15"/>
        <v>95.14511999999999</v>
      </c>
      <c r="N50" s="7">
        <f t="shared" si="16"/>
        <v>381.08495767890616</v>
      </c>
      <c r="O50" s="7">
        <f t="shared" si="17"/>
        <v>14.370877499999999</v>
      </c>
      <c r="P50" s="7">
        <f t="shared" si="18"/>
        <v>106.54167185121165</v>
      </c>
      <c r="Q50" s="7">
        <f t="shared" si="11"/>
        <v>54.8200139030538</v>
      </c>
      <c r="R50" s="7">
        <f t="shared" si="12"/>
        <v>224.3376086992494</v>
      </c>
      <c r="S50" s="7">
        <f t="shared" si="13"/>
        <v>8.436535536887163</v>
      </c>
    </row>
    <row r="51" spans="1:19" ht="12.75">
      <c r="A51">
        <v>18</v>
      </c>
      <c r="B51" s="100"/>
      <c r="C51" s="19">
        <v>38147</v>
      </c>
      <c r="D51" s="10"/>
      <c r="E51" s="4">
        <f t="shared" si="19"/>
        <v>9658</v>
      </c>
      <c r="F51" s="6">
        <v>136</v>
      </c>
      <c r="G51" s="7">
        <f t="shared" si="10"/>
        <v>3.8511119999999996</v>
      </c>
      <c r="H51" s="5">
        <f>116.14*G51^-0.6942</f>
        <v>45.5478536909129</v>
      </c>
      <c r="I51" s="5">
        <f>38.476*G51^-0.4023</f>
        <v>22.367044832447302</v>
      </c>
      <c r="J51" s="5">
        <f>234.15*G51^-0.6794</f>
        <v>93.6800108502676</v>
      </c>
      <c r="K51" s="144">
        <f>7.9236*G51^-0.6033</f>
        <v>3.512678637271545</v>
      </c>
      <c r="L51" s="7">
        <f t="shared" si="14"/>
        <v>175.40988592331894</v>
      </c>
      <c r="M51" s="7">
        <f t="shared" si="15"/>
        <v>86.13799475877579</v>
      </c>
      <c r="N51" s="7">
        <f t="shared" si="16"/>
        <v>360.77221394559575</v>
      </c>
      <c r="O51" s="7">
        <f t="shared" si="17"/>
        <v>13.527718852140094</v>
      </c>
      <c r="P51" s="7">
        <f t="shared" si="18"/>
        <v>114.50728557733903</v>
      </c>
      <c r="Q51" s="7">
        <f t="shared" si="11"/>
        <v>54.62956910319292</v>
      </c>
      <c r="R51" s="7">
        <f t="shared" si="12"/>
        <v>244.6305328701439</v>
      </c>
      <c r="S51" s="7">
        <f t="shared" si="13"/>
        <v>9.126601161571616</v>
      </c>
    </row>
    <row r="52" spans="1:19" ht="12.75">
      <c r="A52">
        <v>19</v>
      </c>
      <c r="B52" s="100" t="s">
        <v>508</v>
      </c>
      <c r="C52" s="19">
        <v>38155</v>
      </c>
      <c r="D52" s="1" t="s">
        <v>199</v>
      </c>
      <c r="E52" s="4">
        <f t="shared" si="19"/>
        <v>9666</v>
      </c>
      <c r="F52" s="6">
        <v>133</v>
      </c>
      <c r="G52" s="7">
        <f t="shared" si="10"/>
        <v>3.766161</v>
      </c>
      <c r="H52" s="5">
        <v>41.4</v>
      </c>
      <c r="I52" s="5">
        <v>19.1</v>
      </c>
      <c r="J52" s="5">
        <v>92.15505208333333</v>
      </c>
      <c r="K52" s="23">
        <v>3.42</v>
      </c>
      <c r="L52" s="7">
        <f t="shared" si="14"/>
        <v>155.9190654</v>
      </c>
      <c r="M52" s="7">
        <f t="shared" si="15"/>
        <v>71.9336751</v>
      </c>
      <c r="N52" s="7">
        <f t="shared" si="16"/>
        <v>347.0707631092187</v>
      </c>
      <c r="O52" s="7">
        <f t="shared" si="17"/>
        <v>12.88027062</v>
      </c>
      <c r="P52" s="7">
        <f t="shared" si="18"/>
        <v>70.42067119912558</v>
      </c>
      <c r="Q52" s="7">
        <f t="shared" si="11"/>
        <v>33.05906509952944</v>
      </c>
      <c r="R52" s="7">
        <f t="shared" si="12"/>
        <v>150.42398994324907</v>
      </c>
      <c r="S52" s="7">
        <f t="shared" si="13"/>
        <v>5.589955411591587</v>
      </c>
    </row>
    <row r="53" spans="1:19" ht="12.75">
      <c r="A53">
        <v>20</v>
      </c>
      <c r="B53" s="100"/>
      <c r="C53" s="19">
        <v>38160</v>
      </c>
      <c r="D53" s="1"/>
      <c r="E53" s="4">
        <f t="shared" si="19"/>
        <v>9671</v>
      </c>
      <c r="F53" s="6">
        <v>123</v>
      </c>
      <c r="G53" s="7">
        <f t="shared" si="10"/>
        <v>3.4829909999999997</v>
      </c>
      <c r="H53" s="5">
        <f>116.14*G53^-0.6942</f>
        <v>48.838070647290714</v>
      </c>
      <c r="I53" s="5">
        <f>38.476*G53^-0.4023</f>
        <v>23.28962440977777</v>
      </c>
      <c r="J53" s="5">
        <f>234.15*G53^-0.6794</f>
        <v>100.29787551537073</v>
      </c>
      <c r="K53" s="144">
        <f>7.9236*G53^-0.6033</f>
        <v>3.732180927775267</v>
      </c>
      <c r="L53" s="7">
        <f t="shared" si="14"/>
        <v>170.1025605218777</v>
      </c>
      <c r="M53" s="7">
        <f t="shared" si="15"/>
        <v>81.11755221263627</v>
      </c>
      <c r="N53" s="7">
        <f t="shared" si="16"/>
        <v>349.3365977391566</v>
      </c>
      <c r="O53" s="7">
        <f t="shared" si="17"/>
        <v>12.999152581812904</v>
      </c>
      <c r="P53" s="7">
        <f t="shared" si="18"/>
        <v>92.6475422831107</v>
      </c>
      <c r="Q53" s="7">
        <f t="shared" si="11"/>
        <v>43.62040641927531</v>
      </c>
      <c r="R53" s="7">
        <f t="shared" si="12"/>
        <v>195.14227753625678</v>
      </c>
      <c r="S53" s="7">
        <f t="shared" si="13"/>
        <v>7.2148307614939045</v>
      </c>
    </row>
    <row r="54" spans="1:19" ht="12.75">
      <c r="A54">
        <v>21</v>
      </c>
      <c r="B54" s="100" t="s">
        <v>509</v>
      </c>
      <c r="C54" s="19">
        <v>38166</v>
      </c>
      <c r="D54" s="10">
        <v>0.2965277777777778</v>
      </c>
      <c r="E54" s="4">
        <f t="shared" si="19"/>
        <v>9677</v>
      </c>
      <c r="F54" s="6">
        <v>148</v>
      </c>
      <c r="G54" s="7">
        <f t="shared" si="10"/>
        <v>4.190916</v>
      </c>
      <c r="H54" s="5">
        <v>44.7</v>
      </c>
      <c r="I54" s="5">
        <v>20.8</v>
      </c>
      <c r="J54" s="5">
        <v>96.286140625</v>
      </c>
      <c r="K54" s="23">
        <v>3.54</v>
      </c>
      <c r="L54" s="7">
        <f t="shared" si="14"/>
        <v>187.3339452</v>
      </c>
      <c r="M54" s="7">
        <f t="shared" si="15"/>
        <v>87.1710528</v>
      </c>
      <c r="N54" s="7">
        <f t="shared" si="16"/>
        <v>403.52712732356247</v>
      </c>
      <c r="O54" s="7">
        <f t="shared" si="17"/>
        <v>14.83584264</v>
      </c>
      <c r="P54" s="7">
        <f t="shared" si="18"/>
        <v>193.38473988288</v>
      </c>
      <c r="Q54" s="7">
        <f t="shared" si="11"/>
        <v>86.06047365216</v>
      </c>
      <c r="R54" s="7">
        <f t="shared" si="12"/>
        <v>443.0498505157903</v>
      </c>
      <c r="S54" s="7">
        <f t="shared" si="13"/>
        <v>16.081599443616</v>
      </c>
    </row>
    <row r="55" spans="1:19" ht="12.75">
      <c r="A55">
        <v>22</v>
      </c>
      <c r="B55" s="100" t="s">
        <v>510</v>
      </c>
      <c r="C55" s="19">
        <v>38180</v>
      </c>
      <c r="D55" s="10">
        <v>0.4895833333333333</v>
      </c>
      <c r="E55" s="4">
        <f t="shared" si="19"/>
        <v>9691</v>
      </c>
      <c r="F55" s="6">
        <v>103</v>
      </c>
      <c r="G55" s="7">
        <f t="shared" si="10"/>
        <v>2.916651</v>
      </c>
      <c r="H55" s="5">
        <v>45.4</v>
      </c>
      <c r="I55" s="5">
        <v>18.9</v>
      </c>
      <c r="J55" s="5">
        <v>112.81049479166666</v>
      </c>
      <c r="K55" s="23">
        <v>4.03</v>
      </c>
      <c r="L55" s="7">
        <f t="shared" si="14"/>
        <v>132.4159554</v>
      </c>
      <c r="M55" s="7">
        <f t="shared" si="15"/>
        <v>55.12470389999999</v>
      </c>
      <c r="N55" s="7">
        <f t="shared" si="16"/>
        <v>329.0288424446093</v>
      </c>
      <c r="O55" s="7">
        <f t="shared" si="17"/>
        <v>11.75410353</v>
      </c>
      <c r="P55" s="7">
        <f t="shared" si="18"/>
        <v>71.30803250592</v>
      </c>
      <c r="Q55" s="7">
        <f t="shared" si="11"/>
        <v>29.111715472319997</v>
      </c>
      <c r="R55" s="7">
        <f t="shared" si="12"/>
        <v>170.9510658370749</v>
      </c>
      <c r="S55" s="7">
        <f t="shared" si="13"/>
        <v>6.113071241568</v>
      </c>
    </row>
    <row r="56" spans="1:19" ht="12.75">
      <c r="A56">
        <v>23</v>
      </c>
      <c r="B56" s="100" t="s">
        <v>511</v>
      </c>
      <c r="C56" s="19">
        <v>38186</v>
      </c>
      <c r="D56" s="10">
        <v>0.44305555555555554</v>
      </c>
      <c r="E56" s="4">
        <f t="shared" si="19"/>
        <v>9697</v>
      </c>
      <c r="F56" s="6">
        <v>99</v>
      </c>
      <c r="G56" s="7">
        <f t="shared" si="10"/>
        <v>2.8033829999999997</v>
      </c>
      <c r="H56" s="5">
        <v>50.9</v>
      </c>
      <c r="I56" s="5">
        <v>20.4</v>
      </c>
      <c r="J56" s="5">
        <v>117.89491145833335</v>
      </c>
      <c r="K56" s="23">
        <v>4.22</v>
      </c>
      <c r="L56" s="7">
        <f t="shared" si="14"/>
        <v>142.6921947</v>
      </c>
      <c r="M56" s="7">
        <f t="shared" si="15"/>
        <v>57.18901319999999</v>
      </c>
      <c r="N56" s="7">
        <f t="shared" si="16"/>
        <v>330.5045905687969</v>
      </c>
      <c r="O56" s="7">
        <f t="shared" si="17"/>
        <v>11.830276259999998</v>
      </c>
      <c r="P56" s="7">
        <f t="shared" si="18"/>
        <v>279.45720182016004</v>
      </c>
      <c r="Q56" s="7">
        <f t="shared" si="11"/>
        <v>108.95442834816</v>
      </c>
      <c r="R56" s="7">
        <f t="shared" si="12"/>
        <v>640.8414201043927</v>
      </c>
      <c r="S56" s="7">
        <f t="shared" si="13"/>
        <v>23.171055343487996</v>
      </c>
    </row>
    <row r="57" spans="1:19" ht="12.75">
      <c r="A57">
        <v>24</v>
      </c>
      <c r="B57" s="100" t="s">
        <v>512</v>
      </c>
      <c r="C57" s="19">
        <v>38210</v>
      </c>
      <c r="D57" s="10">
        <v>0.5201388888888888</v>
      </c>
      <c r="E57" s="4">
        <f t="shared" si="19"/>
        <v>9721</v>
      </c>
      <c r="F57" s="6">
        <v>85</v>
      </c>
      <c r="G57" s="7">
        <f t="shared" si="10"/>
        <v>2.406945</v>
      </c>
      <c r="H57" s="5">
        <v>52.7</v>
      </c>
      <c r="I57" s="5">
        <v>19.9</v>
      </c>
      <c r="J57" s="5">
        <v>119.48379166666668</v>
      </c>
      <c r="K57" s="23">
        <v>4.37</v>
      </c>
      <c r="L57" s="7">
        <f t="shared" si="14"/>
        <v>126.8460015</v>
      </c>
      <c r="M57" s="7">
        <f t="shared" si="15"/>
        <v>47.898205499999996</v>
      </c>
      <c r="N57" s="7">
        <f t="shared" si="16"/>
        <v>287.590914933125</v>
      </c>
      <c r="O57" s="7">
        <f t="shared" si="17"/>
        <v>10.51834965</v>
      </c>
      <c r="P57" s="7">
        <f t="shared" si="18"/>
        <v>165.22548143039998</v>
      </c>
      <c r="Q57" s="7">
        <f t="shared" si="11"/>
        <v>64.71472034879999</v>
      </c>
      <c r="R57" s="7">
        <f t="shared" si="12"/>
        <v>328.682077629282</v>
      </c>
      <c r="S57" s="7">
        <f t="shared" si="13"/>
        <v>12.33154152864</v>
      </c>
    </row>
    <row r="58" spans="1:19" ht="12.75">
      <c r="A58">
        <v>25</v>
      </c>
      <c r="B58" s="100" t="s">
        <v>513</v>
      </c>
      <c r="C58" s="19">
        <v>38222</v>
      </c>
      <c r="D58" s="10">
        <v>0.4930555555555556</v>
      </c>
      <c r="E58" s="4">
        <f t="shared" si="19"/>
        <v>9733</v>
      </c>
      <c r="F58" s="6">
        <v>110</v>
      </c>
      <c r="G58" s="7">
        <f t="shared" si="10"/>
        <v>3.11487</v>
      </c>
      <c r="H58" s="5">
        <v>61.6</v>
      </c>
      <c r="I58" s="5">
        <v>24.7</v>
      </c>
      <c r="J58" s="5">
        <v>111.22161458333333</v>
      </c>
      <c r="K58" s="23">
        <v>4.26</v>
      </c>
      <c r="L58" s="7">
        <f t="shared" si="14"/>
        <v>191.875992</v>
      </c>
      <c r="M58" s="7">
        <f t="shared" si="15"/>
        <v>76.93728899999999</v>
      </c>
      <c r="N58" s="7">
        <f t="shared" si="16"/>
        <v>346.4408706171875</v>
      </c>
      <c r="O58" s="7">
        <f t="shared" si="17"/>
        <v>13.2693462</v>
      </c>
      <c r="P58" s="7">
        <f t="shared" si="18"/>
        <v>252.11437005023998</v>
      </c>
      <c r="Q58" s="7">
        <f t="shared" si="11"/>
        <v>99.95660871839999</v>
      </c>
      <c r="R58" s="7">
        <f t="shared" si="12"/>
        <v>490.4341503201045</v>
      </c>
      <c r="S58" s="7">
        <f t="shared" si="13"/>
        <v>18.219428737056</v>
      </c>
    </row>
    <row r="59" spans="1:19" ht="12.75">
      <c r="A59">
        <v>26</v>
      </c>
      <c r="B59" s="100" t="s">
        <v>514</v>
      </c>
      <c r="C59" s="19">
        <v>38240</v>
      </c>
      <c r="D59" s="10">
        <v>0.46388888888888885</v>
      </c>
      <c r="E59" s="4">
        <f t="shared" si="19"/>
        <v>9751</v>
      </c>
      <c r="F59" s="6">
        <v>81</v>
      </c>
      <c r="G59" s="7">
        <f t="shared" si="10"/>
        <v>2.2936769999999997</v>
      </c>
      <c r="H59" s="5">
        <v>57.7</v>
      </c>
      <c r="I59" s="5">
        <v>22.5</v>
      </c>
      <c r="J59" s="5">
        <v>123.93265625</v>
      </c>
      <c r="K59" s="23">
        <v>4.43</v>
      </c>
      <c r="L59" s="7">
        <f t="shared" si="14"/>
        <v>132.3451629</v>
      </c>
      <c r="M59" s="7">
        <f t="shared" si="15"/>
        <v>51.6077325</v>
      </c>
      <c r="N59" s="7">
        <f t="shared" si="16"/>
        <v>284.2614831895312</v>
      </c>
      <c r="O59" s="7">
        <f t="shared" si="17"/>
        <v>10.160989109999997</v>
      </c>
      <c r="P59" s="7">
        <f t="shared" si="18"/>
        <v>181.7240530032</v>
      </c>
      <c r="Q59" s="7">
        <f t="shared" si="11"/>
        <v>80.54659647359999</v>
      </c>
      <c r="R59" s="7">
        <f t="shared" si="12"/>
        <v>296.23836701458345</v>
      </c>
      <c r="S59" s="7">
        <f t="shared" si="13"/>
        <v>11.474256813119998</v>
      </c>
    </row>
    <row r="60" spans="1:19" ht="12.75">
      <c r="A60">
        <v>27</v>
      </c>
      <c r="B60" s="100" t="s">
        <v>515</v>
      </c>
      <c r="C60" s="19">
        <v>38250</v>
      </c>
      <c r="D60" s="10">
        <v>0.4826388888888889</v>
      </c>
      <c r="E60" s="4">
        <f t="shared" si="19"/>
        <v>9761</v>
      </c>
      <c r="F60" s="6">
        <v>143</v>
      </c>
      <c r="G60" s="7">
        <f t="shared" si="10"/>
        <v>4.049331</v>
      </c>
      <c r="H60" s="5">
        <v>71.2</v>
      </c>
      <c r="I60" s="5">
        <v>33.3</v>
      </c>
      <c r="J60" s="5">
        <v>99.146125</v>
      </c>
      <c r="K60" s="23">
        <v>4.05</v>
      </c>
      <c r="L60" s="7">
        <f t="shared" si="14"/>
        <v>288.3123672</v>
      </c>
      <c r="M60" s="7">
        <f t="shared" si="15"/>
        <v>134.84272229999996</v>
      </c>
      <c r="N60" s="7">
        <f t="shared" si="16"/>
        <v>401.4754774923749</v>
      </c>
      <c r="O60" s="7">
        <f t="shared" si="17"/>
        <v>16.39979055</v>
      </c>
      <c r="P60" s="7">
        <f t="shared" si="18"/>
        <v>192.88802158532724</v>
      </c>
      <c r="Q60" s="7">
        <f t="shared" si="11"/>
        <v>88.65780910877712</v>
      </c>
      <c r="R60" s="7">
        <f t="shared" si="12"/>
        <v>313.2876644165727</v>
      </c>
      <c r="S60" s="7">
        <f t="shared" si="13"/>
        <v>12.195472935878916</v>
      </c>
    </row>
    <row r="61" spans="1:19" ht="12.75">
      <c r="A61">
        <v>28</v>
      </c>
      <c r="C61" s="88">
        <v>38260</v>
      </c>
      <c r="E61" s="15">
        <f t="shared" si="19"/>
        <v>9771</v>
      </c>
      <c r="F61" s="93">
        <v>97</v>
      </c>
      <c r="G61" s="7">
        <f t="shared" si="10"/>
        <v>2.746749</v>
      </c>
      <c r="H61" s="5">
        <f>116.14*G61^-0.6942</f>
        <v>57.59087662033745</v>
      </c>
      <c r="I61" s="5">
        <f>38.476*G61^-0.4023</f>
        <v>25.62436089865553</v>
      </c>
      <c r="J61" s="5">
        <f>234.15*G61^-0.6794</f>
        <v>117.8584025689423</v>
      </c>
      <c r="K61" s="144">
        <f>7.9236*G61^-0.6033</f>
        <v>4.307081162365269</v>
      </c>
      <c r="L61" s="7">
        <f t="shared" si="14"/>
        <v>158.18768276603527</v>
      </c>
      <c r="M61" s="7">
        <f t="shared" si="15"/>
        <v>70.38368767402117</v>
      </c>
      <c r="N61" s="7">
        <f t="shared" si="16"/>
        <v>323.7274493978397</v>
      </c>
      <c r="O61" s="7">
        <f t="shared" si="17"/>
        <v>11.83047087564564</v>
      </c>
      <c r="P61" s="7"/>
      <c r="Q61" s="7"/>
      <c r="R61" s="7"/>
      <c r="S61" s="7"/>
    </row>
    <row r="62" spans="3:19" ht="12.75">
      <c r="C62" s="143"/>
      <c r="D62" s="17"/>
      <c r="E62" s="17"/>
      <c r="F62" s="17"/>
      <c r="G62" s="17"/>
      <c r="H62" s="91"/>
      <c r="I62" s="91"/>
      <c r="J62" s="91"/>
      <c r="K62" s="84"/>
      <c r="L62" s="17"/>
      <c r="M62" s="17"/>
      <c r="N62" s="17"/>
      <c r="O62" s="17"/>
      <c r="P62" s="17"/>
      <c r="Q62" s="17"/>
      <c r="R62" s="17"/>
      <c r="S62" s="17"/>
    </row>
    <row r="63" spans="2:19" ht="12.75">
      <c r="B63" s="35" t="s">
        <v>224</v>
      </c>
      <c r="C63" s="88"/>
      <c r="F63" s="11"/>
      <c r="G63" s="11"/>
      <c r="L63" s="11"/>
      <c r="M63" s="11"/>
      <c r="N63" s="11"/>
      <c r="O63" s="11"/>
      <c r="P63" s="11">
        <f>SUM(P34:P60)</f>
        <v>5319.316412612252</v>
      </c>
      <c r="Q63" s="11">
        <f>SUM(Q34:Q60)</f>
        <v>2502.253277191614</v>
      </c>
      <c r="R63" s="11">
        <f>SUM(R34:R60)</f>
        <v>10367.76418389946</v>
      </c>
      <c r="S63" s="11">
        <f>SUM(S34:S60)</f>
        <v>385.5598991807621</v>
      </c>
    </row>
    <row r="64" spans="3:16" ht="12.75">
      <c r="C64" s="88"/>
      <c r="F64" s="11"/>
      <c r="G64" s="18"/>
      <c r="P64" s="101"/>
    </row>
    <row r="66" spans="1:3" ht="12.75">
      <c r="A66" t="s">
        <v>638</v>
      </c>
      <c r="B66" s="49"/>
      <c r="C66" t="s">
        <v>637</v>
      </c>
    </row>
    <row r="67" spans="1:3" ht="12.75">
      <c r="A67" t="s">
        <v>640</v>
      </c>
      <c r="B67" s="49"/>
      <c r="C67" t="s">
        <v>639</v>
      </c>
    </row>
    <row r="68" spans="1:3" ht="12.75">
      <c r="A68" t="s">
        <v>642</v>
      </c>
      <c r="B68" s="49"/>
      <c r="C68" t="s">
        <v>641</v>
      </c>
    </row>
    <row r="69" spans="1:3" ht="12" customHeight="1">
      <c r="A69" s="108" t="s">
        <v>644</v>
      </c>
      <c r="B69" s="49"/>
      <c r="C69" t="s">
        <v>643</v>
      </c>
    </row>
  </sheetData>
  <dataValidations count="1">
    <dataValidation type="textLength" operator="greaterThanOrEqual" allowBlank="1" showInputMessage="1" showErrorMessage="1" sqref="G64">
      <formula1>0</formula1>
    </dataValidation>
  </dataValidation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shaulh</dc:creator>
  <cp:keywords/>
  <dc:description/>
  <cp:lastModifiedBy>shaulh</cp:lastModifiedBy>
  <cp:lastPrinted>2006-01-31T18:41:03Z</cp:lastPrinted>
  <dcterms:created xsi:type="dcterms:W3CDTF">2004-03-02T23:28:48Z</dcterms:created>
  <dcterms:modified xsi:type="dcterms:W3CDTF">2006-05-12T18:39:16Z</dcterms:modified>
  <cp:category/>
  <cp:version/>
  <cp:contentType/>
  <cp:contentStatus/>
</cp:coreProperties>
</file>