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ressure" sheetId="1" r:id="rId1"/>
    <sheet name="Pressure Power Plot" sheetId="2" r:id="rId2"/>
  </sheets>
  <definedNames/>
  <calcPr fullCalcOnLoad="1"/>
</workbook>
</file>

<file path=xl/sharedStrings.xml><?xml version="1.0" encoding="utf-8"?>
<sst xmlns="http://schemas.openxmlformats.org/spreadsheetml/2006/main" count="102" uniqueCount="78">
  <si>
    <t>Input Data</t>
  </si>
  <si>
    <t>Field Scale</t>
  </si>
  <si>
    <t>Lab Data</t>
  </si>
  <si>
    <t>Geometry Data</t>
  </si>
  <si>
    <t>Hole Dia</t>
  </si>
  <si>
    <t>in</t>
  </si>
  <si>
    <t>Energy at Failure, in-lbs</t>
  </si>
  <si>
    <t>Pipe OD</t>
  </si>
  <si>
    <t>Hard</t>
  </si>
  <si>
    <t>Int</t>
  </si>
  <si>
    <t>Soft</t>
  </si>
  <si>
    <t>Density</t>
  </si>
  <si>
    <t>Mass Cmt</t>
  </si>
  <si>
    <t>Pipe ID</t>
  </si>
  <si>
    <t>Foam</t>
  </si>
  <si>
    <t>Cemented Interval</t>
  </si>
  <si>
    <t>ft</t>
  </si>
  <si>
    <t>Latex</t>
  </si>
  <si>
    <t>Bead</t>
  </si>
  <si>
    <t>Cement Data</t>
  </si>
  <si>
    <t>Type 1</t>
  </si>
  <si>
    <t>Cement</t>
  </si>
  <si>
    <t>Formation</t>
  </si>
  <si>
    <t>lb/gal</t>
  </si>
  <si>
    <t>Tensile Strength</t>
  </si>
  <si>
    <t>psi</t>
  </si>
  <si>
    <t>Young's Modulus</t>
  </si>
  <si>
    <t>Formation Data</t>
  </si>
  <si>
    <t>Calculated Data</t>
  </si>
  <si>
    <t>Cement Properties</t>
  </si>
  <si>
    <t>Hole Radius</t>
  </si>
  <si>
    <t>Pipe OR</t>
  </si>
  <si>
    <t>Pipe IR</t>
  </si>
  <si>
    <t xml:space="preserve">Pipe Steel CS </t>
  </si>
  <si>
    <t>sq in</t>
  </si>
  <si>
    <t>Pipe Internal CS Area</t>
  </si>
  <si>
    <t>Pipe Internal Volume</t>
  </si>
  <si>
    <t>cu in</t>
  </si>
  <si>
    <t>Formation Factor</t>
  </si>
  <si>
    <t>Annular Radius</t>
  </si>
  <si>
    <t>Annular CS Area</t>
  </si>
  <si>
    <t>Annular (Cement) Volume</t>
  </si>
  <si>
    <t>Cement Mass</t>
  </si>
  <si>
    <t>lbm</t>
  </si>
  <si>
    <t>Lab Data Failure Control Curve</t>
  </si>
  <si>
    <t>Multiplier</t>
  </si>
  <si>
    <t>Failure Energy, Lab</t>
  </si>
  <si>
    <t>in-lb</t>
  </si>
  <si>
    <t>Power</t>
  </si>
  <si>
    <t>E1A Lab</t>
  </si>
  <si>
    <t>E1R Lab</t>
  </si>
  <si>
    <t>E1A calc</t>
  </si>
  <si>
    <t>Applied Energy, Field</t>
  </si>
  <si>
    <t>E1A Field</t>
  </si>
  <si>
    <t>E1R Field</t>
  </si>
  <si>
    <t>Pressure Loading Schedule</t>
  </si>
  <si>
    <t>Pressure</t>
  </si>
  <si>
    <t>Applications</t>
  </si>
  <si>
    <t>Applied Energy
in - lbs</t>
  </si>
  <si>
    <t>Anelastic Strain slope</t>
  </si>
  <si>
    <t>Tens YM</t>
  </si>
  <si>
    <t>Ten Str</t>
  </si>
  <si>
    <t>AS Slope</t>
  </si>
  <si>
    <t>AS Intercept</t>
  </si>
  <si>
    <t>Formation Properties</t>
  </si>
  <si>
    <t>Intermediate</t>
  </si>
  <si>
    <t>Cement Type</t>
  </si>
  <si>
    <t>Formation Type</t>
  </si>
  <si>
    <t>&lt;-- Fld Data Pt</t>
  </si>
  <si>
    <r>
      <t xml:space="preserve">1) Change only </t>
    </r>
    <r>
      <rPr>
        <b/>
        <sz val="10"/>
        <color indexed="10"/>
        <rFont val="Arial"/>
        <family val="2"/>
      </rPr>
      <t>Bold Red</t>
    </r>
    <r>
      <rPr>
        <sz val="10"/>
        <rFont val="Arial"/>
        <family val="2"/>
      </rPr>
      <t xml:space="preserve"> cells</t>
    </r>
  </si>
  <si>
    <t>2) Spreadsheet estimates field scale cement annular seal failure</t>
  </si>
  <si>
    <t xml:space="preserve">    by comparing calculated energy application and energy resistance</t>
  </si>
  <si>
    <t xml:space="preserve">    factors with laboratory data.</t>
  </si>
  <si>
    <t>Spreadsheet Annotation:</t>
  </si>
  <si>
    <t>E1R Fit</t>
  </si>
  <si>
    <t>Form Factor</t>
  </si>
  <si>
    <t>Pressure Analysis</t>
  </si>
  <si>
    <t>MMS Annular Seal Energy Analysis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</si>
</sst>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_);_(* \(#,##0.000\);_(* &quot;-&quot;???_);_(@_)"/>
    <numFmt numFmtId="168" formatCode="_(* #,##0.000000_);_(* \(#,##0.000000\);_(* &quot;-&quot;????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0.000"/>
    <numFmt numFmtId="173" formatCode="0.0"/>
    <numFmt numFmtId="174" formatCode="_(* #,##0.0_);_(* \(#,##0.0\);_(* &quot;-&quot;?_);_(@_)"/>
    <numFmt numFmtId="175" formatCode="_(* #,##0.0000_);_(* \(#,##0.0000\);_(* &quot;-&quot;????_);_(@_)"/>
  </numFmts>
  <fonts count="10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5.5"/>
      <name val="Arial"/>
      <family val="0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166" fontId="4" fillId="0" borderId="0" xfId="15" applyNumberFormat="1" applyFont="1" applyAlignment="1" applyProtection="1">
      <alignment/>
      <protection locked="0"/>
    </xf>
    <xf numFmtId="165" fontId="4" fillId="0" borderId="0" xfId="15" applyNumberFormat="1" applyFont="1" applyAlignment="1" applyProtection="1">
      <alignment/>
      <protection locked="0"/>
    </xf>
    <xf numFmtId="166" fontId="4" fillId="0" borderId="0" xfId="15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hidden="1"/>
    </xf>
    <xf numFmtId="166" fontId="0" fillId="0" borderId="0" xfId="15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166" fontId="0" fillId="0" borderId="0" xfId="15" applyNumberFormat="1" applyFont="1" applyAlignment="1" applyProtection="1">
      <alignment/>
      <protection hidden="1"/>
    </xf>
    <xf numFmtId="0" fontId="3" fillId="0" borderId="1" xfId="0" applyFont="1" applyBorder="1" applyAlignment="1" applyProtection="1">
      <alignment/>
      <protection hidden="1"/>
    </xf>
    <xf numFmtId="0" fontId="0" fillId="0" borderId="2" xfId="0" applyBorder="1" applyAlignment="1" applyProtection="1">
      <alignment/>
      <protection hidden="1"/>
    </xf>
    <xf numFmtId="0" fontId="0" fillId="0" borderId="3" xfId="0" applyBorder="1" applyAlignment="1" applyProtection="1">
      <alignment/>
      <protection hidden="1"/>
    </xf>
    <xf numFmtId="166" fontId="0" fillId="0" borderId="0" xfId="15" applyNumberFormat="1" applyFont="1" applyAlignment="1" applyProtection="1">
      <alignment/>
      <protection hidden="1"/>
    </xf>
    <xf numFmtId="0" fontId="0" fillId="0" borderId="4" xfId="0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0" fillId="0" borderId="4" xfId="0" applyFont="1" applyBorder="1" applyAlignment="1" applyProtection="1">
      <alignment/>
      <protection hidden="1"/>
    </xf>
    <xf numFmtId="165" fontId="0" fillId="0" borderId="0" xfId="15" applyNumberFormat="1" applyFont="1" applyBorder="1" applyAlignment="1" applyProtection="1">
      <alignment/>
      <protection hidden="1"/>
    </xf>
    <xf numFmtId="11" fontId="0" fillId="0" borderId="0" xfId="15" applyNumberFormat="1" applyFont="1" applyBorder="1" applyAlignment="1" applyProtection="1">
      <alignment/>
      <protection hidden="1"/>
    </xf>
    <xf numFmtId="11" fontId="0" fillId="0" borderId="5" xfId="15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6" xfId="0" applyFont="1" applyBorder="1" applyAlignment="1" applyProtection="1">
      <alignment/>
      <protection hidden="1"/>
    </xf>
    <xf numFmtId="165" fontId="0" fillId="0" borderId="7" xfId="15" applyNumberFormat="1" applyFont="1" applyBorder="1" applyAlignment="1" applyProtection="1">
      <alignment/>
      <protection hidden="1"/>
    </xf>
    <xf numFmtId="11" fontId="0" fillId="0" borderId="7" xfId="15" applyNumberFormat="1" applyFont="1" applyBorder="1" applyAlignment="1" applyProtection="1">
      <alignment/>
      <protection hidden="1"/>
    </xf>
    <xf numFmtId="11" fontId="0" fillId="0" borderId="8" xfId="15" applyNumberFormat="1" applyFont="1" applyBorder="1" applyAlignment="1" applyProtection="1">
      <alignment/>
      <protection hidden="1"/>
    </xf>
    <xf numFmtId="0" fontId="0" fillId="0" borderId="2" xfId="0" applyFont="1" applyBorder="1" applyAlignment="1" applyProtection="1">
      <alignment/>
      <protection hidden="1"/>
    </xf>
    <xf numFmtId="166" fontId="0" fillId="0" borderId="0" xfId="15" applyNumberFormat="1" applyFont="1" applyAlignment="1" applyProtection="1">
      <alignment horizontal="center"/>
      <protection hidden="1"/>
    </xf>
    <xf numFmtId="0" fontId="3" fillId="0" borderId="5" xfId="0" applyFont="1" applyBorder="1" applyAlignment="1" applyProtection="1">
      <alignment/>
      <protection hidden="1"/>
    </xf>
    <xf numFmtId="169" fontId="0" fillId="0" borderId="5" xfId="15" applyNumberFormat="1" applyFont="1" applyBorder="1" applyAlignment="1" applyProtection="1">
      <alignment/>
      <protection hidden="1"/>
    </xf>
    <xf numFmtId="166" fontId="4" fillId="0" borderId="0" xfId="15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169" fontId="0" fillId="0" borderId="8" xfId="15" applyNumberFormat="1" applyFont="1" applyBorder="1" applyAlignment="1" applyProtection="1">
      <alignment/>
      <protection hidden="1"/>
    </xf>
    <xf numFmtId="0" fontId="0" fillId="0" borderId="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5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65" fontId="0" fillId="0" borderId="0" xfId="15" applyNumberFormat="1" applyBorder="1" applyAlignment="1" applyProtection="1">
      <alignment/>
      <protection hidden="1"/>
    </xf>
    <xf numFmtId="43" fontId="0" fillId="0" borderId="5" xfId="0" applyNumberFormat="1" applyFont="1" applyBorder="1" applyAlignment="1" applyProtection="1">
      <alignment/>
      <protection hidden="1"/>
    </xf>
    <xf numFmtId="43" fontId="0" fillId="0" borderId="0" xfId="0" applyNumberFormat="1" applyFont="1" applyBorder="1" applyAlignment="1" applyProtection="1">
      <alignment/>
      <protection hidden="1"/>
    </xf>
    <xf numFmtId="164" fontId="0" fillId="0" borderId="0" xfId="15" applyNumberFormat="1" applyFont="1" applyAlignment="1" applyProtection="1" quotePrefix="1">
      <alignment/>
      <protection hidden="1"/>
    </xf>
    <xf numFmtId="165" fontId="0" fillId="0" borderId="0" xfId="15" applyNumberFormat="1" applyFont="1" applyAlignment="1" applyProtection="1" quotePrefix="1">
      <alignment/>
      <protection hidden="1"/>
    </xf>
    <xf numFmtId="0" fontId="0" fillId="0" borderId="6" xfId="0" applyBorder="1" applyAlignment="1" applyProtection="1">
      <alignment/>
      <protection hidden="1"/>
    </xf>
    <xf numFmtId="165" fontId="0" fillId="0" borderId="7" xfId="15" applyNumberFormat="1" applyBorder="1" applyAlignment="1" applyProtection="1">
      <alignment/>
      <protection hidden="1"/>
    </xf>
    <xf numFmtId="0" fontId="0" fillId="0" borderId="7" xfId="0" applyBorder="1" applyAlignment="1" applyProtection="1">
      <alignment/>
      <protection hidden="1"/>
    </xf>
    <xf numFmtId="43" fontId="0" fillId="0" borderId="8" xfId="0" applyNumberFormat="1" applyFont="1" applyBorder="1" applyAlignment="1" applyProtection="1">
      <alignment/>
      <protection hidden="1"/>
    </xf>
    <xf numFmtId="11" fontId="0" fillId="0" borderId="0" xfId="15" applyNumberFormat="1" applyFont="1" applyAlignment="1" applyProtection="1" quotePrefix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0" fillId="0" borderId="5" xfId="0" applyBorder="1" applyAlignment="1" applyProtection="1">
      <alignment/>
      <protection hidden="1"/>
    </xf>
    <xf numFmtId="11" fontId="0" fillId="0" borderId="0" xfId="0" applyNumberFormat="1" applyBorder="1" applyAlignment="1" applyProtection="1">
      <alignment/>
      <protection hidden="1"/>
    </xf>
    <xf numFmtId="43" fontId="0" fillId="0" borderId="4" xfId="0" applyNumberFormat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/>
      <protection hidden="1"/>
    </xf>
    <xf numFmtId="11" fontId="0" fillId="0" borderId="5" xfId="0" applyNumberFormat="1" applyBorder="1" applyAlignment="1" applyProtection="1">
      <alignment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65" fontId="0" fillId="0" borderId="4" xfId="0" applyNumberFormat="1" applyBorder="1" applyAlignment="1" applyProtection="1">
      <alignment/>
      <protection hidden="1"/>
    </xf>
    <xf numFmtId="43" fontId="0" fillId="0" borderId="0" xfId="15" applyFont="1" applyBorder="1" applyAlignment="1" applyProtection="1">
      <alignment/>
      <protection hidden="1"/>
    </xf>
    <xf numFmtId="43" fontId="0" fillId="0" borderId="0" xfId="0" applyNumberFormat="1" applyFont="1" applyAlignment="1" applyProtection="1">
      <alignment/>
      <protection hidden="1"/>
    </xf>
    <xf numFmtId="165" fontId="0" fillId="0" borderId="4" xfId="15" applyNumberFormat="1" applyBorder="1" applyAlignment="1" applyProtection="1">
      <alignment/>
      <protection hidden="1"/>
    </xf>
    <xf numFmtId="43" fontId="0" fillId="0" borderId="0" xfId="15" applyNumberFormat="1" applyAlignment="1" applyProtection="1">
      <alignment/>
      <protection hidden="1"/>
    </xf>
    <xf numFmtId="165" fontId="0" fillId="0" borderId="0" xfId="15" applyNumberFormat="1" applyFont="1" applyAlignment="1" applyProtection="1" quotePrefix="1">
      <alignment/>
      <protection hidden="1"/>
    </xf>
    <xf numFmtId="165" fontId="0" fillId="0" borderId="0" xfId="15" applyNumberFormat="1" applyFont="1" applyAlignment="1" applyProtection="1">
      <alignment/>
      <protection hidden="1"/>
    </xf>
    <xf numFmtId="43" fontId="0" fillId="0" borderId="0" xfId="15" applyAlignment="1" applyProtection="1">
      <alignment/>
      <protection hidden="1"/>
    </xf>
    <xf numFmtId="43" fontId="0" fillId="0" borderId="0" xfId="0" applyNumberFormat="1" applyAlignment="1" applyProtection="1">
      <alignment horizontal="center"/>
      <protection hidden="1"/>
    </xf>
    <xf numFmtId="165" fontId="0" fillId="0" borderId="0" xfId="15" applyNumberFormat="1" applyAlignment="1" applyProtection="1">
      <alignment/>
      <protection hidden="1"/>
    </xf>
    <xf numFmtId="43" fontId="0" fillId="0" borderId="0" xfId="0" applyNumberFormat="1" applyAlignment="1" applyProtection="1">
      <alignment/>
      <protection hidden="1"/>
    </xf>
    <xf numFmtId="165" fontId="0" fillId="0" borderId="0" xfId="15" applyNumberFormat="1" applyFont="1" applyAlignment="1" applyProtection="1" quotePrefix="1">
      <alignment horizontal="center"/>
      <protection hidden="1"/>
    </xf>
    <xf numFmtId="165" fontId="0" fillId="0" borderId="0" xfId="15" applyNumberFormat="1" applyAlignment="1" applyProtection="1">
      <alignment horizontal="center"/>
      <protection hidden="1"/>
    </xf>
    <xf numFmtId="43" fontId="0" fillId="0" borderId="0" xfId="15" applyNumberFormat="1" applyAlignment="1" applyProtection="1">
      <alignment horizontal="center"/>
      <protection hidden="1"/>
    </xf>
    <xf numFmtId="11" fontId="0" fillId="0" borderId="0" xfId="15" applyNumberFormat="1" applyAlignment="1" applyProtection="1">
      <alignment/>
      <protection hidden="1"/>
    </xf>
    <xf numFmtId="165" fontId="0" fillId="0" borderId="0" xfId="15" applyNumberFormat="1" applyFont="1" applyAlignment="1" applyProtection="1">
      <alignment horizontal="left"/>
      <protection hidden="1"/>
    </xf>
    <xf numFmtId="164" fontId="0" fillId="0" borderId="0" xfId="15" applyNumberFormat="1" applyAlignment="1" applyProtection="1">
      <alignment/>
      <protection hidden="1"/>
    </xf>
    <xf numFmtId="43" fontId="0" fillId="0" borderId="0" xfId="15" applyFont="1" applyAlignment="1" applyProtection="1" quotePrefix="1">
      <alignment/>
      <protection hidden="1"/>
    </xf>
    <xf numFmtId="43" fontId="0" fillId="0" borderId="0" xfId="15" applyNumberFormat="1" applyFont="1" applyAlignment="1" applyProtection="1" quotePrefix="1">
      <alignment/>
      <protection hidden="1"/>
    </xf>
    <xf numFmtId="165" fontId="0" fillId="0" borderId="5" xfId="0" applyNumberFormat="1" applyFont="1" applyBorder="1" applyAlignment="1" applyProtection="1">
      <alignment/>
      <protection hidden="1"/>
    </xf>
    <xf numFmtId="0" fontId="0" fillId="0" borderId="0" xfId="0" applyAlignment="1" applyProtection="1">
      <alignment horizontal="center" vertical="top" wrapText="1"/>
      <protection hidden="1"/>
    </xf>
    <xf numFmtId="166" fontId="0" fillId="0" borderId="0" xfId="15" applyNumberFormat="1" applyFont="1" applyAlignment="1" applyProtection="1">
      <alignment horizontal="center" vertical="top" wrapText="1"/>
      <protection hidden="1"/>
    </xf>
    <xf numFmtId="165" fontId="0" fillId="0" borderId="6" xfId="0" applyNumberFormat="1" applyBorder="1" applyAlignment="1" applyProtection="1">
      <alignment/>
      <protection hidden="1"/>
    </xf>
    <xf numFmtId="165" fontId="0" fillId="0" borderId="7" xfId="0" applyNumberFormat="1" applyBorder="1" applyAlignment="1" applyProtection="1">
      <alignment horizontal="center"/>
      <protection hidden="1"/>
    </xf>
    <xf numFmtId="165" fontId="0" fillId="0" borderId="8" xfId="0" applyNumberFormat="1" applyFill="1" applyBorder="1" applyAlignment="1" applyProtection="1" quotePrefix="1">
      <alignment horizontal="left"/>
      <protection hidden="1"/>
    </xf>
    <xf numFmtId="165" fontId="0" fillId="0" borderId="0" xfId="15" applyNumberFormat="1" applyAlignment="1" applyProtection="1">
      <alignment/>
      <protection hidden="1"/>
    </xf>
    <xf numFmtId="169" fontId="0" fillId="0" borderId="0" xfId="15" applyNumberForma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66" fontId="0" fillId="0" borderId="0" xfId="0" applyNumberFormat="1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166" fontId="3" fillId="0" borderId="0" xfId="15" applyNumberFormat="1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5" fontId="0" fillId="0" borderId="0" xfId="0" applyNumberFormat="1" applyFont="1" applyAlignment="1" applyProtection="1">
      <alignment/>
      <protection hidden="1"/>
    </xf>
    <xf numFmtId="165" fontId="0" fillId="0" borderId="0" xfId="0" applyNumberFormat="1" applyFill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/>
      <protection hidden="1"/>
    </xf>
    <xf numFmtId="165" fontId="3" fillId="0" borderId="0" xfId="0" applyNumberFormat="1" applyFont="1" applyFill="1" applyBorder="1" applyAlignment="1" applyProtection="1">
      <alignment horizontal="center"/>
      <protection hidden="1"/>
    </xf>
    <xf numFmtId="166" fontId="3" fillId="0" borderId="0" xfId="0" applyNumberFormat="1" applyFont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E1R vs E1A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Lab 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Pressure!$F$32:$F$49</c:f>
              <c:numCache/>
            </c:numRef>
          </c:xVal>
          <c:yVal>
            <c:numRef>
              <c:f>Pressure!$G$32:$G$49</c:f>
              <c:numCache/>
            </c:numRef>
          </c:yVal>
          <c:smooth val="1"/>
        </c:ser>
        <c:ser>
          <c:idx val="1"/>
          <c:order val="1"/>
          <c:tx>
            <c:v>Field Data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Pressure!$F$51</c:f>
              <c:numCache/>
            </c:numRef>
          </c:xVal>
          <c:yVal>
            <c:numRef>
              <c:f>Pressure!$G$51</c:f>
              <c:numCache/>
            </c:numRef>
          </c:yVal>
          <c:smooth val="1"/>
        </c:ser>
        <c:axId val="10245727"/>
        <c:axId val="25102680"/>
      </c:scatterChart>
      <c:valAx>
        <c:axId val="10245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E1A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102680"/>
        <c:crosses val="autoZero"/>
        <c:crossBetween val="midCat"/>
        <c:dispUnits/>
      </c:valAx>
      <c:valAx>
        <c:axId val="25102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E1R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102457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E1R vs E1A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Lab  Data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Pressure!$F$32:$F$49</c:f>
              <c:numCache>
                <c:ptCount val="18"/>
                <c:pt idx="0">
                  <c:v>94.24503309956745</c:v>
                </c:pt>
                <c:pt idx="1">
                  <c:v>141.3675496493512</c:v>
                </c:pt>
                <c:pt idx="2">
                  <c:v>183.77781454415654</c:v>
                </c:pt>
                <c:pt idx="3">
                  <c:v>257.2889403618192</c:v>
                </c:pt>
                <c:pt idx="4">
                  <c:v>263.8860926787889</c:v>
                </c:pt>
                <c:pt idx="5">
                  <c:v>263.8860926787889</c:v>
                </c:pt>
                <c:pt idx="6">
                  <c:v>551.3334436324697</c:v>
                </c:pt>
                <c:pt idx="7">
                  <c:v>1041.4076157502202</c:v>
                </c:pt>
                <c:pt idx="8">
                  <c:v>1837.780517096495</c:v>
                </c:pt>
                <c:pt idx="9">
                  <c:v>2214.765086490241</c:v>
                </c:pt>
                <c:pt idx="10">
                  <c:v>3124.2230273244377</c:v>
                </c:pt>
                <c:pt idx="11">
                  <c:v>3298.570539046007</c:v>
                </c:pt>
                <c:pt idx="12">
                  <c:v>3500</c:v>
                </c:pt>
                <c:pt idx="13">
                  <c:v>4000</c:v>
                </c:pt>
                <c:pt idx="14">
                  <c:v>4500</c:v>
                </c:pt>
                <c:pt idx="15">
                  <c:v>5000</c:v>
                </c:pt>
                <c:pt idx="16">
                  <c:v>5500</c:v>
                </c:pt>
                <c:pt idx="17">
                  <c:v>6000</c:v>
                </c:pt>
              </c:numCache>
            </c:numRef>
          </c:xVal>
          <c:yVal>
            <c:numRef>
              <c:f>Pressure!$G$32:$G$49</c:f>
              <c:numCache>
                <c:ptCount val="18"/>
                <c:pt idx="0">
                  <c:v>0.1288648924228601</c:v>
                </c:pt>
                <c:pt idx="1">
                  <c:v>0.3056887343584949</c:v>
                </c:pt>
                <c:pt idx="2">
                  <c:v>0.5345943341163966</c:v>
                </c:pt>
                <c:pt idx="3">
                  <c:v>1.094801840381491</c:v>
                </c:pt>
                <c:pt idx="4">
                  <c:v>1.1554737549656697</c:v>
                </c:pt>
                <c:pt idx="5">
                  <c:v>1.1554737549656697</c:v>
                </c:pt>
                <c:pt idx="6">
                  <c:v>5.552434865658979</c:v>
                </c:pt>
                <c:pt idx="7">
                  <c:v>21.523535583330823</c:v>
                </c:pt>
                <c:pt idx="8">
                  <c:v>72.18144061802226</c:v>
                </c:pt>
                <c:pt idx="9">
                  <c:v>107.41388722572715</c:v>
                </c:pt>
                <c:pt idx="10">
                  <c:v>223.54902858684733</c:v>
                </c:pt>
                <c:pt idx="11">
                  <c:v>250.96641159362343</c:v>
                </c:pt>
                <c:pt idx="12">
                  <c:v>284.74553971461586</c:v>
                </c:pt>
                <c:pt idx="13">
                  <c:v>378.4451760922097</c:v>
                </c:pt>
                <c:pt idx="14">
                  <c:v>486.38291097567026</c:v>
                </c:pt>
                <c:pt idx="15">
                  <c:v>608.7795643636518</c:v>
                </c:pt>
                <c:pt idx="16">
                  <c:v>745.8354846789135</c:v>
                </c:pt>
                <c:pt idx="17">
                  <c:v>897.7342449803127</c:v>
                </c:pt>
              </c:numCache>
            </c:numRef>
          </c:yVal>
          <c:smooth val="1"/>
        </c:ser>
        <c:ser>
          <c:idx val="1"/>
          <c:order val="1"/>
          <c:tx>
            <c:v>Field Data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Pressure!$F$51</c:f>
              <c:numCache>
                <c:ptCount val="1"/>
                <c:pt idx="0">
                  <c:v>452.84344610461335</c:v>
                </c:pt>
              </c:numCache>
            </c:numRef>
          </c:xVal>
          <c:yVal>
            <c:numRef>
              <c:f>Pressure!$G$51</c:f>
              <c:numCache>
                <c:ptCount val="1"/>
                <c:pt idx="0">
                  <c:v>177.96501582323606</c:v>
                </c:pt>
              </c:numCache>
            </c:numRef>
          </c:yVal>
          <c:smooth val="1"/>
        </c:ser>
        <c:axId val="24597529"/>
        <c:axId val="20051170"/>
      </c:scatterChart>
      <c:valAx>
        <c:axId val="24597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E1A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51170"/>
        <c:crosses val="autoZero"/>
        <c:crossBetween val="midCat"/>
        <c:dispUnits/>
      </c:valAx>
      <c:valAx>
        <c:axId val="20051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E1R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245975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61</xdr:row>
      <xdr:rowOff>76200</xdr:rowOff>
    </xdr:from>
    <xdr:to>
      <xdr:col>7</xdr:col>
      <xdr:colOff>390525</xdr:colOff>
      <xdr:row>81</xdr:row>
      <xdr:rowOff>95250</xdr:rowOff>
    </xdr:to>
    <xdr:graphicFrame>
      <xdr:nvGraphicFramePr>
        <xdr:cNvPr id="1" name="Chart 6"/>
        <xdr:cNvGraphicFramePr/>
      </xdr:nvGraphicFramePr>
      <xdr:xfrm>
        <a:off x="95250" y="10277475"/>
        <a:ext cx="63531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W1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8515625" style="7" customWidth="1"/>
    <col min="2" max="2" width="15.140625" style="5" customWidth="1"/>
    <col min="3" max="3" width="13.57421875" style="5" customWidth="1"/>
    <col min="4" max="4" width="10.28125" style="6" bestFit="1" customWidth="1"/>
    <col min="5" max="5" width="5.421875" style="7" customWidth="1"/>
    <col min="6" max="6" width="9.8515625" style="7" customWidth="1"/>
    <col min="7" max="7" width="11.7109375" style="7" customWidth="1"/>
    <col min="8" max="8" width="14.57421875" style="7" customWidth="1"/>
    <col min="9" max="9" width="11.7109375" style="7" customWidth="1"/>
    <col min="10" max="10" width="11.140625" style="7" customWidth="1"/>
    <col min="11" max="11" width="10.421875" style="7" customWidth="1"/>
    <col min="12" max="12" width="13.7109375" style="7" customWidth="1"/>
    <col min="13" max="13" width="10.421875" style="7" bestFit="1" customWidth="1"/>
    <col min="14" max="73" width="9.140625" style="7" customWidth="1"/>
    <col min="74" max="74" width="11.28125" style="7" bestFit="1" customWidth="1"/>
    <col min="75" max="16384" width="9.140625" style="7" customWidth="1"/>
  </cols>
  <sheetData>
    <row r="1" spans="1:75" ht="12.75">
      <c r="A1" s="4" t="s">
        <v>77</v>
      </c>
      <c r="BV1" s="8"/>
      <c r="BW1" s="8"/>
    </row>
    <row r="2" spans="1:75" ht="12.75">
      <c r="A2" s="4" t="s">
        <v>76</v>
      </c>
      <c r="F2" s="9" t="s">
        <v>29</v>
      </c>
      <c r="G2" s="10"/>
      <c r="H2" s="10"/>
      <c r="I2" s="10"/>
      <c r="J2" s="11"/>
      <c r="BV2" s="8"/>
      <c r="BW2" s="8"/>
    </row>
    <row r="3" spans="2:75" ht="12.75">
      <c r="B3" s="12"/>
      <c r="C3" s="12"/>
      <c r="F3" s="13"/>
      <c r="G3" s="14" t="s">
        <v>61</v>
      </c>
      <c r="H3" s="14" t="s">
        <v>60</v>
      </c>
      <c r="I3" s="14" t="s">
        <v>62</v>
      </c>
      <c r="J3" s="15" t="s">
        <v>63</v>
      </c>
      <c r="BV3" s="8"/>
      <c r="BW3" s="8"/>
    </row>
    <row r="4" spans="1:75" ht="12.75">
      <c r="A4" s="16" t="s">
        <v>73</v>
      </c>
      <c r="B4" s="12"/>
      <c r="C4" s="12"/>
      <c r="F4" s="17" t="s">
        <v>18</v>
      </c>
      <c r="G4" s="18">
        <v>400</v>
      </c>
      <c r="H4" s="18">
        <v>60000</v>
      </c>
      <c r="I4" s="19">
        <v>1.4599999999999998E-07</v>
      </c>
      <c r="J4" s="20">
        <v>3.53E-08</v>
      </c>
      <c r="BV4" s="8"/>
      <c r="BW4" s="8"/>
    </row>
    <row r="5" spans="1:75" ht="12.75">
      <c r="A5" s="21" t="s">
        <v>69</v>
      </c>
      <c r="B5" s="12"/>
      <c r="C5" s="12"/>
      <c r="F5" s="13" t="s">
        <v>14</v>
      </c>
      <c r="G5" s="18">
        <v>253</v>
      </c>
      <c r="H5" s="18">
        <v>32300</v>
      </c>
      <c r="I5" s="19">
        <v>1.08E-07</v>
      </c>
      <c r="J5" s="20">
        <v>3.94E-08</v>
      </c>
      <c r="BV5" s="8"/>
      <c r="BW5" s="8"/>
    </row>
    <row r="6" spans="1:75" ht="12.75">
      <c r="A6" s="21" t="s">
        <v>70</v>
      </c>
      <c r="B6" s="12"/>
      <c r="C6" s="12"/>
      <c r="F6" s="17" t="s">
        <v>17</v>
      </c>
      <c r="G6" s="18">
        <v>539</v>
      </c>
      <c r="H6" s="18">
        <v>53200</v>
      </c>
      <c r="I6" s="19">
        <v>6.440000000000001E-08</v>
      </c>
      <c r="J6" s="20">
        <v>6.28E-08</v>
      </c>
      <c r="BV6" s="8"/>
      <c r="BW6" s="8"/>
    </row>
    <row r="7" spans="1:75" ht="12.75">
      <c r="A7" s="21" t="s">
        <v>71</v>
      </c>
      <c r="B7" s="12"/>
      <c r="C7" s="12"/>
      <c r="F7" s="22" t="s">
        <v>20</v>
      </c>
      <c r="G7" s="23">
        <v>394</v>
      </c>
      <c r="H7" s="23">
        <v>81600</v>
      </c>
      <c r="I7" s="24">
        <v>4.95E-08</v>
      </c>
      <c r="J7" s="25">
        <v>7.85E-09</v>
      </c>
      <c r="BV7" s="8"/>
      <c r="BW7" s="8"/>
    </row>
    <row r="8" spans="1:75" ht="12.75">
      <c r="A8" s="21" t="s">
        <v>72</v>
      </c>
      <c r="B8" s="12"/>
      <c r="C8" s="12"/>
      <c r="BV8" s="8"/>
      <c r="BW8" s="8"/>
    </row>
    <row r="9" spans="1:75" ht="12.75">
      <c r="A9" s="21"/>
      <c r="B9" s="12"/>
      <c r="C9" s="12"/>
      <c r="BV9" s="8"/>
      <c r="BW9" s="8"/>
    </row>
    <row r="10" spans="1:75" ht="12.75">
      <c r="A10" s="4"/>
      <c r="F10" s="9" t="s">
        <v>64</v>
      </c>
      <c r="G10" s="26"/>
      <c r="H10" s="11"/>
      <c r="BV10" s="8"/>
      <c r="BW10" s="8"/>
    </row>
    <row r="11" spans="1:75" ht="12.75">
      <c r="A11" s="4" t="s">
        <v>0</v>
      </c>
      <c r="B11" s="27" t="s">
        <v>1</v>
      </c>
      <c r="C11" s="27" t="s">
        <v>2</v>
      </c>
      <c r="F11" s="17"/>
      <c r="G11" s="14" t="s">
        <v>60</v>
      </c>
      <c r="H11" s="28" t="s">
        <v>75</v>
      </c>
      <c r="BV11" s="8"/>
      <c r="BW11" s="8"/>
    </row>
    <row r="12" spans="1:75" ht="12.75">
      <c r="A12" s="16" t="s">
        <v>3</v>
      </c>
      <c r="B12" s="8"/>
      <c r="C12" s="8"/>
      <c r="F12" s="17" t="s">
        <v>8</v>
      </c>
      <c r="G12" s="18">
        <f>2*10^6</f>
        <v>2000000</v>
      </c>
      <c r="H12" s="29">
        <f>G12/2000000</f>
        <v>1</v>
      </c>
      <c r="BV12" s="8"/>
      <c r="BW12" s="8"/>
    </row>
    <row r="13" spans="1:75" s="21" customFormat="1" ht="12.75">
      <c r="A13" s="21" t="s">
        <v>4</v>
      </c>
      <c r="B13" s="1">
        <v>10</v>
      </c>
      <c r="C13" s="12">
        <v>3</v>
      </c>
      <c r="D13" s="31" t="s">
        <v>5</v>
      </c>
      <c r="F13" s="17" t="s">
        <v>65</v>
      </c>
      <c r="G13" s="18">
        <v>500000</v>
      </c>
      <c r="H13" s="29">
        <f>G13/2000000</f>
        <v>0.25</v>
      </c>
      <c r="I13" s="7"/>
      <c r="J13" s="7"/>
      <c r="K13" s="7"/>
      <c r="L13" s="7"/>
      <c r="BV13" s="12"/>
      <c r="BW13" s="12"/>
    </row>
    <row r="14" spans="1:75" s="21" customFormat="1" ht="12.75">
      <c r="A14" s="21" t="s">
        <v>7</v>
      </c>
      <c r="B14" s="1">
        <v>8.5</v>
      </c>
      <c r="C14" s="12">
        <v>1.0625</v>
      </c>
      <c r="D14" s="31" t="s">
        <v>5</v>
      </c>
      <c r="F14" s="22" t="s">
        <v>10</v>
      </c>
      <c r="G14" s="23">
        <v>200</v>
      </c>
      <c r="H14" s="32">
        <f>G14/2000000</f>
        <v>0.0001</v>
      </c>
      <c r="BV14" s="12"/>
      <c r="BW14" s="12"/>
    </row>
    <row r="15" spans="1:75" s="21" customFormat="1" ht="12.75">
      <c r="A15" s="21" t="s">
        <v>13</v>
      </c>
      <c r="B15" s="1">
        <v>7.8</v>
      </c>
      <c r="C15" s="12">
        <v>0.45</v>
      </c>
      <c r="D15" s="31" t="s">
        <v>5</v>
      </c>
      <c r="BV15" s="12"/>
      <c r="BW15" s="12"/>
    </row>
    <row r="16" spans="1:75" s="21" customFormat="1" ht="12.75">
      <c r="A16" s="21" t="s">
        <v>15</v>
      </c>
      <c r="B16" s="2">
        <v>1000</v>
      </c>
      <c r="C16" s="12">
        <f>4/12</f>
        <v>0.3333333333333333</v>
      </c>
      <c r="D16" s="31" t="s">
        <v>16</v>
      </c>
      <c r="BV16" s="12"/>
      <c r="BW16" s="12"/>
    </row>
    <row r="17" spans="2:75" s="21" customFormat="1" ht="12.75">
      <c r="B17" s="30"/>
      <c r="C17" s="30"/>
      <c r="D17" s="31"/>
      <c r="F17" s="9" t="s">
        <v>2</v>
      </c>
      <c r="G17" s="10"/>
      <c r="H17" s="10"/>
      <c r="I17" s="10"/>
      <c r="J17" s="10"/>
      <c r="K17" s="33"/>
      <c r="L17" s="34"/>
      <c r="BV17" s="12"/>
      <c r="BW17" s="12"/>
    </row>
    <row r="18" spans="1:75" s="21" customFormat="1" ht="12.75">
      <c r="A18" s="16" t="s">
        <v>19</v>
      </c>
      <c r="B18" s="30"/>
      <c r="C18" s="30"/>
      <c r="D18" s="31"/>
      <c r="F18" s="35" t="s">
        <v>6</v>
      </c>
      <c r="G18" s="36"/>
      <c r="H18" s="36"/>
      <c r="I18" s="36"/>
      <c r="J18" s="36"/>
      <c r="K18" s="37"/>
      <c r="L18" s="34"/>
      <c r="BV18" s="12"/>
      <c r="BW18" s="12"/>
    </row>
    <row r="19" spans="1:75" s="21" customFormat="1" ht="12.75">
      <c r="A19" s="7" t="s">
        <v>21</v>
      </c>
      <c r="B19" s="3" t="s">
        <v>20</v>
      </c>
      <c r="F19" s="13"/>
      <c r="G19" s="38" t="s">
        <v>8</v>
      </c>
      <c r="H19" s="38" t="s">
        <v>9</v>
      </c>
      <c r="I19" s="38" t="s">
        <v>10</v>
      </c>
      <c r="J19" s="38" t="s">
        <v>11</v>
      </c>
      <c r="K19" s="39" t="s">
        <v>12</v>
      </c>
      <c r="L19" s="40"/>
      <c r="BV19" s="12"/>
      <c r="BW19" s="12"/>
    </row>
    <row r="20" spans="1:75" s="21" customFormat="1" ht="12.75">
      <c r="A20" s="7" t="s">
        <v>22</v>
      </c>
      <c r="B20" s="3" t="s">
        <v>8</v>
      </c>
      <c r="C20" s="12"/>
      <c r="D20" s="31"/>
      <c r="F20" s="13" t="s">
        <v>18</v>
      </c>
      <c r="G20" s="41">
        <v>162224</v>
      </c>
      <c r="H20" s="41">
        <v>28627.763055836993</v>
      </c>
      <c r="I20" s="41">
        <v>13359.622759390597</v>
      </c>
      <c r="J20" s="36">
        <v>12</v>
      </c>
      <c r="K20" s="42">
        <f>$C$39*J20/231</f>
        <v>1.2845594961411186</v>
      </c>
      <c r="L20" s="43"/>
      <c r="BV20" s="12"/>
      <c r="BW20" s="12"/>
    </row>
    <row r="21" spans="1:75" s="21" customFormat="1" ht="12.75">
      <c r="A21" s="21" t="s">
        <v>11</v>
      </c>
      <c r="B21" s="44">
        <f>IF(B19="Bead",J20,IF(B19="Foam",J21,IF(B19="Latex",J22,IF(B19="Type 1",J23,CHAR(32)))))</f>
        <v>15.6</v>
      </c>
      <c r="C21" s="44">
        <f>IF(B19="Bead",J20,IF(B19="Foam",J21,IF(B19="Latex",J22,IF(B19="Type 1",J23,CHAR(32)))))</f>
        <v>15.6</v>
      </c>
      <c r="D21" s="31" t="s">
        <v>23</v>
      </c>
      <c r="F21" s="13" t="s">
        <v>14</v>
      </c>
      <c r="G21" s="41">
        <v>95426</v>
      </c>
      <c r="H21" s="41">
        <v>54074.663549914316</v>
      </c>
      <c r="I21" s="41">
        <v>9542.587685278997</v>
      </c>
      <c r="J21" s="36">
        <v>12</v>
      </c>
      <c r="K21" s="42">
        <f>$C$39*J21/231</f>
        <v>1.2845594961411186</v>
      </c>
      <c r="L21" s="43"/>
      <c r="BV21" s="12"/>
      <c r="BW21" s="12"/>
    </row>
    <row r="22" spans="1:75" s="21" customFormat="1" ht="12.75">
      <c r="A22" s="21" t="s">
        <v>24</v>
      </c>
      <c r="B22" s="45">
        <f>IF(B19="Foam",G5,IF(B19="Latex",G6,IF(B19="Bead",G4,IF(B19="Type 1",G7,CHAR(32)))))</f>
        <v>394</v>
      </c>
      <c r="C22" s="45">
        <f>IF(B19="Foam",G5,IF(B19="Latex",G6,IF(B19="Bead",G4,IF(B19="Type 1",G7,CHAR(32)))))</f>
        <v>394</v>
      </c>
      <c r="D22" s="31" t="s">
        <v>25</v>
      </c>
      <c r="F22" s="13" t="s">
        <v>17</v>
      </c>
      <c r="G22" s="41">
        <v>149501</v>
      </c>
      <c r="H22" s="41">
        <v>17812.83034585413</v>
      </c>
      <c r="I22" s="41">
        <v>6361.725123519332</v>
      </c>
      <c r="J22" s="36">
        <v>15.6</v>
      </c>
      <c r="K22" s="42">
        <f>$C$39*J22/231</f>
        <v>1.6699273449834544</v>
      </c>
      <c r="L22" s="43"/>
      <c r="BV22" s="12"/>
      <c r="BW22" s="12"/>
    </row>
    <row r="23" spans="1:75" s="21" customFormat="1" ht="12.75">
      <c r="A23" s="21" t="s">
        <v>26</v>
      </c>
      <c r="B23" s="45">
        <f>IF(B19="Foam",H5,IF(B19="Latex",H6,IF(B19="Bead",H4,IF(B19="Type 1",H7,CHAR(32)))))</f>
        <v>81600</v>
      </c>
      <c r="C23" s="45">
        <f>IF(B19="Foam",H5,IF(B19="Latex",H6,IF(B19="Bead",H4,IF(B19="Type 1",H7,CHAR(32)))))</f>
        <v>81600</v>
      </c>
      <c r="D23" s="31" t="s">
        <v>25</v>
      </c>
      <c r="F23" s="46" t="s">
        <v>20</v>
      </c>
      <c r="G23" s="47">
        <v>222660</v>
      </c>
      <c r="H23" s="47">
        <v>17812.83034585413</v>
      </c>
      <c r="I23" s="47">
        <v>9542.587685278997</v>
      </c>
      <c r="J23" s="48">
        <v>15.6</v>
      </c>
      <c r="K23" s="49">
        <f>$C$39*J23/231</f>
        <v>1.6699273449834544</v>
      </c>
      <c r="L23" s="43"/>
      <c r="BV23" s="12"/>
      <c r="BW23" s="12"/>
    </row>
    <row r="24" spans="1:75" s="21" customFormat="1" ht="12.75">
      <c r="A24" s="21" t="s">
        <v>59</v>
      </c>
      <c r="B24" s="50">
        <f>IF(B19="Foam",I5,IF(B19="Latex",I6,IF(B19="Bead",I4,IF(B19="Type 1",I7,CHAR(32)))))</f>
        <v>4.95E-08</v>
      </c>
      <c r="C24" s="50">
        <f>IF(B19="Foam",I5,IF(B19="Latex",I6,IF(B19="Bead",I4,IF(B19="Type 1",I7,CHAR(32)))))</f>
        <v>4.95E-08</v>
      </c>
      <c r="D24" s="31"/>
      <c r="F24" s="51"/>
      <c r="BV24" s="12"/>
      <c r="BW24" s="12"/>
    </row>
    <row r="25" spans="74:75" s="21" customFormat="1" ht="12.75">
      <c r="BV25" s="12"/>
      <c r="BW25" s="12"/>
    </row>
    <row r="26" spans="1:75" s="21" customFormat="1" ht="12.75">
      <c r="A26" s="16" t="s">
        <v>27</v>
      </c>
      <c r="B26" s="30"/>
      <c r="C26" s="12"/>
      <c r="D26" s="31"/>
      <c r="F26" s="9" t="s">
        <v>44</v>
      </c>
      <c r="G26" s="10"/>
      <c r="H26" s="33"/>
      <c r="I26" s="7"/>
      <c r="J26" s="52"/>
      <c r="K26" s="7"/>
      <c r="L26" s="7"/>
      <c r="P26" s="7"/>
      <c r="Q26" s="7"/>
      <c r="BV26" s="12"/>
      <c r="BW26" s="12"/>
    </row>
    <row r="27" spans="1:75" s="21" customFormat="1" ht="12.75">
      <c r="A27" s="21" t="s">
        <v>26</v>
      </c>
      <c r="B27" s="45">
        <f>IF(B20="Hard",G12,IF(B20="Int",G13,IF(B20="Soft",G14)))</f>
        <v>2000000</v>
      </c>
      <c r="C27" s="45">
        <f>IF(B20="Hard",G12,IF(B20="Int",G13,IF(B20="Soft",G14)))</f>
        <v>2000000</v>
      </c>
      <c r="D27" s="31" t="s">
        <v>25</v>
      </c>
      <c r="F27" s="17"/>
      <c r="G27" s="34"/>
      <c r="H27" s="53"/>
      <c r="I27" s="38"/>
      <c r="J27" s="38"/>
      <c r="K27" s="40"/>
      <c r="BV27" s="12"/>
      <c r="BW27" s="12"/>
    </row>
    <row r="28" spans="6:75" s="21" customFormat="1" ht="12.75">
      <c r="F28" s="17" t="s">
        <v>45</v>
      </c>
      <c r="G28" s="54">
        <f>8.02*10^-6</f>
        <v>8.02E-06</v>
      </c>
      <c r="H28" s="53"/>
      <c r="I28" s="18"/>
      <c r="J28" s="34"/>
      <c r="K28" s="34"/>
      <c r="BV28" s="12"/>
      <c r="BW28" s="12"/>
    </row>
    <row r="29" spans="1:75" s="21" customFormat="1" ht="12.75">
      <c r="A29" s="4" t="s">
        <v>28</v>
      </c>
      <c r="B29" s="12"/>
      <c r="C29" s="12"/>
      <c r="D29" s="31"/>
      <c r="F29" s="55" t="s">
        <v>48</v>
      </c>
      <c r="G29" s="36">
        <v>2.1304</v>
      </c>
      <c r="H29" s="53"/>
      <c r="I29" s="18"/>
      <c r="J29" s="34"/>
      <c r="K29" s="34"/>
      <c r="BV29" s="12"/>
      <c r="BW29" s="12"/>
    </row>
    <row r="30" spans="1:75" s="21" customFormat="1" ht="12.75">
      <c r="A30" s="7" t="s">
        <v>30</v>
      </c>
      <c r="B30" s="5">
        <f aca="true" t="shared" si="0" ref="B30:C32">B13/2</f>
        <v>5</v>
      </c>
      <c r="C30" s="5">
        <f t="shared" si="0"/>
        <v>1.5</v>
      </c>
      <c r="D30" s="6" t="s">
        <v>5</v>
      </c>
      <c r="F30" s="56"/>
      <c r="G30" s="36"/>
      <c r="H30" s="57"/>
      <c r="I30" s="18"/>
      <c r="J30" s="43"/>
      <c r="K30" s="34"/>
      <c r="BV30" s="12"/>
      <c r="BW30" s="12"/>
    </row>
    <row r="31" spans="1:75" s="21" customFormat="1" ht="12.75">
      <c r="A31" s="7" t="s">
        <v>31</v>
      </c>
      <c r="B31" s="5">
        <f t="shared" si="0"/>
        <v>4.25</v>
      </c>
      <c r="C31" s="5">
        <f t="shared" si="0"/>
        <v>0.53125</v>
      </c>
      <c r="D31" s="6" t="s">
        <v>5</v>
      </c>
      <c r="F31" s="58" t="s">
        <v>51</v>
      </c>
      <c r="G31" s="59" t="s">
        <v>74</v>
      </c>
      <c r="H31" s="37"/>
      <c r="I31" s="18"/>
      <c r="J31" s="43"/>
      <c r="K31" s="34"/>
      <c r="BV31" s="12"/>
      <c r="BW31" s="12"/>
    </row>
    <row r="32" spans="1:75" s="21" customFormat="1" ht="12.75">
      <c r="A32" s="7" t="s">
        <v>32</v>
      </c>
      <c r="B32" s="5">
        <f t="shared" si="0"/>
        <v>3.9</v>
      </c>
      <c r="C32" s="5">
        <f t="shared" si="0"/>
        <v>0.225</v>
      </c>
      <c r="D32" s="6" t="s">
        <v>5</v>
      </c>
      <c r="F32" s="60">
        <v>94.24503309956745</v>
      </c>
      <c r="G32" s="61">
        <f aca="true" t="shared" si="1" ref="G32:G49">(F32^$G$29)*$G$28</f>
        <v>0.1288648924228601</v>
      </c>
      <c r="H32" s="37"/>
      <c r="I32" s="34"/>
      <c r="J32" s="43"/>
      <c r="K32" s="34"/>
      <c r="BV32" s="12"/>
      <c r="BW32" s="12"/>
    </row>
    <row r="33" spans="1:75" s="21" customFormat="1" ht="12.75">
      <c r="A33" s="7" t="s">
        <v>33</v>
      </c>
      <c r="B33" s="5">
        <f>PI()*(B31^2-B32^2)</f>
        <v>8.961393044364888</v>
      </c>
      <c r="C33" s="5">
        <f>PI()*(C31^2-C32^2)</f>
        <v>0.7275977673099173</v>
      </c>
      <c r="D33" s="6" t="s">
        <v>34</v>
      </c>
      <c r="F33" s="60">
        <v>141.3675496493512</v>
      </c>
      <c r="G33" s="61">
        <f t="shared" si="1"/>
        <v>0.3056887343584949</v>
      </c>
      <c r="H33" s="37"/>
      <c r="BV33" s="12"/>
      <c r="BW33" s="12"/>
    </row>
    <row r="34" spans="1:75" s="21" customFormat="1" ht="12.75">
      <c r="A34" s="7" t="s">
        <v>35</v>
      </c>
      <c r="B34" s="5">
        <f>PI()*B32^2</f>
        <v>47.78362426110075</v>
      </c>
      <c r="C34" s="5">
        <f>PI()*C32^2</f>
        <v>0.1590431280879833</v>
      </c>
      <c r="D34" s="6" t="s">
        <v>34</v>
      </c>
      <c r="E34" s="12"/>
      <c r="F34" s="60">
        <v>183.77781454415654</v>
      </c>
      <c r="G34" s="61">
        <f t="shared" si="1"/>
        <v>0.5345943341163966</v>
      </c>
      <c r="H34" s="37"/>
      <c r="I34" s="38"/>
      <c r="J34" s="38"/>
      <c r="K34" s="62"/>
      <c r="L34" s="62"/>
      <c r="BV34" s="12"/>
      <c r="BW34" s="12"/>
    </row>
    <row r="35" spans="1:75" s="21" customFormat="1" ht="12.75">
      <c r="A35" s="7" t="s">
        <v>36</v>
      </c>
      <c r="B35" s="5">
        <f>B34*B16*12</f>
        <v>573403.491133209</v>
      </c>
      <c r="C35" s="5">
        <f>C34*C16*12</f>
        <v>0.6361725123519332</v>
      </c>
      <c r="D35" s="6" t="s">
        <v>37</v>
      </c>
      <c r="F35" s="60">
        <v>257.2889403618192</v>
      </c>
      <c r="G35" s="61">
        <f t="shared" si="1"/>
        <v>1.094801840381491</v>
      </c>
      <c r="H35" s="37"/>
      <c r="I35" s="61"/>
      <c r="J35" s="34"/>
      <c r="BV35" s="12"/>
      <c r="BW35" s="12"/>
    </row>
    <row r="36" spans="1:75" s="21" customFormat="1" ht="12.75">
      <c r="A36" s="7" t="s">
        <v>38</v>
      </c>
      <c r="B36" s="5">
        <f>B27/2000000</f>
        <v>1</v>
      </c>
      <c r="C36" s="5">
        <f>C27/2000000</f>
        <v>1</v>
      </c>
      <c r="D36" s="6"/>
      <c r="F36" s="63">
        <v>263.8860926787889</v>
      </c>
      <c r="G36" s="61">
        <f t="shared" si="1"/>
        <v>1.1554737549656697</v>
      </c>
      <c r="H36" s="37"/>
      <c r="I36" s="61"/>
      <c r="J36" s="34"/>
      <c r="BV36" s="12"/>
      <c r="BW36" s="12"/>
    </row>
    <row r="37" spans="1:75" s="21" customFormat="1" ht="12.75">
      <c r="A37" s="7" t="s">
        <v>39</v>
      </c>
      <c r="B37" s="5">
        <f>(B13/2)-B31</f>
        <v>0.75</v>
      </c>
      <c r="C37" s="5">
        <f>C30-C31</f>
        <v>0.96875</v>
      </c>
      <c r="D37" s="6" t="s">
        <v>5</v>
      </c>
      <c r="F37" s="63">
        <v>263.8860926787889</v>
      </c>
      <c r="G37" s="61">
        <f t="shared" si="1"/>
        <v>1.1554737549656697</v>
      </c>
      <c r="H37" s="37"/>
      <c r="I37" s="61"/>
      <c r="J37" s="43"/>
      <c r="BV37" s="12"/>
      <c r="BW37" s="12"/>
    </row>
    <row r="38" spans="1:75" s="21" customFormat="1" ht="12.75">
      <c r="A38" s="7" t="s">
        <v>40</v>
      </c>
      <c r="B38" s="5">
        <f>PI()*(B13^2-B14^2)/4</f>
        <v>21.79479903427919</v>
      </c>
      <c r="C38" s="5">
        <f>PI()*(C30^2-C31^2)</f>
        <v>6.181942575179134</v>
      </c>
      <c r="D38" s="6" t="s">
        <v>34</v>
      </c>
      <c r="F38" s="60">
        <v>551.3334436324697</v>
      </c>
      <c r="G38" s="61">
        <f t="shared" si="1"/>
        <v>5.552434865658979</v>
      </c>
      <c r="H38" s="37"/>
      <c r="I38" s="61"/>
      <c r="J38" s="43"/>
      <c r="BV38" s="12"/>
      <c r="BW38" s="12"/>
    </row>
    <row r="39" spans="1:75" s="21" customFormat="1" ht="12.75">
      <c r="A39" s="7" t="s">
        <v>41</v>
      </c>
      <c r="B39" s="64">
        <f>B38*B16*12</f>
        <v>261537.58841135027</v>
      </c>
      <c r="C39" s="64">
        <f>C38*C16*12</f>
        <v>24.727770300716536</v>
      </c>
      <c r="D39" s="6" t="s">
        <v>37</v>
      </c>
      <c r="F39" s="60">
        <v>1041.4076157502202</v>
      </c>
      <c r="G39" s="61">
        <f t="shared" si="1"/>
        <v>21.523535583330823</v>
      </c>
      <c r="H39" s="37"/>
      <c r="I39" s="65"/>
      <c r="J39" s="43"/>
      <c r="BV39" s="66"/>
      <c r="BW39" s="12"/>
    </row>
    <row r="40" spans="1:75" ht="12.75">
      <c r="A40" s="7" t="s">
        <v>42</v>
      </c>
      <c r="B40" s="67">
        <f>B39*B21/231</f>
        <v>17662.27869790937</v>
      </c>
      <c r="C40" s="64">
        <f>C39*C21/231</f>
        <v>1.6699273449834544</v>
      </c>
      <c r="D40" s="6" t="s">
        <v>43</v>
      </c>
      <c r="F40" s="60">
        <v>1837.780517096495</v>
      </c>
      <c r="G40" s="61">
        <f t="shared" si="1"/>
        <v>72.18144061802226</v>
      </c>
      <c r="H40" s="53"/>
      <c r="I40" s="65"/>
      <c r="J40" s="68"/>
      <c r="K40" s="21"/>
      <c r="L40" s="21"/>
      <c r="P40" s="21"/>
      <c r="Q40" s="21"/>
      <c r="T40" s="6"/>
      <c r="U40" s="6"/>
      <c r="V40" s="6"/>
      <c r="W40" s="6"/>
      <c r="X40" s="6"/>
      <c r="Y40" s="6"/>
      <c r="BV40" s="69"/>
      <c r="BW40" s="5"/>
    </row>
    <row r="41" spans="6:75" ht="12.75">
      <c r="F41" s="60">
        <v>2214.765086490241</v>
      </c>
      <c r="G41" s="61">
        <f t="shared" si="1"/>
        <v>107.41388722572715</v>
      </c>
      <c r="H41" s="53"/>
      <c r="I41" s="65"/>
      <c r="J41" s="70"/>
      <c r="K41" s="21"/>
      <c r="L41" s="21"/>
      <c r="P41" s="21"/>
      <c r="Q41" s="21"/>
      <c r="X41" s="67"/>
      <c r="Y41" s="67"/>
      <c r="BV41" s="69"/>
      <c r="BW41" s="5"/>
    </row>
    <row r="42" spans="1:75" ht="12.75">
      <c r="A42" s="7" t="s">
        <v>46</v>
      </c>
      <c r="C42" s="71">
        <f>IF(B20="Hard",VLOOKUP(B19,F20:J23,2),IF(B20="Int",VLOOKUP(B19,F20:J23,3),IF(B20="Soft",VLOOKUP(B19,F20:J23,4),CHAR(32))))</f>
        <v>222660</v>
      </c>
      <c r="D42" s="6" t="s">
        <v>47</v>
      </c>
      <c r="F42" s="60">
        <v>3124.2230273244377</v>
      </c>
      <c r="G42" s="61">
        <f t="shared" si="1"/>
        <v>223.54902858684733</v>
      </c>
      <c r="H42" s="53"/>
      <c r="I42" s="65"/>
      <c r="J42" s="70"/>
      <c r="K42" s="21"/>
      <c r="L42" s="21"/>
      <c r="P42" s="21"/>
      <c r="Q42" s="21"/>
      <c r="X42" s="67"/>
      <c r="Y42" s="67"/>
      <c r="BV42" s="69"/>
      <c r="BW42" s="5"/>
    </row>
    <row r="43" spans="1:75" ht="12.75">
      <c r="A43" s="7" t="s">
        <v>49</v>
      </c>
      <c r="C43" s="72">
        <f>C42*C30/(C40*C33*1000)</f>
        <v>274.8808782538339</v>
      </c>
      <c r="F43" s="60">
        <v>3298.570539046007</v>
      </c>
      <c r="G43" s="61">
        <f t="shared" si="1"/>
        <v>250.96641159362343</v>
      </c>
      <c r="H43" s="53"/>
      <c r="I43" s="69"/>
      <c r="J43" s="70"/>
      <c r="K43" s="21"/>
      <c r="L43" s="21"/>
      <c r="P43" s="21"/>
      <c r="Q43" s="21"/>
      <c r="X43" s="67"/>
      <c r="Y43" s="67"/>
      <c r="BV43" s="69"/>
      <c r="BW43" s="5"/>
    </row>
    <row r="44" spans="1:75" ht="12.75">
      <c r="A44" s="7" t="s">
        <v>50</v>
      </c>
      <c r="C44" s="73">
        <f>100*C36*C39*C22/(C42*C23*C24)</f>
        <v>1083.287214126041</v>
      </c>
      <c r="F44" s="13">
        <v>3500</v>
      </c>
      <c r="G44" s="61">
        <f t="shared" si="1"/>
        <v>284.74553971461586</v>
      </c>
      <c r="H44" s="53"/>
      <c r="I44" s="21"/>
      <c r="J44" s="70"/>
      <c r="K44" s="21"/>
      <c r="L44" s="21"/>
      <c r="P44" s="21"/>
      <c r="Q44" s="21"/>
      <c r="BV44" s="69"/>
      <c r="BW44" s="5"/>
    </row>
    <row r="45" spans="6:75" ht="12.75">
      <c r="F45" s="13">
        <v>4000</v>
      </c>
      <c r="G45" s="61">
        <f t="shared" si="1"/>
        <v>378.4451760922097</v>
      </c>
      <c r="H45" s="53"/>
      <c r="J45" s="31"/>
      <c r="K45" s="31"/>
      <c r="L45" s="31"/>
      <c r="P45" s="31"/>
      <c r="Q45" s="31"/>
      <c r="BV45" s="69"/>
      <c r="BW45" s="5"/>
    </row>
    <row r="46" spans="1:75" ht="12.75">
      <c r="A46" s="7" t="s">
        <v>52</v>
      </c>
      <c r="B46" s="74">
        <f>SUM(C52:C61)</f>
        <v>14335087278.330225</v>
      </c>
      <c r="D46" s="6" t="s">
        <v>47</v>
      </c>
      <c r="F46" s="13">
        <v>4500</v>
      </c>
      <c r="G46" s="61">
        <f t="shared" si="1"/>
        <v>486.38291097567026</v>
      </c>
      <c r="H46" s="53"/>
      <c r="I46" s="6"/>
      <c r="J46" s="31"/>
      <c r="K46" s="31"/>
      <c r="L46" s="31"/>
      <c r="P46" s="31"/>
      <c r="Q46" s="31"/>
      <c r="BV46" s="69"/>
      <c r="BW46" s="5"/>
    </row>
    <row r="47" spans="1:75" ht="12.75">
      <c r="A47" s="75" t="s">
        <v>53</v>
      </c>
      <c r="B47" s="76">
        <f>B46*B30/(B40*B33*1000)</f>
        <v>452.84344610461335</v>
      </c>
      <c r="F47" s="13">
        <v>5000</v>
      </c>
      <c r="G47" s="61">
        <f t="shared" si="1"/>
        <v>608.7795643636518</v>
      </c>
      <c r="H47" s="53"/>
      <c r="I47" s="77"/>
      <c r="J47" s="21"/>
      <c r="K47" s="21"/>
      <c r="L47" s="21"/>
      <c r="P47" s="21"/>
      <c r="Q47" s="21"/>
      <c r="R47" s="36"/>
      <c r="S47" s="36"/>
      <c r="T47" s="36"/>
      <c r="U47" s="36"/>
      <c r="BV47" s="69"/>
      <c r="BW47" s="5"/>
    </row>
    <row r="48" spans="1:75" ht="12.75">
      <c r="A48" s="75" t="s">
        <v>54</v>
      </c>
      <c r="B48" s="78">
        <f>IF(B46=0,0,(100*B$36*B39*$B22)/($B46*$B23*$B$24))</f>
        <v>177.96501582323606</v>
      </c>
      <c r="F48" s="13">
        <v>5500</v>
      </c>
      <c r="G48" s="61">
        <f t="shared" si="1"/>
        <v>745.8354846789135</v>
      </c>
      <c r="H48" s="53"/>
      <c r="I48" s="77"/>
      <c r="J48" s="21"/>
      <c r="K48" s="21"/>
      <c r="L48" s="21"/>
      <c r="P48" s="21"/>
      <c r="Q48" s="21"/>
      <c r="R48" s="36"/>
      <c r="S48" s="36"/>
      <c r="T48" s="36"/>
      <c r="U48" s="36"/>
      <c r="BV48" s="69"/>
      <c r="BW48" s="5"/>
    </row>
    <row r="49" spans="6:75" ht="12.75">
      <c r="F49" s="13">
        <v>6000</v>
      </c>
      <c r="G49" s="61">
        <f t="shared" si="1"/>
        <v>897.7342449803127</v>
      </c>
      <c r="H49" s="53"/>
      <c r="I49" s="77"/>
      <c r="J49" s="21"/>
      <c r="K49" s="21"/>
      <c r="L49" s="21"/>
      <c r="P49" s="21"/>
      <c r="Q49" s="21"/>
      <c r="R49" s="36"/>
      <c r="S49" s="36"/>
      <c r="T49" s="36"/>
      <c r="U49" s="36"/>
      <c r="BV49" s="69"/>
      <c r="BW49" s="5"/>
    </row>
    <row r="50" spans="1:75" ht="12.75">
      <c r="A50" s="16" t="s">
        <v>55</v>
      </c>
      <c r="D50" s="65"/>
      <c r="F50" s="13"/>
      <c r="G50" s="36"/>
      <c r="H50" s="79"/>
      <c r="I50" s="77"/>
      <c r="J50" s="21"/>
      <c r="K50" s="21"/>
      <c r="L50" s="21"/>
      <c r="P50" s="21"/>
      <c r="Q50" s="21"/>
      <c r="R50" s="36"/>
      <c r="S50" s="36"/>
      <c r="T50" s="36"/>
      <c r="U50" s="36"/>
      <c r="BV50" s="69"/>
      <c r="BW50" s="5"/>
    </row>
    <row r="51" spans="1:75" ht="38.25">
      <c r="A51" s="80" t="s">
        <v>56</v>
      </c>
      <c r="B51" s="81" t="s">
        <v>57</v>
      </c>
      <c r="C51" s="81" t="s">
        <v>58</v>
      </c>
      <c r="D51" s="65"/>
      <c r="E51" s="70"/>
      <c r="F51" s="82">
        <f>B47</f>
        <v>452.84344610461335</v>
      </c>
      <c r="G51" s="83">
        <f>B48</f>
        <v>177.96501582323606</v>
      </c>
      <c r="H51" s="84" t="s">
        <v>68</v>
      </c>
      <c r="R51" s="36"/>
      <c r="S51" s="36"/>
      <c r="T51" s="36"/>
      <c r="U51" s="36"/>
      <c r="BV51" s="69"/>
      <c r="BW51" s="5"/>
    </row>
    <row r="52" spans="1:75" ht="12.75">
      <c r="A52" s="69">
        <v>1000</v>
      </c>
      <c r="B52" s="2">
        <v>0</v>
      </c>
      <c r="C52" s="74">
        <f aca="true" t="shared" si="2" ref="C52:C61">B52*A52*$B$35</f>
        <v>0</v>
      </c>
      <c r="D52" s="65"/>
      <c r="E52" s="70"/>
      <c r="I52" s="85"/>
      <c r="R52" s="36"/>
      <c r="S52" s="36"/>
      <c r="T52" s="36"/>
      <c r="U52" s="36"/>
      <c r="BV52" s="69"/>
      <c r="BW52" s="5"/>
    </row>
    <row r="53" spans="1:21" ht="12.75">
      <c r="A53" s="69">
        <v>2000</v>
      </c>
      <c r="B53" s="2">
        <v>0</v>
      </c>
      <c r="C53" s="74">
        <f t="shared" si="2"/>
        <v>0</v>
      </c>
      <c r="D53" s="65"/>
      <c r="I53" s="86"/>
      <c r="R53" s="36"/>
      <c r="S53" s="36"/>
      <c r="T53" s="36"/>
      <c r="U53" s="36"/>
    </row>
    <row r="54" spans="1:21" ht="12.75">
      <c r="A54" s="69">
        <v>3000</v>
      </c>
      <c r="B54" s="2">
        <v>0</v>
      </c>
      <c r="C54" s="74">
        <f t="shared" si="2"/>
        <v>0</v>
      </c>
      <c r="D54" s="65"/>
      <c r="R54" s="36"/>
      <c r="S54" s="36"/>
      <c r="T54" s="36"/>
      <c r="U54" s="36"/>
    </row>
    <row r="55" spans="1:21" ht="12.75">
      <c r="A55" s="69">
        <v>4000</v>
      </c>
      <c r="B55" s="2">
        <v>0</v>
      </c>
      <c r="C55" s="74">
        <f t="shared" si="2"/>
        <v>0</v>
      </c>
      <c r="D55" s="65"/>
      <c r="E55" s="70"/>
      <c r="R55" s="36"/>
      <c r="S55" s="36"/>
      <c r="T55" s="36"/>
      <c r="U55" s="36"/>
    </row>
    <row r="56" spans="1:21" ht="12.75">
      <c r="A56" s="69">
        <v>5000</v>
      </c>
      <c r="B56" s="2">
        <v>5</v>
      </c>
      <c r="C56" s="74">
        <f t="shared" si="2"/>
        <v>14335087278.330225</v>
      </c>
      <c r="D56" s="65"/>
      <c r="K56" s="21"/>
      <c r="L56" s="21"/>
      <c r="R56" s="36"/>
      <c r="S56" s="36"/>
      <c r="T56" s="36"/>
      <c r="U56" s="36"/>
    </row>
    <row r="57" spans="1:21" ht="12.75">
      <c r="A57" s="69">
        <v>6000</v>
      </c>
      <c r="B57" s="2">
        <v>0</v>
      </c>
      <c r="C57" s="74">
        <f t="shared" si="2"/>
        <v>0</v>
      </c>
      <c r="D57" s="65"/>
      <c r="K57" s="87"/>
      <c r="L57" s="87"/>
      <c r="R57" s="36"/>
      <c r="S57" s="36"/>
      <c r="T57" s="36"/>
      <c r="U57" s="36"/>
    </row>
    <row r="58" spans="1:21" ht="12.75">
      <c r="A58" s="69">
        <v>7000</v>
      </c>
      <c r="B58" s="2">
        <v>0</v>
      </c>
      <c r="C58" s="74">
        <f t="shared" si="2"/>
        <v>0</v>
      </c>
      <c r="D58" s="65"/>
      <c r="I58" s="88"/>
      <c r="J58" s="88"/>
      <c r="K58" s="31"/>
      <c r="L58" s="31"/>
      <c r="R58" s="36"/>
      <c r="S58" s="36"/>
      <c r="T58" s="36"/>
      <c r="U58" s="36"/>
    </row>
    <row r="59" spans="1:21" ht="12.75">
      <c r="A59" s="69">
        <v>8000</v>
      </c>
      <c r="B59" s="2">
        <v>0</v>
      </c>
      <c r="C59" s="74">
        <f t="shared" si="2"/>
        <v>0</v>
      </c>
      <c r="K59" s="21"/>
      <c r="L59" s="21"/>
      <c r="R59" s="36"/>
      <c r="S59" s="36"/>
      <c r="T59" s="36"/>
      <c r="U59" s="36"/>
    </row>
    <row r="60" spans="1:21" ht="12.75">
      <c r="A60" s="69">
        <v>9000</v>
      </c>
      <c r="B60" s="2">
        <v>0</v>
      </c>
      <c r="C60" s="74">
        <f t="shared" si="2"/>
        <v>0</v>
      </c>
      <c r="F60" s="100" t="s">
        <v>66</v>
      </c>
      <c r="G60" s="92" t="str">
        <f>B19</f>
        <v>Type 1</v>
      </c>
      <c r="I60" s="21"/>
      <c r="J60" s="89"/>
      <c r="K60" s="21"/>
      <c r="L60" s="21"/>
      <c r="R60" s="36"/>
      <c r="S60" s="36"/>
      <c r="T60" s="36"/>
      <c r="U60" s="36"/>
    </row>
    <row r="61" spans="1:21" ht="12.75">
      <c r="A61" s="69">
        <v>10000</v>
      </c>
      <c r="B61" s="2">
        <v>0</v>
      </c>
      <c r="C61" s="74">
        <f t="shared" si="2"/>
        <v>0</v>
      </c>
      <c r="F61" s="100" t="s">
        <v>67</v>
      </c>
      <c r="G61" s="92" t="str">
        <f>B20</f>
        <v>Hard</v>
      </c>
      <c r="I61" s="12"/>
      <c r="K61" s="90"/>
      <c r="L61" s="90"/>
      <c r="R61" s="36"/>
      <c r="S61" s="36"/>
      <c r="T61" s="36"/>
      <c r="U61" s="36"/>
    </row>
    <row r="62" spans="9:21" ht="12.75">
      <c r="I62" s="12"/>
      <c r="R62" s="91"/>
      <c r="S62" s="36"/>
      <c r="T62" s="36"/>
      <c r="U62" s="36"/>
    </row>
    <row r="63" spans="9:21" ht="12.75">
      <c r="I63" s="12"/>
      <c r="J63" s="21"/>
      <c r="R63" s="93"/>
      <c r="S63" s="36"/>
      <c r="T63" s="36"/>
      <c r="U63" s="36"/>
    </row>
    <row r="64" spans="9:21" ht="12.75">
      <c r="I64" s="12"/>
      <c r="J64" s="12"/>
      <c r="R64" s="93"/>
      <c r="S64" s="36"/>
      <c r="T64" s="36"/>
      <c r="U64" s="36"/>
    </row>
    <row r="65" spans="9:21" ht="12.75">
      <c r="I65" s="94"/>
      <c r="J65" s="66"/>
      <c r="R65" s="36"/>
      <c r="S65" s="36"/>
      <c r="T65" s="36"/>
      <c r="U65" s="36"/>
    </row>
    <row r="66" spans="9:21" ht="12.75">
      <c r="I66" s="94"/>
      <c r="J66" s="66"/>
      <c r="R66" s="36"/>
      <c r="S66" s="36"/>
      <c r="T66" s="36"/>
      <c r="U66" s="36"/>
    </row>
    <row r="67" spans="9:10" ht="12.75">
      <c r="I67" s="94"/>
      <c r="J67" s="66"/>
    </row>
    <row r="68" spans="9:10" ht="12.75">
      <c r="I68" s="94"/>
      <c r="J68" s="66"/>
    </row>
    <row r="69" spans="9:10" ht="12.75">
      <c r="I69" s="94"/>
      <c r="J69" s="66"/>
    </row>
    <row r="70" spans="9:10" ht="12.75">
      <c r="I70" s="94"/>
      <c r="J70" s="66"/>
    </row>
    <row r="71" spans="9:10" ht="12.75">
      <c r="I71" s="94"/>
      <c r="J71" s="66"/>
    </row>
    <row r="72" spans="9:10" ht="12.75">
      <c r="I72" s="94"/>
      <c r="J72" s="66"/>
    </row>
    <row r="73" spans="9:10" ht="12.75">
      <c r="I73" s="5"/>
      <c r="J73" s="93"/>
    </row>
    <row r="74" spans="9:10" ht="12.75">
      <c r="I74" s="5"/>
      <c r="J74" s="93"/>
    </row>
    <row r="75" spans="5:10" ht="12.75">
      <c r="E75" s="80"/>
      <c r="I75" s="95"/>
      <c r="J75" s="36"/>
    </row>
    <row r="76" spans="9:12" ht="12.75">
      <c r="I76" s="95"/>
      <c r="J76" s="36"/>
      <c r="K76" s="36"/>
      <c r="L76" s="36"/>
    </row>
    <row r="77" ht="12.75">
      <c r="I77" s="96"/>
    </row>
    <row r="78" ht="12.75">
      <c r="I78" s="96"/>
    </row>
    <row r="79" ht="12.75">
      <c r="I79" s="97"/>
    </row>
    <row r="80" ht="12.75">
      <c r="I80" s="95"/>
    </row>
    <row r="82" ht="12.75">
      <c r="G82" s="69"/>
    </row>
    <row r="83" ht="12.75">
      <c r="G83" s="69"/>
    </row>
    <row r="84" ht="12.75">
      <c r="G84" s="69"/>
    </row>
    <row r="88" spans="1:4" ht="12.75">
      <c r="A88" s="98"/>
      <c r="B88" s="7"/>
      <c r="C88" s="7"/>
      <c r="D88" s="7"/>
    </row>
    <row r="89" spans="1:4" ht="12.75">
      <c r="A89" s="90"/>
      <c r="B89" s="7"/>
      <c r="C89" s="7"/>
      <c r="D89" s="7"/>
    </row>
    <row r="90" spans="1:4" ht="12.75">
      <c r="A90" s="90"/>
      <c r="B90" s="52"/>
      <c r="C90" s="52"/>
      <c r="D90" s="52"/>
    </row>
    <row r="91" spans="1:4" ht="12.75">
      <c r="A91" s="99"/>
      <c r="B91" s="52"/>
      <c r="C91" s="52"/>
      <c r="D91" s="52"/>
    </row>
    <row r="92" spans="1:4" ht="12.75">
      <c r="A92" s="99"/>
      <c r="B92" s="52"/>
      <c r="C92" s="52"/>
      <c r="D92" s="52"/>
    </row>
    <row r="93" spans="1:4" ht="12.75">
      <c r="A93" s="99"/>
      <c r="B93" s="52"/>
      <c r="C93" s="52"/>
      <c r="D93" s="52"/>
    </row>
    <row r="94" spans="1:4" ht="12.75">
      <c r="A94" s="99"/>
      <c r="B94" s="7"/>
      <c r="C94" s="7"/>
      <c r="D94" s="7"/>
    </row>
    <row r="95" spans="1:4" ht="12.75">
      <c r="A95" s="99"/>
      <c r="B95" s="7"/>
      <c r="C95" s="7"/>
      <c r="D95" s="7"/>
    </row>
    <row r="96" ht="12.75">
      <c r="A96" s="98"/>
    </row>
    <row r="97" spans="1:4" ht="12.75">
      <c r="A97" s="90"/>
      <c r="B97" s="7"/>
      <c r="C97" s="7"/>
      <c r="D97" s="7"/>
    </row>
    <row r="98" spans="1:4" ht="12.75">
      <c r="A98" s="90"/>
      <c r="B98" s="52"/>
      <c r="C98" s="52"/>
      <c r="D98" s="52"/>
    </row>
    <row r="99" spans="1:4" ht="12.75">
      <c r="A99" s="99"/>
      <c r="B99" s="52"/>
      <c r="C99" s="52"/>
      <c r="D99" s="52"/>
    </row>
    <row r="100" spans="1:4" ht="12.75">
      <c r="A100" s="99"/>
      <c r="B100" s="52"/>
      <c r="C100" s="52"/>
      <c r="D100" s="52"/>
    </row>
    <row r="101" spans="1:4" ht="12.75">
      <c r="A101" s="99"/>
      <c r="B101" s="52"/>
      <c r="C101" s="52"/>
      <c r="D101" s="52"/>
    </row>
    <row r="104" spans="1:4" ht="12.75">
      <c r="A104" s="98"/>
      <c r="B104" s="7"/>
      <c r="C104" s="7"/>
      <c r="D104" s="7"/>
    </row>
    <row r="105" spans="1:4" ht="12.75">
      <c r="A105" s="90"/>
      <c r="B105" s="7"/>
      <c r="C105" s="7"/>
      <c r="D105" s="7"/>
    </row>
    <row r="106" spans="1:4" ht="12.75">
      <c r="A106" s="90"/>
      <c r="B106" s="52"/>
      <c r="C106" s="52"/>
      <c r="D106" s="52"/>
    </row>
    <row r="107" spans="1:4" ht="12.75">
      <c r="A107" s="99"/>
      <c r="B107" s="52"/>
      <c r="C107" s="52"/>
      <c r="D107" s="52"/>
    </row>
    <row r="108" spans="1:4" ht="12.75">
      <c r="A108" s="99"/>
      <c r="B108" s="52"/>
      <c r="C108" s="52"/>
      <c r="D108" s="52"/>
    </row>
    <row r="109" spans="1:4" ht="12.75">
      <c r="A109" s="99"/>
      <c r="B109" s="52"/>
      <c r="C109" s="52"/>
      <c r="D109" s="52"/>
    </row>
    <row r="112" spans="2:3" ht="12.75">
      <c r="B112" s="8"/>
      <c r="C112" s="8"/>
    </row>
    <row r="113" spans="2:3" ht="12.75">
      <c r="B113" s="69"/>
      <c r="C113" s="69"/>
    </row>
    <row r="114" spans="2:3" ht="12.75">
      <c r="B114" s="69"/>
      <c r="C114" s="69"/>
    </row>
    <row r="115" spans="2:3" ht="12.75">
      <c r="B115" s="69"/>
      <c r="C115" s="69"/>
    </row>
    <row r="116" spans="2:3" ht="12.75">
      <c r="B116" s="69"/>
      <c r="C116" s="69"/>
    </row>
    <row r="117" spans="2:3" ht="12.75">
      <c r="B117" s="69"/>
      <c r="C117" s="69"/>
    </row>
    <row r="118" spans="2:3" ht="12.75">
      <c r="B118" s="69"/>
      <c r="C118" s="69"/>
    </row>
    <row r="119" spans="2:3" ht="12.75">
      <c r="B119" s="69"/>
      <c r="C119" s="69"/>
    </row>
    <row r="120" spans="2:3" ht="12.75">
      <c r="B120" s="69"/>
      <c r="C120" s="69"/>
    </row>
    <row r="121" spans="2:3" ht="12.75">
      <c r="B121" s="69"/>
      <c r="C121" s="69"/>
    </row>
    <row r="122" spans="2:3" ht="12.75">
      <c r="B122" s="69"/>
      <c r="C122" s="69"/>
    </row>
    <row r="123" spans="2:3" ht="12.75">
      <c r="B123" s="69"/>
      <c r="C123" s="69"/>
    </row>
    <row r="124" spans="2:3" ht="12.75">
      <c r="B124" s="69"/>
      <c r="C124" s="69"/>
    </row>
  </sheetData>
  <sheetProtection password="8551" sheet="1" objects="1" scenarios="1"/>
  <dataValidations count="2">
    <dataValidation type="list" showInputMessage="1" showErrorMessage="1" sqref="B19">
      <formula1>$F$20:$F$23</formula1>
    </dataValidation>
    <dataValidation type="list" showInputMessage="1" showErrorMessage="1" sqref="B20">
      <formula1>$G$19:$I$19</formula1>
    </dataValidation>
  </dataValidations>
  <printOptions/>
  <pageMargins left="0.75" right="0.75" top="1" bottom="1" header="0.5" footer="0.5"/>
  <pageSetup fitToHeight="2" horizontalDpi="600" verticalDpi="600" orientation="portrait" scale="56" r:id="rId2"/>
  <rowBreaks count="1" manualBreakCount="1"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kedgley</dc:creator>
  <cp:keywords/>
  <dc:description/>
  <cp:lastModifiedBy>kedgley</cp:lastModifiedBy>
  <cp:lastPrinted>2004-07-21T20:36:32Z</cp:lastPrinted>
  <dcterms:created xsi:type="dcterms:W3CDTF">2004-07-21T13:30:03Z</dcterms:created>
  <dcterms:modified xsi:type="dcterms:W3CDTF">2004-07-22T22:14:08Z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