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2120" windowHeight="9090" activeTab="0"/>
  </bookViews>
  <sheets>
    <sheet name="webexcel" sheetId="1" r:id="rId1"/>
  </sheets>
  <definedNames>
    <definedName name="_xlnm.Print_Area" localSheetId="0">'webexcel'!$A$1:$G$83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<sst xmlns="http://schemas.openxmlformats.org/spreadsheetml/2006/main" count="111" uniqueCount="85">
  <si>
    <t>This program provides health benefits coverage to children living in families</t>
  </si>
  <si>
    <t>whose incomes exceed the eligibility limits for medicaid. Although it is generally</t>
  </si>
  <si>
    <t>targeted to families with incomes at or below 200 percent of the federal poverty</t>
  </si>
  <si>
    <t>level, each state may set its own income eligibility limits, within certain guidelines.</t>
  </si>
  <si>
    <t>States have three options: they may expand their medicaid programs, develop a separate</t>
  </si>
  <si>
    <t>child health program that functions independently of medicaid, or do a combination of both]</t>
  </si>
  <si>
    <t>-</t>
  </si>
  <si>
    <t>State</t>
  </si>
  <si>
    <t>2001(rev.)</t>
  </si>
  <si>
    <t xml:space="preserve">  United States </t>
  </si>
  <si>
    <t xml:space="preserve">5,315 </t>
  </si>
  <si>
    <t xml:space="preserve">4,622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</si>
  <si>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</si>
  <si>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</si>
  <si>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</si>
  <si>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</si>
  <si>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</si>
  <si>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</si>
  <si>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</si>
  <si>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</si>
  <si>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</si>
  <si>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</si>
  <si>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</si>
  <si>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</si>
  <si>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</si>
  <si>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</si>
  <si>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</si>
  <si>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</si>
  <si>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</si>
  <si>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</si>
  <si>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</si>
  <si>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</si>
  <si>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</si>
  <si>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</si>
  <si>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</si>
  <si>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</si>
  <si>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>(Z)</t>
  </si>
  <si>
    <t>(NA)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</si>
  <si>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</si>
  <si>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</si>
  <si>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</si>
  <si>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</si>
  <si>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</si>
  <si>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</si>
  <si>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</si>
  <si>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</si>
  <si>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</si>
  <si>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</si>
  <si>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</si>
  <si>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</si>
  <si>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</si>
  <si>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</si>
  <si>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</si>
  <si>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</si>
  <si>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</si>
  <si>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</si>
  <si>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</si>
  <si>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</si>
  <si>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</si>
  <si>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</si>
  <si>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</si>
  <si>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</si>
  <si>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</si>
  <si>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</si>
  <si>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</si>
  <si>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----------------------------</t>
  </si>
  <si>
    <t>NA Not Available.</t>
  </si>
  <si>
    <t>Z Less than 500 or $50,000.</t>
  </si>
  <si>
    <t>and which reconciles any advance of Title XXI Federal funds made on the basis of estimates.</t>
  </si>
  <si>
    <t>Source: U.S. Centers for Medicare &amp; Medicaid Services,</t>
  </si>
  <si>
    <t>The State Children's Health Insurance Program, Annual Enrollment Report</t>
  </si>
  <si>
    <t>and the Statement of Expenditures for the SCHIP Program (CMS-21)</t>
  </si>
  <si>
    <t>FOOTNOTES</t>
  </si>
  <si>
    <t>(z)</t>
  </si>
  <si>
    <r>
      <t>Table 138.</t>
    </r>
    <r>
      <rPr>
        <b/>
        <sz val="12"/>
        <rFont val="Courier New"/>
        <family val="3"/>
      </rPr>
      <t xml:space="preserve"> State Children's Health Insurance Program (SCHIP)--Enrollment and </t>
    </r>
  </si>
  <si>
    <t>Expenditures by State: 2000 and 2004</t>
  </si>
  <si>
    <t xml:space="preserve">[For year ending September 30 (3,357.4 represents 3,357,400).  </t>
  </si>
  <si>
    <t>Payments \2</t>
  </si>
  <si>
    <t xml:space="preserve">\2 Expenditures for which states are entitled to federal reimbursement under Title XXI </t>
  </si>
  <si>
    <t>\1 Number of children ever enrolled in SCHIP.</t>
  </si>
  <si>
    <t>SYMBOLS</t>
  </si>
  <si>
    <t xml:space="preserve">     Beneficiaries \1</t>
  </si>
  <si>
    <t>(million dollars)</t>
  </si>
  <si>
    <t>http://www.cms.hhs.gov/schip/enrollment/</t>
  </si>
  <si>
    <t>http://www.cms.hhs.gov/medicaid/mbes/default.asp&gt;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</si>
</sst>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#,##0.0"/>
    <numFmt numFmtId="175" formatCode="#,##0.000"/>
    <numFmt numFmtId="176" formatCode="#,##0.000000"/>
    <numFmt numFmtId="177" formatCode="0.00_);\(0.00\)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fill"/>
    </xf>
    <xf numFmtId="175" fontId="0" fillId="0" borderId="0" xfId="0" applyNumberFormat="1" applyAlignment="1">
      <alignment/>
    </xf>
    <xf numFmtId="174" fontId="4" fillId="0" borderId="2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74" fontId="0" fillId="0" borderId="0" xfId="0" applyNumberFormat="1" applyAlignment="1">
      <alignment/>
    </xf>
    <xf numFmtId="172" fontId="0" fillId="0" borderId="2" xfId="0" applyNumberFormat="1" applyFon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Font="1" applyAlignment="1">
      <alignment horizontal="right"/>
    </xf>
    <xf numFmtId="174" fontId="4" fillId="0" borderId="4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172" fontId="0" fillId="0" borderId="7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0" borderId="7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7" fontId="0" fillId="0" borderId="2" xfId="0" applyNumberFormat="1" applyFont="1" applyBorder="1" applyAlignment="1">
      <alignment horizontal="centerContinuous"/>
    </xf>
    <xf numFmtId="0" fontId="0" fillId="0" borderId="9" xfId="0" applyFont="1" applyBorder="1" applyAlignment="1">
      <alignment horizontal="fill"/>
    </xf>
    <xf numFmtId="175" fontId="0" fillId="0" borderId="4" xfId="0" applyNumberFormat="1" applyFont="1" applyBorder="1" applyAlignment="1">
      <alignment horizontal="fill"/>
    </xf>
    <xf numFmtId="0" fontId="0" fillId="0" borderId="4" xfId="0" applyFont="1" applyBorder="1" applyAlignment="1">
      <alignment horizontal="left"/>
    </xf>
    <xf numFmtId="0" fontId="5" fillId="0" borderId="0" xfId="15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.hhs.gov/schip/enrollmen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showOutlineSymbols="0" workbookViewId="0" topLeftCell="A1">
      <selection activeCell="A1" sqref="A1"/>
    </sheetView>
  </sheetViews>
  <sheetFormatPr defaultColWidth="8.796875" defaultRowHeight="15.75"/>
  <cols>
    <col min="1" max="1" width="30.69921875" style="0" customWidth="1"/>
    <col min="2" max="5" width="12.69921875" style="0" customWidth="1"/>
    <col min="6" max="6" width="9.69921875" style="0" customWidth="1"/>
    <col min="7" max="7" width="11.8984375" style="0" customWidth="1"/>
    <col min="8" max="13" width="9.69921875" style="0" customWidth="1"/>
    <col min="14" max="30" width="0" style="0" hidden="1" customWidth="1"/>
    <col min="32" max="16384" width="9.69921875" style="0" customWidth="1"/>
  </cols>
  <sheetData>
    <row r="1" ht="16.5">
      <c r="A1" s="35" t="s">
        <v>74</v>
      </c>
    </row>
    <row r="2" ht="16.5">
      <c r="A2" s="9" t="s">
        <v>75</v>
      </c>
    </row>
    <row r="3" ht="16.5">
      <c r="A3" s="9"/>
    </row>
    <row r="4" ht="16.5">
      <c r="A4" s="9" t="s">
        <v>76</v>
      </c>
    </row>
    <row r="5" ht="15.75">
      <c r="A5" s="2" t="s">
        <v>0</v>
      </c>
    </row>
    <row r="6" ht="15.75">
      <c r="A6" s="2" t="s">
        <v>1</v>
      </c>
    </row>
    <row r="7" ht="15.75">
      <c r="A7" s="2" t="s">
        <v>2</v>
      </c>
    </row>
    <row r="8" ht="15.75">
      <c r="A8" s="2" t="s">
        <v>3</v>
      </c>
    </row>
    <row r="9" ht="16.5" customHeight="1">
      <c r="A9" s="2" t="s">
        <v>4</v>
      </c>
    </row>
    <row r="10" ht="15.75">
      <c r="A10" s="2" t="s">
        <v>5</v>
      </c>
    </row>
    <row r="12" spans="1:20" ht="15.75">
      <c r="A12" s="25"/>
      <c r="B12" s="39" t="s">
        <v>81</v>
      </c>
      <c r="C12" s="25"/>
      <c r="D12" s="24" t="s">
        <v>77</v>
      </c>
      <c r="E12" s="29"/>
      <c r="R12" s="7">
        <v>-1000</v>
      </c>
      <c r="S12" s="7">
        <v>-1000</v>
      </c>
      <c r="T12" s="7">
        <v>-1000</v>
      </c>
    </row>
    <row r="13" spans="1:30" ht="15.75">
      <c r="A13" s="4" t="s">
        <v>7</v>
      </c>
      <c r="B13" s="36">
        <v>-1000</v>
      </c>
      <c r="C13" s="34"/>
      <c r="D13" s="33" t="s">
        <v>82</v>
      </c>
      <c r="E13" s="26"/>
      <c r="N13">
        <v>1999</v>
      </c>
      <c r="O13">
        <v>2000</v>
      </c>
      <c r="P13">
        <v>2001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W13" s="3" t="s">
        <v>6</v>
      </c>
      <c r="Y13" s="3" t="s">
        <v>6</v>
      </c>
      <c r="AA13" s="3" t="s">
        <v>6</v>
      </c>
      <c r="AD13" s="6"/>
    </row>
    <row r="14" spans="1:27" ht="16.5">
      <c r="A14" s="16"/>
      <c r="B14" s="27">
        <v>2000</v>
      </c>
      <c r="C14" s="28">
        <v>2004</v>
      </c>
      <c r="D14" s="27">
        <v>2000</v>
      </c>
      <c r="E14" s="28">
        <v>2004</v>
      </c>
      <c r="G14" s="7"/>
      <c r="Q14">
        <v>1999</v>
      </c>
      <c r="R14">
        <v>2000</v>
      </c>
      <c r="S14" s="2" t="s">
        <v>8</v>
      </c>
      <c r="T14">
        <v>2002</v>
      </c>
      <c r="U14">
        <v>1999</v>
      </c>
      <c r="W14">
        <v>2000</v>
      </c>
      <c r="Y14">
        <v>2001</v>
      </c>
      <c r="AA14">
        <v>2002</v>
      </c>
    </row>
    <row r="15" spans="1:33" ht="16.5">
      <c r="A15" s="9" t="s">
        <v>9</v>
      </c>
      <c r="B15" s="21">
        <v>3357.417</v>
      </c>
      <c r="C15" s="10">
        <v>6058.892</v>
      </c>
      <c r="D15" s="13">
        <v>1928.8</v>
      </c>
      <c r="E15" s="10">
        <v>4600.731762</v>
      </c>
      <c r="G15" s="12"/>
      <c r="H15" s="12"/>
      <c r="I15" s="12"/>
      <c r="N15" s="7">
        <v>1959.33</v>
      </c>
      <c r="O15" s="7">
        <v>3333.879</v>
      </c>
      <c r="P15" s="7">
        <v>4601.098</v>
      </c>
      <c r="Q15" s="7">
        <v>1959.33</v>
      </c>
      <c r="R15" s="7">
        <v>3333.879</v>
      </c>
      <c r="S15" s="5" t="s">
        <v>11</v>
      </c>
      <c r="T15" s="5" t="s">
        <v>10</v>
      </c>
      <c r="U15" s="7">
        <v>921779016</v>
      </c>
      <c r="V15" s="7">
        <f>U15/1000</f>
        <v>921779.016</v>
      </c>
      <c r="W15" s="7">
        <v>1928813382</v>
      </c>
      <c r="X15" s="7">
        <f>W15/1000</f>
        <v>1928813.382</v>
      </c>
      <c r="Y15" s="7">
        <v>2671629529</v>
      </c>
      <c r="Z15" s="7">
        <f>Y15/1000</f>
        <v>2671629.529</v>
      </c>
      <c r="AA15" s="7">
        <v>3776225221</v>
      </c>
      <c r="AB15" s="7">
        <f>AA15/1000000</f>
        <v>3776.225221</v>
      </c>
      <c r="AC15" s="7">
        <f>AA15/1000</f>
        <v>3776225.221</v>
      </c>
      <c r="AD15" s="8">
        <f>AB15/1000</f>
        <v>3.7762252210000002</v>
      </c>
      <c r="AE15" s="7"/>
      <c r="AF15" s="7"/>
      <c r="AG15" s="7"/>
    </row>
    <row r="16" spans="1:33" ht="16.5">
      <c r="A16" s="9"/>
      <c r="B16" s="13"/>
      <c r="C16" s="10"/>
      <c r="D16" s="13"/>
      <c r="E16" s="10"/>
      <c r="G16" s="12"/>
      <c r="H16" s="12"/>
      <c r="I16" s="12"/>
      <c r="N16" s="7"/>
      <c r="O16" s="7"/>
      <c r="P16" s="7"/>
      <c r="Q16" s="7"/>
      <c r="R16" s="7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8"/>
      <c r="AE16" s="7"/>
      <c r="AF16" s="7"/>
      <c r="AG16" s="7"/>
    </row>
    <row r="17" spans="1:30" ht="15.75">
      <c r="A17" s="2" t="s">
        <v>12</v>
      </c>
      <c r="B17" s="22">
        <v>37.587</v>
      </c>
      <c r="C17" s="17">
        <v>79.407</v>
      </c>
      <c r="D17" s="14">
        <v>31.947563</v>
      </c>
      <c r="E17" s="17">
        <v>19.434518</v>
      </c>
      <c r="G17" s="12"/>
      <c r="H17" s="12"/>
      <c r="I17" s="12"/>
      <c r="N17" s="7">
        <v>38.98</v>
      </c>
      <c r="O17" s="7">
        <v>37.587</v>
      </c>
      <c r="P17" s="7">
        <v>68.179</v>
      </c>
      <c r="Q17" s="7">
        <v>38.98</v>
      </c>
      <c r="R17" s="7">
        <v>37.587</v>
      </c>
      <c r="S17" s="7">
        <f>68</f>
        <v>68</v>
      </c>
      <c r="T17" s="7">
        <f>83</f>
        <v>83</v>
      </c>
      <c r="U17" s="7">
        <v>22930303</v>
      </c>
      <c r="V17" s="7">
        <f aca="true" t="shared" si="0" ref="V17:V48">U17/1000</f>
        <v>22930.303</v>
      </c>
      <c r="W17" s="7">
        <v>31947563</v>
      </c>
      <c r="X17" s="7">
        <f aca="true" t="shared" si="1" ref="X17:X48">W17/1000</f>
        <v>31947.563</v>
      </c>
      <c r="Y17" s="7">
        <v>41648444</v>
      </c>
      <c r="Z17" s="7">
        <f aca="true" t="shared" si="2" ref="Z17:Z48">Y17/1000</f>
        <v>41648.444</v>
      </c>
      <c r="AA17" s="7">
        <v>54993821</v>
      </c>
      <c r="AB17" s="7">
        <f aca="true" t="shared" si="3" ref="AB17:AB48">AA17/1000000</f>
        <v>54.993821</v>
      </c>
      <c r="AC17" s="7">
        <f aca="true" t="shared" si="4" ref="AC17:AC48">AA17/1000</f>
        <v>54993.821</v>
      </c>
      <c r="AD17" s="7"/>
    </row>
    <row r="18" spans="1:30" ht="15.75">
      <c r="A18" s="2" t="s">
        <v>13</v>
      </c>
      <c r="B18" s="22">
        <v>13.413</v>
      </c>
      <c r="C18" s="17">
        <v>18.92</v>
      </c>
      <c r="D18" s="14">
        <v>18.088537</v>
      </c>
      <c r="E18" s="17">
        <v>72.822221</v>
      </c>
      <c r="G18" s="12"/>
      <c r="H18" s="12"/>
      <c r="I18" s="12"/>
      <c r="N18" s="7">
        <v>8.033</v>
      </c>
      <c r="O18" s="7">
        <v>13.413</v>
      </c>
      <c r="P18" s="7">
        <v>21.831</v>
      </c>
      <c r="Q18" s="7">
        <v>8.033</v>
      </c>
      <c r="R18" s="7">
        <v>13.413</v>
      </c>
      <c r="S18" s="7">
        <f>22</f>
        <v>22</v>
      </c>
      <c r="T18" s="7">
        <f>22</f>
        <v>22</v>
      </c>
      <c r="U18" s="7">
        <v>3806310</v>
      </c>
      <c r="V18" s="7">
        <f t="shared" si="0"/>
        <v>3806.31</v>
      </c>
      <c r="W18" s="7">
        <v>18088537</v>
      </c>
      <c r="X18" s="7">
        <f t="shared" si="1"/>
        <v>18088.537</v>
      </c>
      <c r="Y18" s="7">
        <v>23575989</v>
      </c>
      <c r="Z18" s="7">
        <f t="shared" si="2"/>
        <v>23575.989</v>
      </c>
      <c r="AA18" s="7">
        <v>21011515</v>
      </c>
      <c r="AB18" s="7">
        <f t="shared" si="3"/>
        <v>21.011515</v>
      </c>
      <c r="AC18" s="7">
        <f t="shared" si="4"/>
        <v>21011.515</v>
      </c>
      <c r="AD18" s="7"/>
    </row>
    <row r="19" spans="1:30" ht="15.75">
      <c r="A19" s="2" t="s">
        <v>14</v>
      </c>
      <c r="B19" s="22">
        <v>59.601</v>
      </c>
      <c r="C19" s="17">
        <v>87.681</v>
      </c>
      <c r="D19" s="14">
        <v>29.405604</v>
      </c>
      <c r="E19" s="17">
        <v>258.900578</v>
      </c>
      <c r="G19" s="12"/>
      <c r="H19" s="12"/>
      <c r="I19" s="12"/>
      <c r="N19" s="7">
        <v>26.807</v>
      </c>
      <c r="O19" s="7">
        <v>60.803</v>
      </c>
      <c r="P19" s="7">
        <v>86.863</v>
      </c>
      <c r="Q19" s="7">
        <v>26.807</v>
      </c>
      <c r="R19" s="7">
        <v>60.803</v>
      </c>
      <c r="S19" s="7">
        <f>87</f>
        <v>87</v>
      </c>
      <c r="T19" s="7">
        <f>93</f>
        <v>93</v>
      </c>
      <c r="U19" s="7">
        <v>8836785</v>
      </c>
      <c r="V19" s="7">
        <f t="shared" si="0"/>
        <v>8836.785</v>
      </c>
      <c r="W19" s="7">
        <v>29405604</v>
      </c>
      <c r="X19" s="7">
        <f t="shared" si="1"/>
        <v>29405.604</v>
      </c>
      <c r="Y19" s="7">
        <v>47987128</v>
      </c>
      <c r="Z19" s="7">
        <f t="shared" si="2"/>
        <v>47987.128</v>
      </c>
      <c r="AA19" s="7">
        <v>126775764</v>
      </c>
      <c r="AB19" s="7">
        <f t="shared" si="3"/>
        <v>126.775764</v>
      </c>
      <c r="AC19" s="7">
        <f t="shared" si="4"/>
        <v>126775.764</v>
      </c>
      <c r="AD19" s="7"/>
    </row>
    <row r="20" spans="1:30" ht="15.75">
      <c r="A20" s="2" t="s">
        <v>15</v>
      </c>
      <c r="B20" s="22">
        <v>1.892</v>
      </c>
      <c r="C20" s="19" t="s">
        <v>37</v>
      </c>
      <c r="D20" s="14">
        <v>1.522657</v>
      </c>
      <c r="E20" s="17">
        <v>28.522019</v>
      </c>
      <c r="G20" s="12"/>
      <c r="H20" s="12"/>
      <c r="I20" s="12"/>
      <c r="N20" s="7">
        <v>0.913</v>
      </c>
      <c r="O20" s="7">
        <v>1.892</v>
      </c>
      <c r="P20" s="7">
        <v>2.884</v>
      </c>
      <c r="Q20" s="7">
        <v>0.913</v>
      </c>
      <c r="R20" s="7">
        <v>1.892</v>
      </c>
      <c r="S20" s="7">
        <f>3</f>
        <v>3</v>
      </c>
      <c r="T20" s="7">
        <f>2</f>
        <v>2</v>
      </c>
      <c r="U20" s="7">
        <v>680106</v>
      </c>
      <c r="V20" s="7">
        <f t="shared" si="0"/>
        <v>680.106</v>
      </c>
      <c r="W20" s="7">
        <v>1522657</v>
      </c>
      <c r="X20" s="7">
        <f t="shared" si="1"/>
        <v>1522.657</v>
      </c>
      <c r="Y20" s="7">
        <v>2466751</v>
      </c>
      <c r="Z20" s="7">
        <f t="shared" si="2"/>
        <v>2466.751</v>
      </c>
      <c r="AA20" s="7">
        <v>1543980</v>
      </c>
      <c r="AB20" s="7">
        <f t="shared" si="3"/>
        <v>1.54398</v>
      </c>
      <c r="AC20" s="7">
        <f t="shared" si="4"/>
        <v>1543.98</v>
      </c>
      <c r="AD20" s="7"/>
    </row>
    <row r="21" spans="1:30" ht="15.75">
      <c r="A21" s="2" t="s">
        <v>16</v>
      </c>
      <c r="B21" s="22">
        <v>484.359</v>
      </c>
      <c r="C21" s="17">
        <v>1035.752</v>
      </c>
      <c r="D21" s="14">
        <v>187.278988</v>
      </c>
      <c r="E21" s="17">
        <v>661.557909</v>
      </c>
      <c r="G21" s="12"/>
      <c r="H21" s="12"/>
      <c r="I21" s="12"/>
      <c r="N21" s="7">
        <v>222.351</v>
      </c>
      <c r="O21" s="7">
        <v>477.615</v>
      </c>
      <c r="P21" s="7">
        <v>693.048</v>
      </c>
      <c r="Q21" s="7">
        <v>222.351</v>
      </c>
      <c r="R21" s="7">
        <v>477.615</v>
      </c>
      <c r="S21" s="7">
        <f>697</f>
        <v>697</v>
      </c>
      <c r="T21" s="7">
        <f>857</f>
        <v>857</v>
      </c>
      <c r="U21" s="7">
        <v>67747222</v>
      </c>
      <c r="V21" s="7">
        <f t="shared" si="0"/>
        <v>67747.222</v>
      </c>
      <c r="W21" s="7">
        <v>187278988</v>
      </c>
      <c r="X21" s="7">
        <f t="shared" si="1"/>
        <v>187278.988</v>
      </c>
      <c r="Y21" s="7">
        <v>311456793</v>
      </c>
      <c r="Z21" s="7">
        <f t="shared" si="2"/>
        <v>311456.793</v>
      </c>
      <c r="AA21" s="7">
        <v>454189935</v>
      </c>
      <c r="AB21" s="7">
        <f t="shared" si="3"/>
        <v>454.189935</v>
      </c>
      <c r="AC21" s="7">
        <f t="shared" si="4"/>
        <v>454189.935</v>
      </c>
      <c r="AD21" s="7"/>
    </row>
    <row r="22" spans="1:30" ht="15.75">
      <c r="A22" s="2" t="s">
        <v>17</v>
      </c>
      <c r="B22" s="22">
        <v>34.889</v>
      </c>
      <c r="C22" s="17">
        <v>57.244</v>
      </c>
      <c r="D22" s="14">
        <v>13.918266</v>
      </c>
      <c r="E22" s="17">
        <v>37.627909</v>
      </c>
      <c r="G22" s="12"/>
      <c r="H22" s="12"/>
      <c r="I22" s="12"/>
      <c r="N22" s="7">
        <v>24.116</v>
      </c>
      <c r="O22" s="7">
        <v>34.889</v>
      </c>
      <c r="P22" s="7">
        <v>45.773</v>
      </c>
      <c r="Q22" s="7">
        <v>24.116</v>
      </c>
      <c r="R22" s="7">
        <v>34.889</v>
      </c>
      <c r="S22" s="7">
        <f>46</f>
        <v>46</v>
      </c>
      <c r="T22" s="7">
        <f>52</f>
        <v>52</v>
      </c>
      <c r="U22" s="7">
        <v>9036470</v>
      </c>
      <c r="V22" s="7">
        <f t="shared" si="0"/>
        <v>9036.47</v>
      </c>
      <c r="W22" s="7">
        <v>13918266</v>
      </c>
      <c r="X22" s="7">
        <f t="shared" si="1"/>
        <v>13918.266</v>
      </c>
      <c r="Y22" s="7">
        <v>20942996</v>
      </c>
      <c r="Z22" s="7">
        <f t="shared" si="2"/>
        <v>20942.996</v>
      </c>
      <c r="AA22" s="7">
        <v>31181315</v>
      </c>
      <c r="AB22" s="7">
        <f t="shared" si="3"/>
        <v>31.181315</v>
      </c>
      <c r="AC22" s="7">
        <f t="shared" si="4"/>
        <v>31181.315</v>
      </c>
      <c r="AD22" s="7"/>
    </row>
    <row r="23" spans="1:30" ht="15.75">
      <c r="A23" s="2" t="s">
        <v>18</v>
      </c>
      <c r="B23" s="22">
        <v>19.925</v>
      </c>
      <c r="C23" s="17">
        <v>21.438</v>
      </c>
      <c r="D23" s="14">
        <v>12.761105</v>
      </c>
      <c r="E23" s="17">
        <v>17.171047</v>
      </c>
      <c r="G23" s="12"/>
      <c r="H23" s="12"/>
      <c r="I23" s="12"/>
      <c r="N23" s="7">
        <v>9.912</v>
      </c>
      <c r="O23" s="7">
        <v>18.804</v>
      </c>
      <c r="P23" s="7">
        <v>18.72</v>
      </c>
      <c r="Q23" s="7">
        <v>9.912</v>
      </c>
      <c r="R23" s="7">
        <v>18.804</v>
      </c>
      <c r="S23" s="7">
        <f>19</f>
        <v>19</v>
      </c>
      <c r="T23" s="7">
        <f>21</f>
        <v>21</v>
      </c>
      <c r="U23" s="7">
        <v>12301470</v>
      </c>
      <c r="V23" s="7">
        <f t="shared" si="0"/>
        <v>12301.47</v>
      </c>
      <c r="W23" s="7">
        <v>12761105</v>
      </c>
      <c r="X23" s="7">
        <f t="shared" si="1"/>
        <v>12761.105</v>
      </c>
      <c r="Y23" s="7">
        <v>13179690</v>
      </c>
      <c r="Z23" s="7">
        <f t="shared" si="2"/>
        <v>13179.69</v>
      </c>
      <c r="AA23" s="7">
        <v>16168059</v>
      </c>
      <c r="AB23" s="7">
        <f t="shared" si="3"/>
        <v>16.168059</v>
      </c>
      <c r="AC23" s="7">
        <f t="shared" si="4"/>
        <v>16168.059</v>
      </c>
      <c r="AD23" s="7"/>
    </row>
    <row r="24" spans="1:30" ht="15.75">
      <c r="A24" s="2" t="s">
        <v>19</v>
      </c>
      <c r="B24" s="22">
        <v>4.474</v>
      </c>
      <c r="C24" s="17">
        <v>10.25</v>
      </c>
      <c r="D24" s="14">
        <v>1.541981</v>
      </c>
      <c r="E24" s="17">
        <v>5.275752</v>
      </c>
      <c r="G24" s="12"/>
      <c r="H24" s="12"/>
      <c r="I24" s="12"/>
      <c r="N24" s="7">
        <v>2.433</v>
      </c>
      <c r="O24" s="7">
        <v>4.474</v>
      </c>
      <c r="P24" s="7">
        <v>5.567</v>
      </c>
      <c r="Q24" s="7">
        <v>2.433</v>
      </c>
      <c r="R24" s="7">
        <v>4.474</v>
      </c>
      <c r="S24" s="7">
        <f>6</f>
        <v>6</v>
      </c>
      <c r="T24" s="7">
        <f>10</f>
        <v>10</v>
      </c>
      <c r="U24" s="7">
        <v>747874</v>
      </c>
      <c r="V24" s="7">
        <f t="shared" si="0"/>
        <v>747.874</v>
      </c>
      <c r="W24" s="7">
        <v>1541981</v>
      </c>
      <c r="X24" s="7">
        <f t="shared" si="1"/>
        <v>1541.981</v>
      </c>
      <c r="Y24" s="7">
        <v>2289891</v>
      </c>
      <c r="Z24" s="7">
        <f t="shared" si="2"/>
        <v>2289.891</v>
      </c>
      <c r="AA24" s="7">
        <v>2610230</v>
      </c>
      <c r="AB24" s="7">
        <f t="shared" si="3"/>
        <v>2.61023</v>
      </c>
      <c r="AC24" s="7">
        <f t="shared" si="4"/>
        <v>2610.23</v>
      </c>
      <c r="AD24" s="7"/>
    </row>
    <row r="25" spans="1:30" ht="15.75">
      <c r="A25" s="2" t="s">
        <v>20</v>
      </c>
      <c r="B25" s="22">
        <v>2.264</v>
      </c>
      <c r="C25" s="17">
        <v>6.093</v>
      </c>
      <c r="D25" s="14">
        <v>5.76363</v>
      </c>
      <c r="E25" s="17">
        <v>7.221283</v>
      </c>
      <c r="G25" s="12"/>
      <c r="H25" s="12"/>
      <c r="I25" s="12"/>
      <c r="N25" s="7">
        <v>3.029</v>
      </c>
      <c r="O25" s="7">
        <v>2.264</v>
      </c>
      <c r="P25" s="7">
        <v>2.807</v>
      </c>
      <c r="Q25" s="7">
        <v>3.029</v>
      </c>
      <c r="R25" s="7">
        <v>2.264</v>
      </c>
      <c r="S25" s="7">
        <f>3</f>
        <v>3</v>
      </c>
      <c r="T25" s="7">
        <f>5</f>
        <v>5</v>
      </c>
      <c r="U25" s="7">
        <v>498585</v>
      </c>
      <c r="V25" s="7">
        <f t="shared" si="0"/>
        <v>498.585</v>
      </c>
      <c r="W25" s="7">
        <v>5763630</v>
      </c>
      <c r="X25" s="7">
        <f t="shared" si="1"/>
        <v>5763.63</v>
      </c>
      <c r="Y25" s="7">
        <v>5276414</v>
      </c>
      <c r="Z25" s="7">
        <f t="shared" si="2"/>
        <v>5276.414</v>
      </c>
      <c r="AA25" s="7">
        <v>5469696</v>
      </c>
      <c r="AB25" s="7">
        <f t="shared" si="3"/>
        <v>5.469696</v>
      </c>
      <c r="AC25" s="7">
        <f t="shared" si="4"/>
        <v>5469.696</v>
      </c>
      <c r="AD25" s="7"/>
    </row>
    <row r="26" spans="1:30" ht="15.75">
      <c r="A26" s="2" t="s">
        <v>21</v>
      </c>
      <c r="B26" s="22">
        <v>227.463</v>
      </c>
      <c r="C26" s="17">
        <v>419.707</v>
      </c>
      <c r="D26" s="14">
        <v>125.683873</v>
      </c>
      <c r="E26" s="17">
        <v>176.527011</v>
      </c>
      <c r="G26" s="12"/>
      <c r="H26" s="12"/>
      <c r="I26" s="12"/>
      <c r="N26" s="7">
        <v>154.594</v>
      </c>
      <c r="O26" s="7">
        <v>227.463</v>
      </c>
      <c r="P26" s="7">
        <v>298.705</v>
      </c>
      <c r="Q26" s="7">
        <v>154.594</v>
      </c>
      <c r="R26" s="7">
        <v>227.463</v>
      </c>
      <c r="S26" s="7">
        <f>299</f>
        <v>299</v>
      </c>
      <c r="T26" s="7">
        <f>368</f>
        <v>368</v>
      </c>
      <c r="U26" s="7">
        <v>51006205</v>
      </c>
      <c r="V26" s="7">
        <f t="shared" si="0"/>
        <v>51006.205</v>
      </c>
      <c r="W26" s="7">
        <v>125683873</v>
      </c>
      <c r="X26" s="7">
        <f t="shared" si="1"/>
        <v>125683.873</v>
      </c>
      <c r="Y26" s="7">
        <v>195218825</v>
      </c>
      <c r="Z26" s="7">
        <f t="shared" si="2"/>
        <v>195218.825</v>
      </c>
      <c r="AA26" s="7">
        <v>269996093</v>
      </c>
      <c r="AB26" s="7">
        <f t="shared" si="3"/>
        <v>269.996093</v>
      </c>
      <c r="AC26" s="7">
        <f t="shared" si="4"/>
        <v>269996.093</v>
      </c>
      <c r="AD26" s="7"/>
    </row>
    <row r="27" spans="1:30" ht="15.75">
      <c r="A27" s="2" t="s">
        <v>22</v>
      </c>
      <c r="B27" s="22">
        <v>120.626</v>
      </c>
      <c r="C27" s="17">
        <v>280.083</v>
      </c>
      <c r="D27" s="14">
        <v>48.749187</v>
      </c>
      <c r="E27" s="17">
        <v>214.954824</v>
      </c>
      <c r="G27" s="12"/>
      <c r="H27" s="12"/>
      <c r="I27" s="12"/>
      <c r="N27" s="7">
        <v>47.581</v>
      </c>
      <c r="O27" s="7">
        <v>120.626</v>
      </c>
      <c r="P27" s="7">
        <v>182.762</v>
      </c>
      <c r="Q27" s="7">
        <v>47.581</v>
      </c>
      <c r="R27" s="7">
        <v>120.626</v>
      </c>
      <c r="S27" s="7">
        <f>183</f>
        <v>183</v>
      </c>
      <c r="T27" s="7">
        <f>221</f>
        <v>221</v>
      </c>
      <c r="U27" s="7">
        <v>7428825</v>
      </c>
      <c r="V27" s="7">
        <f t="shared" si="0"/>
        <v>7428.825</v>
      </c>
      <c r="W27" s="7">
        <v>48749187</v>
      </c>
      <c r="X27" s="7">
        <f t="shared" si="1"/>
        <v>48749.187</v>
      </c>
      <c r="Y27" s="7">
        <v>77077452</v>
      </c>
      <c r="Z27" s="7">
        <f t="shared" si="2"/>
        <v>77077.452</v>
      </c>
      <c r="AA27" s="7">
        <v>105881100</v>
      </c>
      <c r="AB27" s="7">
        <f t="shared" si="3"/>
        <v>105.8811</v>
      </c>
      <c r="AC27" s="7">
        <f t="shared" si="4"/>
        <v>105881.1</v>
      </c>
      <c r="AD27" s="7"/>
    </row>
    <row r="28" spans="1:30" ht="15.75">
      <c r="A28" s="2" t="s">
        <v>23</v>
      </c>
      <c r="B28" s="23" t="s">
        <v>73</v>
      </c>
      <c r="C28" s="17">
        <v>19.237</v>
      </c>
      <c r="D28" s="14">
        <v>0.420296</v>
      </c>
      <c r="E28" s="17">
        <v>10.453946</v>
      </c>
      <c r="G28" s="12"/>
      <c r="H28" s="12"/>
      <c r="I28" s="12"/>
      <c r="N28" s="7">
        <v>0</v>
      </c>
      <c r="O28" s="7">
        <v>2.256</v>
      </c>
      <c r="P28" s="7">
        <v>7.137</v>
      </c>
      <c r="Q28" s="7">
        <v>0</v>
      </c>
      <c r="R28" s="7">
        <v>2.256</v>
      </c>
      <c r="S28" s="7">
        <f>7</f>
        <v>7</v>
      </c>
      <c r="T28" s="7">
        <f>8</f>
        <v>8</v>
      </c>
      <c r="U28" s="7">
        <v>0</v>
      </c>
      <c r="V28" s="7">
        <f t="shared" si="0"/>
        <v>0</v>
      </c>
      <c r="W28" s="7">
        <v>420296</v>
      </c>
      <c r="X28" s="7">
        <f t="shared" si="1"/>
        <v>420.296</v>
      </c>
      <c r="Y28" s="7">
        <v>3042648</v>
      </c>
      <c r="Z28" s="7">
        <f t="shared" si="2"/>
        <v>3042.648</v>
      </c>
      <c r="AA28" s="7">
        <v>3900427</v>
      </c>
      <c r="AB28" s="7">
        <f t="shared" si="3"/>
        <v>3.900427</v>
      </c>
      <c r="AC28" s="7">
        <f t="shared" si="4"/>
        <v>3900.427</v>
      </c>
      <c r="AD28" s="7"/>
    </row>
    <row r="29" spans="1:30" ht="15.75">
      <c r="A29" s="2" t="s">
        <v>24</v>
      </c>
      <c r="B29" s="22">
        <v>12.449</v>
      </c>
      <c r="C29" s="17">
        <v>17.378</v>
      </c>
      <c r="D29" s="14">
        <v>7.495531</v>
      </c>
      <c r="E29" s="17">
        <v>14.420274</v>
      </c>
      <c r="G29" s="12"/>
      <c r="H29" s="12"/>
      <c r="I29" s="12"/>
      <c r="N29" s="7">
        <v>8.482</v>
      </c>
      <c r="O29" s="7">
        <v>12.449</v>
      </c>
      <c r="P29" s="7">
        <v>13.276</v>
      </c>
      <c r="Q29" s="7">
        <v>8.482</v>
      </c>
      <c r="R29" s="7">
        <v>12.449</v>
      </c>
      <c r="S29" s="7">
        <f>17</f>
        <v>17</v>
      </c>
      <c r="T29" s="7">
        <f>17</f>
        <v>17</v>
      </c>
      <c r="U29" s="7">
        <v>3913959</v>
      </c>
      <c r="V29" s="7">
        <f t="shared" si="0"/>
        <v>3913.959</v>
      </c>
      <c r="W29" s="7">
        <v>7495531</v>
      </c>
      <c r="X29" s="7">
        <f t="shared" si="1"/>
        <v>7495.531</v>
      </c>
      <c r="Y29" s="7">
        <v>12986971</v>
      </c>
      <c r="Z29" s="7">
        <f t="shared" si="2"/>
        <v>12986.971</v>
      </c>
      <c r="AA29" s="7">
        <v>14349960</v>
      </c>
      <c r="AB29" s="7">
        <f t="shared" si="3"/>
        <v>14.34996</v>
      </c>
      <c r="AC29" s="7">
        <f t="shared" si="4"/>
        <v>14349.96</v>
      </c>
      <c r="AD29" s="7"/>
    </row>
    <row r="30" spans="1:29" ht="15.75">
      <c r="A30" s="2" t="s">
        <v>25</v>
      </c>
      <c r="B30" s="22">
        <v>62.507</v>
      </c>
      <c r="C30" s="17">
        <v>234.027</v>
      </c>
      <c r="D30" s="14">
        <v>32.659668</v>
      </c>
      <c r="E30" s="17">
        <v>309.781972</v>
      </c>
      <c r="G30" s="12"/>
      <c r="H30" s="12"/>
      <c r="I30" s="12"/>
      <c r="N30" s="7">
        <v>42.699</v>
      </c>
      <c r="O30" s="7">
        <v>62.507</v>
      </c>
      <c r="P30" s="7">
        <v>83.51</v>
      </c>
      <c r="Q30" s="7">
        <v>42.699</v>
      </c>
      <c r="R30" s="7">
        <v>62.507</v>
      </c>
      <c r="S30" s="7">
        <f>84</f>
        <v>84</v>
      </c>
      <c r="T30" s="7">
        <f>68</f>
        <v>68</v>
      </c>
      <c r="U30" s="7">
        <v>14730876</v>
      </c>
      <c r="V30" s="7">
        <f t="shared" si="0"/>
        <v>14730.876</v>
      </c>
      <c r="W30" s="7">
        <v>32659668</v>
      </c>
      <c r="X30" s="7">
        <f t="shared" si="1"/>
        <v>32659.668</v>
      </c>
      <c r="Y30" s="7">
        <v>39112147</v>
      </c>
      <c r="Z30" s="7">
        <f t="shared" si="2"/>
        <v>39112.147</v>
      </c>
      <c r="AA30" s="7">
        <v>36311644</v>
      </c>
      <c r="AB30" s="7">
        <f t="shared" si="3"/>
        <v>36.311644</v>
      </c>
      <c r="AC30" s="7">
        <f t="shared" si="4"/>
        <v>36311.644</v>
      </c>
    </row>
    <row r="31" spans="1:29" ht="15.75">
      <c r="A31" s="2" t="s">
        <v>26</v>
      </c>
      <c r="B31" s="22">
        <v>44.373</v>
      </c>
      <c r="C31" s="17">
        <v>80.698</v>
      </c>
      <c r="D31" s="14">
        <v>53.704713</v>
      </c>
      <c r="E31" s="17">
        <v>65.443185</v>
      </c>
      <c r="G31" s="12"/>
      <c r="H31" s="12"/>
      <c r="I31" s="12"/>
      <c r="N31" s="7">
        <v>31.246</v>
      </c>
      <c r="O31" s="7">
        <v>44.373</v>
      </c>
      <c r="P31" s="7">
        <v>56.986</v>
      </c>
      <c r="Q31" s="7">
        <v>31.246</v>
      </c>
      <c r="R31" s="7">
        <v>44.373</v>
      </c>
      <c r="S31" s="7">
        <f>57</f>
        <v>57</v>
      </c>
      <c r="T31" s="7">
        <f>66</f>
        <v>66</v>
      </c>
      <c r="U31" s="7">
        <v>61716155</v>
      </c>
      <c r="V31" s="7">
        <f t="shared" si="0"/>
        <v>61716.155</v>
      </c>
      <c r="W31" s="7">
        <v>53704713</v>
      </c>
      <c r="X31" s="7">
        <f t="shared" si="1"/>
        <v>53704.713</v>
      </c>
      <c r="Y31" s="7">
        <v>59961975</v>
      </c>
      <c r="Z31" s="7">
        <f t="shared" si="2"/>
        <v>59961.975</v>
      </c>
      <c r="AA31" s="7">
        <v>60404483</v>
      </c>
      <c r="AB31" s="7">
        <f t="shared" si="3"/>
        <v>60.404483</v>
      </c>
      <c r="AC31" s="7">
        <f t="shared" si="4"/>
        <v>60404.483</v>
      </c>
    </row>
    <row r="32" spans="1:29" ht="15.75">
      <c r="A32" s="2" t="s">
        <v>27</v>
      </c>
      <c r="B32" s="22">
        <v>19.958</v>
      </c>
      <c r="C32" s="17">
        <v>40.776</v>
      </c>
      <c r="D32" s="14">
        <v>15.493125</v>
      </c>
      <c r="E32" s="17">
        <v>37.273256</v>
      </c>
      <c r="G32" s="12"/>
      <c r="H32" s="12"/>
      <c r="I32" s="12"/>
      <c r="N32" s="7">
        <v>9.795</v>
      </c>
      <c r="O32" s="7">
        <v>19.958</v>
      </c>
      <c r="P32" s="7">
        <v>23.27</v>
      </c>
      <c r="Q32" s="7">
        <v>9.795</v>
      </c>
      <c r="R32" s="7">
        <v>19.958</v>
      </c>
      <c r="S32" s="7">
        <f>23</f>
        <v>23</v>
      </c>
      <c r="T32" s="7">
        <f>35</f>
        <v>35</v>
      </c>
      <c r="U32" s="7">
        <v>10562724</v>
      </c>
      <c r="V32" s="7">
        <f t="shared" si="0"/>
        <v>10562.724</v>
      </c>
      <c r="W32" s="7">
        <v>15493125</v>
      </c>
      <c r="X32" s="7">
        <f t="shared" si="1"/>
        <v>15493.125</v>
      </c>
      <c r="Y32" s="7">
        <v>24846556</v>
      </c>
      <c r="Z32" s="7">
        <f t="shared" si="2"/>
        <v>24846.556</v>
      </c>
      <c r="AA32" s="7">
        <v>28724907</v>
      </c>
      <c r="AB32" s="7">
        <f t="shared" si="3"/>
        <v>28.724907</v>
      </c>
      <c r="AC32" s="7">
        <f t="shared" si="4"/>
        <v>28724.907</v>
      </c>
    </row>
    <row r="33" spans="1:29" ht="15.75">
      <c r="A33" s="2" t="s">
        <v>28</v>
      </c>
      <c r="B33" s="22">
        <v>26.306</v>
      </c>
      <c r="C33" s="17">
        <v>44.35</v>
      </c>
      <c r="D33" s="14">
        <v>12.771005</v>
      </c>
      <c r="E33" s="17">
        <v>39.600708</v>
      </c>
      <c r="G33" s="12"/>
      <c r="H33" s="12"/>
      <c r="I33" s="12"/>
      <c r="N33" s="7">
        <v>14.443</v>
      </c>
      <c r="O33" s="7">
        <v>26.306</v>
      </c>
      <c r="P33" s="7">
        <v>34.241</v>
      </c>
      <c r="Q33" s="7">
        <v>14.443</v>
      </c>
      <c r="R33" s="7">
        <v>26.306</v>
      </c>
      <c r="S33" s="7">
        <f>34</f>
        <v>34</v>
      </c>
      <c r="T33" s="7">
        <f>41</f>
        <v>41</v>
      </c>
      <c r="U33" s="7">
        <v>8790887</v>
      </c>
      <c r="V33" s="7">
        <f t="shared" si="0"/>
        <v>8790.887</v>
      </c>
      <c r="W33" s="7">
        <v>12771005</v>
      </c>
      <c r="X33" s="7">
        <f t="shared" si="1"/>
        <v>12771.005</v>
      </c>
      <c r="Y33" s="7">
        <v>24609081</v>
      </c>
      <c r="Z33" s="7">
        <f t="shared" si="2"/>
        <v>24609.081</v>
      </c>
      <c r="AA33" s="7">
        <v>35933510</v>
      </c>
      <c r="AB33" s="7">
        <f t="shared" si="3"/>
        <v>35.93351</v>
      </c>
      <c r="AC33" s="7">
        <f t="shared" si="4"/>
        <v>35933.51</v>
      </c>
    </row>
    <row r="34" spans="1:29" ht="15.75">
      <c r="A34" s="2" t="s">
        <v>29</v>
      </c>
      <c r="B34" s="22">
        <v>55.593</v>
      </c>
      <c r="C34" s="17">
        <v>94.5</v>
      </c>
      <c r="D34" s="14">
        <v>60.026778</v>
      </c>
      <c r="E34" s="17">
        <v>71.461719</v>
      </c>
      <c r="G34" s="12"/>
      <c r="H34" s="12"/>
      <c r="I34" s="12"/>
      <c r="N34" s="7">
        <v>18.579</v>
      </c>
      <c r="O34" s="7">
        <v>55.593</v>
      </c>
      <c r="P34" s="7">
        <v>66.796</v>
      </c>
      <c r="Q34" s="7">
        <v>18.579</v>
      </c>
      <c r="R34" s="7">
        <v>55.593</v>
      </c>
      <c r="S34" s="7">
        <f>68</f>
        <v>68</v>
      </c>
      <c r="T34" s="7">
        <f>94</f>
        <v>94</v>
      </c>
      <c r="U34" s="7">
        <v>17825116</v>
      </c>
      <c r="V34" s="7">
        <f t="shared" si="0"/>
        <v>17825.116</v>
      </c>
      <c r="W34" s="7">
        <v>60026778</v>
      </c>
      <c r="X34" s="7">
        <f t="shared" si="1"/>
        <v>60026.778</v>
      </c>
      <c r="Y34" s="7">
        <v>68141781</v>
      </c>
      <c r="Z34" s="7">
        <f t="shared" si="2"/>
        <v>68141.781</v>
      </c>
      <c r="AA34" s="7">
        <v>71921223</v>
      </c>
      <c r="AB34" s="7">
        <f t="shared" si="3"/>
        <v>71.921223</v>
      </c>
      <c r="AC34" s="7">
        <f t="shared" si="4"/>
        <v>71921.223</v>
      </c>
    </row>
    <row r="35" spans="1:29" ht="15.75">
      <c r="A35" s="2" t="s">
        <v>30</v>
      </c>
      <c r="B35" s="22">
        <v>49.995</v>
      </c>
      <c r="C35" s="17">
        <v>105.58</v>
      </c>
      <c r="D35" s="14">
        <v>25.293331</v>
      </c>
      <c r="E35" s="17">
        <v>94.437506</v>
      </c>
      <c r="G35" s="12"/>
      <c r="H35" s="12"/>
      <c r="I35" s="12"/>
      <c r="N35" s="7">
        <v>21.58</v>
      </c>
      <c r="O35" s="7">
        <v>49.995</v>
      </c>
      <c r="P35" s="7">
        <v>69.579</v>
      </c>
      <c r="Q35" s="7">
        <v>21.58</v>
      </c>
      <c r="R35" s="7">
        <v>49.995</v>
      </c>
      <c r="S35" s="7">
        <f>70</f>
        <v>70</v>
      </c>
      <c r="T35" s="7">
        <f>88</f>
        <v>88</v>
      </c>
      <c r="U35" s="7">
        <v>10361817</v>
      </c>
      <c r="V35" s="7">
        <f t="shared" si="0"/>
        <v>10361.817</v>
      </c>
      <c r="W35" s="7">
        <v>25293331</v>
      </c>
      <c r="X35" s="7">
        <f t="shared" si="1"/>
        <v>25293.331</v>
      </c>
      <c r="Y35" s="7">
        <v>39699266</v>
      </c>
      <c r="Z35" s="7">
        <f t="shared" si="2"/>
        <v>39699.266</v>
      </c>
      <c r="AA35" s="7">
        <v>65082370</v>
      </c>
      <c r="AB35" s="7">
        <f t="shared" si="3"/>
        <v>65.08237</v>
      </c>
      <c r="AC35" s="7">
        <f t="shared" si="4"/>
        <v>65082.37</v>
      </c>
    </row>
    <row r="36" spans="1:29" ht="15.75">
      <c r="A36" s="2" t="s">
        <v>31</v>
      </c>
      <c r="B36" s="22">
        <v>22.742</v>
      </c>
      <c r="C36" s="17">
        <v>29.171</v>
      </c>
      <c r="D36" s="14">
        <v>11.401641</v>
      </c>
      <c r="E36" s="17">
        <v>25.228542</v>
      </c>
      <c r="G36" s="12"/>
      <c r="H36" s="12"/>
      <c r="I36" s="12"/>
      <c r="N36" s="7">
        <v>13.657</v>
      </c>
      <c r="O36" s="7">
        <v>22.742</v>
      </c>
      <c r="P36" s="7">
        <v>27.003</v>
      </c>
      <c r="Q36" s="7">
        <v>13.657</v>
      </c>
      <c r="R36" s="7">
        <v>22.742</v>
      </c>
      <c r="S36" s="7">
        <f>27</f>
        <v>27</v>
      </c>
      <c r="T36" s="7">
        <f>23</f>
        <v>23</v>
      </c>
      <c r="U36" s="7">
        <v>5617064</v>
      </c>
      <c r="V36" s="7">
        <f t="shared" si="0"/>
        <v>5617.064</v>
      </c>
      <c r="W36" s="7">
        <v>11401641</v>
      </c>
      <c r="X36" s="7">
        <f t="shared" si="1"/>
        <v>11401.641</v>
      </c>
      <c r="Y36" s="7">
        <v>14137752</v>
      </c>
      <c r="Z36" s="7">
        <f t="shared" si="2"/>
        <v>14137.752</v>
      </c>
      <c r="AA36" s="7">
        <v>17799771</v>
      </c>
      <c r="AB36" s="7">
        <f t="shared" si="3"/>
        <v>17.799771</v>
      </c>
      <c r="AC36" s="7">
        <f t="shared" si="4"/>
        <v>17799.771</v>
      </c>
    </row>
    <row r="37" spans="1:29" ht="15.75">
      <c r="A37" s="2" t="s">
        <v>32</v>
      </c>
      <c r="B37" s="22">
        <v>93.081</v>
      </c>
      <c r="C37" s="17">
        <v>111.488</v>
      </c>
      <c r="D37" s="14">
        <v>92.158722</v>
      </c>
      <c r="E37" s="17">
        <v>106.435919</v>
      </c>
      <c r="G37" s="12"/>
      <c r="H37" s="12"/>
      <c r="I37" s="12"/>
      <c r="N37" s="7">
        <v>18.072</v>
      </c>
      <c r="O37" s="7">
        <v>93.081</v>
      </c>
      <c r="P37" s="7">
        <v>109.983</v>
      </c>
      <c r="Q37" s="7">
        <v>18.072</v>
      </c>
      <c r="R37" s="7">
        <v>93.081</v>
      </c>
      <c r="S37" s="7">
        <f>110</f>
        <v>110</v>
      </c>
      <c r="T37" s="7">
        <f>125</f>
        <v>125</v>
      </c>
      <c r="U37" s="7">
        <v>13433236</v>
      </c>
      <c r="V37" s="7">
        <f t="shared" si="0"/>
        <v>13433.236</v>
      </c>
      <c r="W37" s="7">
        <v>92158722</v>
      </c>
      <c r="X37" s="7">
        <f t="shared" si="1"/>
        <v>92158.722</v>
      </c>
      <c r="Y37" s="7">
        <v>92879868</v>
      </c>
      <c r="Z37" s="7">
        <f t="shared" si="2"/>
        <v>92879.868</v>
      </c>
      <c r="AA37" s="7">
        <v>119198140</v>
      </c>
      <c r="AB37" s="7">
        <f t="shared" si="3"/>
        <v>119.19814</v>
      </c>
      <c r="AC37" s="7">
        <f t="shared" si="4"/>
        <v>119198.14</v>
      </c>
    </row>
    <row r="38" spans="1:29" ht="15.75">
      <c r="A38" s="2" t="s">
        <v>33</v>
      </c>
      <c r="B38" s="22">
        <v>113.034</v>
      </c>
      <c r="C38" s="17">
        <v>166.508</v>
      </c>
      <c r="D38" s="14">
        <v>44.165148</v>
      </c>
      <c r="E38" s="17">
        <v>119.097274</v>
      </c>
      <c r="G38" s="12"/>
      <c r="H38" s="12"/>
      <c r="I38" s="12"/>
      <c r="N38" s="7">
        <v>67.852</v>
      </c>
      <c r="O38" s="7">
        <v>113.034</v>
      </c>
      <c r="P38" s="7">
        <v>105.072</v>
      </c>
      <c r="Q38" s="7">
        <v>67.852</v>
      </c>
      <c r="R38" s="7">
        <v>113.034</v>
      </c>
      <c r="S38" s="7">
        <f>108</f>
        <v>108</v>
      </c>
      <c r="T38" s="7">
        <f>117</f>
        <v>117</v>
      </c>
      <c r="U38" s="7">
        <v>35385895</v>
      </c>
      <c r="V38" s="7">
        <f t="shared" si="0"/>
        <v>35385.895</v>
      </c>
      <c r="W38" s="7">
        <v>44165148</v>
      </c>
      <c r="X38" s="7">
        <f t="shared" si="1"/>
        <v>44165.148</v>
      </c>
      <c r="Y38" s="7">
        <v>50255986</v>
      </c>
      <c r="Z38" s="7">
        <f t="shared" si="2"/>
        <v>50255.986</v>
      </c>
      <c r="AA38" s="7">
        <v>59909653</v>
      </c>
      <c r="AB38" s="7">
        <f t="shared" si="3"/>
        <v>59.909653</v>
      </c>
      <c r="AC38" s="7">
        <f t="shared" si="4"/>
        <v>59909.653</v>
      </c>
    </row>
    <row r="39" spans="1:29" ht="15.75">
      <c r="A39" s="2" t="s">
        <v>34</v>
      </c>
      <c r="B39" s="22">
        <v>55.375</v>
      </c>
      <c r="C39" s="19" t="s">
        <v>37</v>
      </c>
      <c r="D39" s="14">
        <v>36.150187</v>
      </c>
      <c r="E39" s="17">
        <v>159.463575</v>
      </c>
      <c r="G39" s="12"/>
      <c r="H39" s="12"/>
      <c r="I39" s="12"/>
      <c r="N39" s="7">
        <v>26.652</v>
      </c>
      <c r="O39" s="7">
        <v>37.148</v>
      </c>
      <c r="P39" s="7">
        <v>76.181</v>
      </c>
      <c r="Q39" s="7">
        <v>26.652</v>
      </c>
      <c r="R39" s="7">
        <v>37.148</v>
      </c>
      <c r="S39" s="7">
        <f>76</f>
        <v>76</v>
      </c>
      <c r="T39" s="7">
        <f>72</f>
        <v>72</v>
      </c>
      <c r="U39" s="7">
        <v>14918731</v>
      </c>
      <c r="V39" s="7">
        <f t="shared" si="0"/>
        <v>14918.731</v>
      </c>
      <c r="W39" s="7">
        <v>36150187</v>
      </c>
      <c r="X39" s="7">
        <f t="shared" si="1"/>
        <v>36150.187</v>
      </c>
      <c r="Y39" s="7">
        <v>37514282</v>
      </c>
      <c r="Z39" s="7">
        <f t="shared" si="2"/>
        <v>37514.282</v>
      </c>
      <c r="AA39" s="7">
        <v>39568929</v>
      </c>
      <c r="AB39" s="7">
        <f t="shared" si="3"/>
        <v>39.568929</v>
      </c>
      <c r="AC39" s="7">
        <f t="shared" si="4"/>
        <v>39568.929</v>
      </c>
    </row>
    <row r="40" spans="1:29" ht="15.75">
      <c r="A40" s="2" t="s">
        <v>35</v>
      </c>
      <c r="B40" s="18" t="s">
        <v>36</v>
      </c>
      <c r="C40" s="20">
        <v>4.784</v>
      </c>
      <c r="D40" s="15" t="s">
        <v>36</v>
      </c>
      <c r="E40" s="17">
        <v>72.703815</v>
      </c>
      <c r="G40" s="12"/>
      <c r="H40" s="12"/>
      <c r="I40" s="12"/>
      <c r="N40" s="7">
        <v>0.021</v>
      </c>
      <c r="O40" s="7">
        <v>0.024</v>
      </c>
      <c r="P40" s="7">
        <v>0.049</v>
      </c>
      <c r="Q40" s="5" t="s">
        <v>36</v>
      </c>
      <c r="R40" s="5" t="s">
        <v>36</v>
      </c>
      <c r="S40" s="5" t="s">
        <v>36</v>
      </c>
      <c r="T40" s="5" t="s">
        <v>36</v>
      </c>
      <c r="U40" s="7">
        <v>7189</v>
      </c>
      <c r="V40" s="7">
        <f t="shared" si="0"/>
        <v>7.189</v>
      </c>
      <c r="W40" s="7">
        <v>8032</v>
      </c>
      <c r="X40" s="7">
        <f t="shared" si="1"/>
        <v>8.032</v>
      </c>
      <c r="Y40" s="7">
        <v>691689</v>
      </c>
      <c r="Z40" s="7">
        <f t="shared" si="2"/>
        <v>691.689</v>
      </c>
      <c r="AA40" s="7">
        <v>64715779</v>
      </c>
      <c r="AB40" s="7">
        <f t="shared" si="3"/>
        <v>64.715779</v>
      </c>
      <c r="AC40" s="7">
        <f t="shared" si="4"/>
        <v>64715.779</v>
      </c>
    </row>
    <row r="41" spans="1:29" ht="15.75">
      <c r="A41" s="2" t="s">
        <v>38</v>
      </c>
      <c r="B41" s="22">
        <v>12.156</v>
      </c>
      <c r="C41" s="17">
        <v>82.9</v>
      </c>
      <c r="D41" s="14">
        <v>21.086359</v>
      </c>
      <c r="E41" s="17">
        <v>101.857303</v>
      </c>
      <c r="G41" s="12"/>
      <c r="H41" s="12"/>
      <c r="I41" s="12"/>
      <c r="N41" s="7">
        <v>13.218</v>
      </c>
      <c r="O41" s="7">
        <v>20.451</v>
      </c>
      <c r="P41" s="7">
        <v>52.436</v>
      </c>
      <c r="Q41" s="7">
        <v>13.218</v>
      </c>
      <c r="R41" s="7">
        <v>20.451</v>
      </c>
      <c r="S41" s="7">
        <f>52</f>
        <v>52</v>
      </c>
      <c r="T41" s="7">
        <f>65</f>
        <v>65</v>
      </c>
      <c r="U41" s="7">
        <v>8092064</v>
      </c>
      <c r="V41" s="7">
        <f t="shared" si="0"/>
        <v>8092.064</v>
      </c>
      <c r="W41" s="7">
        <v>21086359</v>
      </c>
      <c r="X41" s="7">
        <f t="shared" si="1"/>
        <v>21086.359</v>
      </c>
      <c r="Y41" s="7">
        <v>48998466</v>
      </c>
      <c r="Z41" s="7">
        <f t="shared" si="2"/>
        <v>48998.466</v>
      </c>
      <c r="AA41" s="7">
        <v>69735044</v>
      </c>
      <c r="AB41" s="7">
        <f t="shared" si="3"/>
        <v>69.735044</v>
      </c>
      <c r="AC41" s="7">
        <f t="shared" si="4"/>
        <v>69735.044</v>
      </c>
    </row>
    <row r="42" spans="1:29" ht="15.75">
      <c r="A42" s="2" t="s">
        <v>39</v>
      </c>
      <c r="B42" s="22">
        <v>72.825</v>
      </c>
      <c r="C42" s="17">
        <v>176.014</v>
      </c>
      <c r="D42" s="14">
        <v>41.201045</v>
      </c>
      <c r="E42" s="17">
        <v>80.224683</v>
      </c>
      <c r="G42" s="12"/>
      <c r="H42" s="12"/>
      <c r="I42" s="12"/>
      <c r="N42" s="7">
        <v>49.529</v>
      </c>
      <c r="O42" s="7">
        <v>73.825</v>
      </c>
      <c r="P42" s="7">
        <v>106.594</v>
      </c>
      <c r="Q42" s="7">
        <v>49.529</v>
      </c>
      <c r="R42" s="7">
        <v>73.825</v>
      </c>
      <c r="S42" s="7">
        <f>107</f>
        <v>107</v>
      </c>
      <c r="T42" s="7">
        <f>112</f>
        <v>112</v>
      </c>
      <c r="U42" s="7">
        <v>19708219</v>
      </c>
      <c r="V42" s="7">
        <f t="shared" si="0"/>
        <v>19708.219</v>
      </c>
      <c r="W42" s="7">
        <v>41201045</v>
      </c>
      <c r="X42" s="7">
        <f t="shared" si="1"/>
        <v>41201.045</v>
      </c>
      <c r="Y42" s="7">
        <v>52306886</v>
      </c>
      <c r="Z42" s="7">
        <f t="shared" si="2"/>
        <v>52306.886</v>
      </c>
      <c r="AA42" s="7">
        <v>62187478</v>
      </c>
      <c r="AB42" s="7">
        <f t="shared" si="3"/>
        <v>62.187478</v>
      </c>
      <c r="AC42" s="7">
        <f t="shared" si="4"/>
        <v>62187.478</v>
      </c>
    </row>
    <row r="43" spans="1:29" ht="15.75">
      <c r="A43" s="2" t="s">
        <v>40</v>
      </c>
      <c r="B43" s="22">
        <v>8.317</v>
      </c>
      <c r="C43" s="17">
        <v>15.281</v>
      </c>
      <c r="D43" s="14">
        <v>4.288006</v>
      </c>
      <c r="E43" s="17">
        <v>14.323061</v>
      </c>
      <c r="G43" s="12"/>
      <c r="H43" s="12"/>
      <c r="I43" s="12"/>
      <c r="N43" s="7">
        <v>1.019</v>
      </c>
      <c r="O43" s="7">
        <v>8.317</v>
      </c>
      <c r="P43" s="7">
        <v>13.518</v>
      </c>
      <c r="Q43" s="7">
        <v>1.019</v>
      </c>
      <c r="R43" s="7">
        <v>8.317</v>
      </c>
      <c r="S43" s="7">
        <f>14</f>
        <v>14</v>
      </c>
      <c r="T43" s="7">
        <f>14</f>
        <v>14</v>
      </c>
      <c r="U43" s="7">
        <v>599352</v>
      </c>
      <c r="V43" s="7">
        <f t="shared" si="0"/>
        <v>599.352</v>
      </c>
      <c r="W43" s="7">
        <v>4288006</v>
      </c>
      <c r="X43" s="7">
        <f t="shared" si="1"/>
        <v>4288.006</v>
      </c>
      <c r="Y43" s="7">
        <v>13855721</v>
      </c>
      <c r="Z43" s="7">
        <f t="shared" si="2"/>
        <v>13855.721</v>
      </c>
      <c r="AA43" s="7">
        <v>12095451</v>
      </c>
      <c r="AB43" s="7">
        <f t="shared" si="3"/>
        <v>12.095451</v>
      </c>
      <c r="AC43" s="7">
        <f t="shared" si="4"/>
        <v>12095.451</v>
      </c>
    </row>
    <row r="44" spans="1:29" ht="15.75">
      <c r="A44" s="2" t="s">
        <v>41</v>
      </c>
      <c r="B44" s="22">
        <v>11.4</v>
      </c>
      <c r="C44" s="17">
        <v>33.314</v>
      </c>
      <c r="D44" s="14">
        <v>6.107399</v>
      </c>
      <c r="E44" s="17">
        <v>35.255567</v>
      </c>
      <c r="G44" s="12"/>
      <c r="H44" s="12"/>
      <c r="I44" s="12"/>
      <c r="N44" s="7">
        <v>9.713</v>
      </c>
      <c r="O44" s="7">
        <v>11.4</v>
      </c>
      <c r="P44" s="7">
        <v>13.933</v>
      </c>
      <c r="Q44" s="7">
        <v>9.713</v>
      </c>
      <c r="R44" s="7">
        <v>11.4</v>
      </c>
      <c r="S44" s="7">
        <f>14</f>
        <v>14</v>
      </c>
      <c r="T44" s="7">
        <f>16</f>
        <v>16</v>
      </c>
      <c r="U44" s="7">
        <v>3769747</v>
      </c>
      <c r="V44" s="7">
        <f t="shared" si="0"/>
        <v>3769.747</v>
      </c>
      <c r="W44" s="7">
        <v>6107399</v>
      </c>
      <c r="X44" s="7">
        <f t="shared" si="1"/>
        <v>6107.399</v>
      </c>
      <c r="Y44" s="7">
        <v>9448788</v>
      </c>
      <c r="Z44" s="7">
        <f t="shared" si="2"/>
        <v>9448.788</v>
      </c>
      <c r="AA44" s="7">
        <v>11807964</v>
      </c>
      <c r="AB44" s="7">
        <f t="shared" si="3"/>
        <v>11.807964</v>
      </c>
      <c r="AC44" s="7">
        <f t="shared" si="4"/>
        <v>11807.964</v>
      </c>
    </row>
    <row r="45" spans="1:29" ht="15.75">
      <c r="A45" s="2" t="s">
        <v>42</v>
      </c>
      <c r="B45" s="22">
        <v>15.946</v>
      </c>
      <c r="C45" s="17">
        <v>38.519</v>
      </c>
      <c r="D45" s="14">
        <v>8.953691</v>
      </c>
      <c r="E45" s="17">
        <v>20.633096</v>
      </c>
      <c r="G45" s="12"/>
      <c r="H45" s="12"/>
      <c r="I45" s="12"/>
      <c r="N45" s="7">
        <v>7.802</v>
      </c>
      <c r="O45" s="7">
        <v>15.946</v>
      </c>
      <c r="P45" s="7">
        <v>28.026</v>
      </c>
      <c r="Q45" s="7">
        <v>7.802</v>
      </c>
      <c r="R45" s="7">
        <v>15.946</v>
      </c>
      <c r="S45" s="7">
        <f>28</f>
        <v>28</v>
      </c>
      <c r="T45" s="7">
        <f>38</f>
        <v>38</v>
      </c>
      <c r="U45" s="7">
        <v>4110173</v>
      </c>
      <c r="V45" s="7">
        <f t="shared" si="0"/>
        <v>4110.173</v>
      </c>
      <c r="W45" s="7">
        <v>8953691</v>
      </c>
      <c r="X45" s="7">
        <f t="shared" si="1"/>
        <v>8953.691</v>
      </c>
      <c r="Y45" s="7">
        <v>14481406</v>
      </c>
      <c r="Z45" s="7">
        <f t="shared" si="2"/>
        <v>14481.406</v>
      </c>
      <c r="AA45" s="7">
        <v>20432048</v>
      </c>
      <c r="AB45" s="7">
        <f t="shared" si="3"/>
        <v>20.432048</v>
      </c>
      <c r="AC45" s="7">
        <f t="shared" si="4"/>
        <v>20432.048</v>
      </c>
    </row>
    <row r="46" spans="1:29" ht="15.75">
      <c r="A46" s="2" t="s">
        <v>43</v>
      </c>
      <c r="B46" s="22">
        <v>4.272</v>
      </c>
      <c r="C46" s="17">
        <v>10.951</v>
      </c>
      <c r="D46" s="14">
        <v>1.636808</v>
      </c>
      <c r="E46" s="17">
        <v>7.256473</v>
      </c>
      <c r="G46" s="12"/>
      <c r="H46" s="12"/>
      <c r="I46" s="12"/>
      <c r="N46" s="7">
        <v>4.554</v>
      </c>
      <c r="O46" s="7">
        <v>4.272</v>
      </c>
      <c r="P46" s="7">
        <v>5.982</v>
      </c>
      <c r="Q46" s="7">
        <v>4.554</v>
      </c>
      <c r="R46" s="7">
        <v>4.272</v>
      </c>
      <c r="S46" s="7">
        <f>6</f>
        <v>6</v>
      </c>
      <c r="T46" s="7">
        <f>8</f>
        <v>8</v>
      </c>
      <c r="U46" s="7">
        <v>902442</v>
      </c>
      <c r="V46" s="7">
        <f t="shared" si="0"/>
        <v>902.442</v>
      </c>
      <c r="W46" s="7">
        <v>1636808</v>
      </c>
      <c r="X46" s="7">
        <f t="shared" si="1"/>
        <v>1636.808</v>
      </c>
      <c r="Y46" s="7">
        <v>2957118</v>
      </c>
      <c r="Z46" s="7">
        <f t="shared" si="2"/>
        <v>2957.118</v>
      </c>
      <c r="AA46" s="7">
        <v>3916626</v>
      </c>
      <c r="AB46" s="7">
        <f t="shared" si="3"/>
        <v>3.916626</v>
      </c>
      <c r="AC46" s="7">
        <f t="shared" si="4"/>
        <v>3916.626</v>
      </c>
    </row>
    <row r="47" spans="1:29" ht="15.75">
      <c r="A47" s="2" t="s">
        <v>44</v>
      </c>
      <c r="B47" s="22">
        <v>89.034</v>
      </c>
      <c r="C47" s="17">
        <v>127.244</v>
      </c>
      <c r="D47" s="14">
        <v>46.851431</v>
      </c>
      <c r="E47" s="17">
        <v>221.921443</v>
      </c>
      <c r="G47" s="12"/>
      <c r="H47" s="12"/>
      <c r="I47" s="12"/>
      <c r="N47" s="7">
        <v>75.652</v>
      </c>
      <c r="O47" s="7">
        <v>89.034</v>
      </c>
      <c r="P47" s="7">
        <v>99.847</v>
      </c>
      <c r="Q47" s="7">
        <v>75.652</v>
      </c>
      <c r="R47" s="7">
        <v>89.034</v>
      </c>
      <c r="S47" s="7">
        <f>100</f>
        <v>100</v>
      </c>
      <c r="T47" s="7">
        <f>117</f>
        <v>117</v>
      </c>
      <c r="U47" s="7">
        <v>19615743</v>
      </c>
      <c r="V47" s="7">
        <f t="shared" si="0"/>
        <v>19615.743</v>
      </c>
      <c r="W47" s="7">
        <v>46851431</v>
      </c>
      <c r="X47" s="7">
        <f t="shared" si="1"/>
        <v>46851.431</v>
      </c>
      <c r="Y47" s="7">
        <v>128882674</v>
      </c>
      <c r="Z47" s="7">
        <f t="shared" si="2"/>
        <v>128882.674</v>
      </c>
      <c r="AA47" s="7">
        <v>252507470</v>
      </c>
      <c r="AB47" s="7">
        <f t="shared" si="3"/>
        <v>252.50747</v>
      </c>
      <c r="AC47" s="7">
        <f t="shared" si="4"/>
        <v>252507.47</v>
      </c>
    </row>
    <row r="48" spans="1:29" ht="15.75">
      <c r="A48" s="2" t="s">
        <v>45</v>
      </c>
      <c r="B48" s="22">
        <v>7.971</v>
      </c>
      <c r="C48" s="17">
        <v>20.804</v>
      </c>
      <c r="D48" s="14">
        <v>3.442273</v>
      </c>
      <c r="E48" s="17">
        <v>21.356566</v>
      </c>
      <c r="G48" s="12"/>
      <c r="H48" s="12"/>
      <c r="I48" s="12"/>
      <c r="N48" s="7">
        <v>4.5</v>
      </c>
      <c r="O48" s="7">
        <v>6.106</v>
      </c>
      <c r="P48" s="7">
        <v>10.347</v>
      </c>
      <c r="Q48" s="7">
        <v>4.5</v>
      </c>
      <c r="R48" s="7">
        <v>6.106</v>
      </c>
      <c r="S48" s="7">
        <f>10</f>
        <v>10</v>
      </c>
      <c r="T48" s="7">
        <f>20</f>
        <v>20</v>
      </c>
      <c r="U48" s="7">
        <v>767955</v>
      </c>
      <c r="V48" s="7">
        <f t="shared" si="0"/>
        <v>767.955</v>
      </c>
      <c r="W48" s="7">
        <v>3442273</v>
      </c>
      <c r="X48" s="7">
        <f t="shared" si="1"/>
        <v>3442.273</v>
      </c>
      <c r="Y48" s="7">
        <v>8023809</v>
      </c>
      <c r="Z48" s="7">
        <f t="shared" si="2"/>
        <v>8023.809</v>
      </c>
      <c r="AA48" s="7">
        <v>13893959</v>
      </c>
      <c r="AB48" s="7">
        <f t="shared" si="3"/>
        <v>13.893959</v>
      </c>
      <c r="AC48" s="7">
        <f t="shared" si="4"/>
        <v>13893.959</v>
      </c>
    </row>
    <row r="49" spans="1:29" ht="15.75">
      <c r="A49" s="2" t="s">
        <v>46</v>
      </c>
      <c r="B49" s="22">
        <v>769.457</v>
      </c>
      <c r="C49" s="17">
        <v>826.611</v>
      </c>
      <c r="D49" s="14">
        <v>401.009677</v>
      </c>
      <c r="E49" s="17">
        <v>296.939517</v>
      </c>
      <c r="G49" s="12"/>
      <c r="H49" s="12"/>
      <c r="I49" s="12"/>
      <c r="N49" s="7">
        <v>521.301</v>
      </c>
      <c r="O49" s="7">
        <v>769.457</v>
      </c>
      <c r="P49" s="7">
        <v>872.949</v>
      </c>
      <c r="Q49" s="7">
        <v>521.301</v>
      </c>
      <c r="R49" s="7">
        <v>769.457</v>
      </c>
      <c r="S49" s="7">
        <f>873</f>
        <v>873</v>
      </c>
      <c r="T49" s="7">
        <f>807</f>
        <v>807</v>
      </c>
      <c r="U49" s="7">
        <v>239428023</v>
      </c>
      <c r="V49" s="7">
        <f aca="true" t="shared" si="5" ref="V49:V67">U49/1000</f>
        <v>239428.023</v>
      </c>
      <c r="W49" s="7">
        <v>401009677</v>
      </c>
      <c r="X49" s="7">
        <f aca="true" t="shared" si="6" ref="X49:X67">W49/1000</f>
        <v>401009.677</v>
      </c>
      <c r="Y49" s="7">
        <v>343753853</v>
      </c>
      <c r="Z49" s="7">
        <f aca="true" t="shared" si="7" ref="Z49:Z67">Y49/1000</f>
        <v>343753.853</v>
      </c>
      <c r="AA49" s="7">
        <v>371562639</v>
      </c>
      <c r="AB49" s="7">
        <f aca="true" t="shared" si="8" ref="AB49:AB67">AA49/1000000</f>
        <v>371.562639</v>
      </c>
      <c r="AC49" s="7">
        <f aca="true" t="shared" si="9" ref="AC49:AC67">AA49/1000</f>
        <v>371562.639</v>
      </c>
    </row>
    <row r="50" spans="1:29" ht="15.75">
      <c r="A50" s="2" t="s">
        <v>47</v>
      </c>
      <c r="B50" s="22">
        <v>103.567</v>
      </c>
      <c r="C50" s="17">
        <v>174.259</v>
      </c>
      <c r="D50" s="14">
        <v>65.489635</v>
      </c>
      <c r="E50" s="17">
        <v>166.24175</v>
      </c>
      <c r="G50" s="12"/>
      <c r="H50" s="12"/>
      <c r="I50" s="12"/>
      <c r="N50" s="7">
        <v>57.3</v>
      </c>
      <c r="O50" s="7">
        <v>103.567</v>
      </c>
      <c r="P50" s="7">
        <v>98.65</v>
      </c>
      <c r="Q50" s="7">
        <v>57.3</v>
      </c>
      <c r="R50" s="7">
        <v>103.567</v>
      </c>
      <c r="S50" s="7">
        <f>100</f>
        <v>100</v>
      </c>
      <c r="T50" s="7">
        <f>120</f>
        <v>120</v>
      </c>
      <c r="U50" s="7">
        <v>34921018</v>
      </c>
      <c r="V50" s="7">
        <f t="shared" si="5"/>
        <v>34921.018</v>
      </c>
      <c r="W50" s="7">
        <v>65489635</v>
      </c>
      <c r="X50" s="7">
        <f t="shared" si="6"/>
        <v>65489.635</v>
      </c>
      <c r="Y50" s="7">
        <v>70869193</v>
      </c>
      <c r="Z50" s="7">
        <f t="shared" si="7"/>
        <v>70869.193</v>
      </c>
      <c r="AA50" s="7">
        <v>86032756</v>
      </c>
      <c r="AB50" s="7">
        <f t="shared" si="8"/>
        <v>86.032756</v>
      </c>
      <c r="AC50" s="7">
        <f t="shared" si="9"/>
        <v>86032.756</v>
      </c>
    </row>
    <row r="51" spans="1:29" ht="15.75">
      <c r="A51" s="2" t="s">
        <v>48</v>
      </c>
      <c r="B51" s="22">
        <v>2.573</v>
      </c>
      <c r="C51" s="17">
        <v>5.133</v>
      </c>
      <c r="D51" s="14">
        <v>1.783451</v>
      </c>
      <c r="E51" s="17">
        <v>6.858392</v>
      </c>
      <c r="G51" s="12"/>
      <c r="H51" s="12"/>
      <c r="I51" s="12"/>
      <c r="N51" s="7">
        <v>0.266</v>
      </c>
      <c r="O51" s="7">
        <v>2.573</v>
      </c>
      <c r="P51" s="7">
        <v>3.404</v>
      </c>
      <c r="Q51" s="5" t="s">
        <v>36</v>
      </c>
      <c r="R51" s="7">
        <v>2.573</v>
      </c>
      <c r="S51" s="7">
        <f>3</f>
        <v>3</v>
      </c>
      <c r="T51" s="7">
        <f>4</f>
        <v>4</v>
      </c>
      <c r="U51" s="7">
        <v>75874</v>
      </c>
      <c r="V51" s="7">
        <f t="shared" si="5"/>
        <v>75.874</v>
      </c>
      <c r="W51" s="7">
        <v>1783451</v>
      </c>
      <c r="X51" s="7">
        <f t="shared" si="6"/>
        <v>1783.451</v>
      </c>
      <c r="Y51" s="7">
        <v>2479750</v>
      </c>
      <c r="Z51" s="7">
        <f t="shared" si="7"/>
        <v>2479.75</v>
      </c>
      <c r="AA51" s="7">
        <v>3825164</v>
      </c>
      <c r="AB51" s="7">
        <f t="shared" si="8"/>
        <v>3.825164</v>
      </c>
      <c r="AC51" s="7">
        <f t="shared" si="9"/>
        <v>3825.164</v>
      </c>
    </row>
    <row r="52" spans="1:29" ht="15.75">
      <c r="A52" s="2" t="s">
        <v>49</v>
      </c>
      <c r="B52" s="22">
        <v>118.29</v>
      </c>
      <c r="C52" s="17">
        <v>220.19</v>
      </c>
      <c r="D52" s="14">
        <v>53.069445</v>
      </c>
      <c r="E52" s="17">
        <v>167.117345</v>
      </c>
      <c r="G52" s="12"/>
      <c r="H52" s="12"/>
      <c r="I52" s="12"/>
      <c r="N52" s="7">
        <v>83.688</v>
      </c>
      <c r="O52" s="7">
        <v>111.436</v>
      </c>
      <c r="P52" s="7">
        <v>158.265</v>
      </c>
      <c r="Q52" s="7">
        <v>83.688</v>
      </c>
      <c r="R52" s="7">
        <v>111.436</v>
      </c>
      <c r="S52" s="7">
        <f>162</f>
        <v>162</v>
      </c>
      <c r="T52" s="7">
        <f>183</f>
        <v>183</v>
      </c>
      <c r="U52" s="7">
        <v>35871992</v>
      </c>
      <c r="V52" s="7">
        <f t="shared" si="5"/>
        <v>35871.992</v>
      </c>
      <c r="W52" s="7">
        <v>53069445</v>
      </c>
      <c r="X52" s="7">
        <f t="shared" si="6"/>
        <v>53069.445</v>
      </c>
      <c r="Y52" s="7">
        <v>100155035</v>
      </c>
      <c r="Z52" s="7">
        <f t="shared" si="7"/>
        <v>100155.035</v>
      </c>
      <c r="AA52" s="7">
        <v>129032772</v>
      </c>
      <c r="AB52" s="7">
        <f t="shared" si="8"/>
        <v>129.032772</v>
      </c>
      <c r="AC52" s="7">
        <f t="shared" si="9"/>
        <v>129032.772</v>
      </c>
    </row>
    <row r="53" spans="1:29" ht="15.75">
      <c r="A53" s="2" t="s">
        <v>50</v>
      </c>
      <c r="B53" s="22">
        <v>57.719</v>
      </c>
      <c r="C53" s="17">
        <v>100.761</v>
      </c>
      <c r="D53" s="14">
        <v>51.257243</v>
      </c>
      <c r="E53" s="17">
        <v>46.134374</v>
      </c>
      <c r="G53" s="12"/>
      <c r="H53" s="12"/>
      <c r="I53" s="12"/>
      <c r="N53" s="7">
        <v>40.196</v>
      </c>
      <c r="O53" s="7">
        <v>57.719</v>
      </c>
      <c r="P53" s="7">
        <v>38.858</v>
      </c>
      <c r="Q53" s="7">
        <v>40.196</v>
      </c>
      <c r="R53" s="7">
        <v>57.719</v>
      </c>
      <c r="S53" s="7">
        <f>39</f>
        <v>39</v>
      </c>
      <c r="T53" s="7">
        <f>84</f>
        <v>84</v>
      </c>
      <c r="U53" s="7">
        <v>0</v>
      </c>
      <c r="V53" s="7">
        <f t="shared" si="5"/>
        <v>0</v>
      </c>
      <c r="W53" s="7">
        <v>51257243</v>
      </c>
      <c r="X53" s="7">
        <f t="shared" si="6"/>
        <v>51257.243</v>
      </c>
      <c r="Y53" s="7">
        <v>25903211</v>
      </c>
      <c r="Z53" s="7">
        <f t="shared" si="7"/>
        <v>25903.211</v>
      </c>
      <c r="AA53" s="7">
        <v>30156974</v>
      </c>
      <c r="AB53" s="7">
        <f t="shared" si="8"/>
        <v>30.156974</v>
      </c>
      <c r="AC53" s="7">
        <f t="shared" si="9"/>
        <v>30156.974</v>
      </c>
    </row>
    <row r="54" spans="1:29" ht="15.75">
      <c r="A54" s="2" t="s">
        <v>51</v>
      </c>
      <c r="B54" s="22">
        <v>37.092</v>
      </c>
      <c r="C54" s="17">
        <v>46.72</v>
      </c>
      <c r="D54" s="14">
        <v>12.509268</v>
      </c>
      <c r="E54" s="17">
        <v>25.267409</v>
      </c>
      <c r="G54" s="12"/>
      <c r="H54" s="12"/>
      <c r="I54" s="12"/>
      <c r="N54" s="7">
        <v>27.285</v>
      </c>
      <c r="O54" s="7">
        <v>37.092</v>
      </c>
      <c r="P54" s="7">
        <v>41.468</v>
      </c>
      <c r="Q54" s="7">
        <v>27.285</v>
      </c>
      <c r="R54" s="7">
        <v>37.092</v>
      </c>
      <c r="S54" s="7">
        <f>41</f>
        <v>41</v>
      </c>
      <c r="T54" s="7">
        <f>43</f>
        <v>43</v>
      </c>
      <c r="U54" s="7">
        <v>7246681</v>
      </c>
      <c r="V54" s="7">
        <f t="shared" si="5"/>
        <v>7246.681</v>
      </c>
      <c r="W54" s="7">
        <v>12509268</v>
      </c>
      <c r="X54" s="7">
        <f t="shared" si="6"/>
        <v>12509.268</v>
      </c>
      <c r="Y54" s="7">
        <v>14793063</v>
      </c>
      <c r="Z54" s="7">
        <f t="shared" si="7"/>
        <v>14793.063</v>
      </c>
      <c r="AA54" s="7">
        <v>16285960</v>
      </c>
      <c r="AB54" s="7">
        <f t="shared" si="8"/>
        <v>16.28596</v>
      </c>
      <c r="AC54" s="7">
        <f t="shared" si="9"/>
        <v>16285.96</v>
      </c>
    </row>
    <row r="55" spans="1:29" ht="15.75">
      <c r="A55" s="2" t="s">
        <v>52</v>
      </c>
      <c r="B55" s="22">
        <v>119.71</v>
      </c>
      <c r="C55" s="17">
        <v>177.415</v>
      </c>
      <c r="D55" s="14">
        <v>70.683861</v>
      </c>
      <c r="E55" s="17">
        <v>126.615991</v>
      </c>
      <c r="G55" s="12"/>
      <c r="H55" s="12"/>
      <c r="I55" s="12"/>
      <c r="N55" s="7">
        <v>81.758</v>
      </c>
      <c r="O55" s="7">
        <v>119.71</v>
      </c>
      <c r="P55" s="7">
        <v>141.163</v>
      </c>
      <c r="Q55" s="7">
        <v>81.758</v>
      </c>
      <c r="R55" s="7">
        <v>119.71</v>
      </c>
      <c r="S55" s="7">
        <f>141</f>
        <v>141</v>
      </c>
      <c r="T55" s="7">
        <f>149</f>
        <v>149</v>
      </c>
      <c r="U55" s="7">
        <v>42260916</v>
      </c>
      <c r="V55" s="7">
        <f t="shared" si="5"/>
        <v>42260.916</v>
      </c>
      <c r="W55" s="7">
        <v>70683861</v>
      </c>
      <c r="X55" s="7">
        <f t="shared" si="6"/>
        <v>70683.861</v>
      </c>
      <c r="Y55" s="7">
        <v>90653376</v>
      </c>
      <c r="Z55" s="7">
        <f t="shared" si="7"/>
        <v>90653.376</v>
      </c>
      <c r="AA55" s="7">
        <v>104009578</v>
      </c>
      <c r="AB55" s="7">
        <f t="shared" si="8"/>
        <v>104.009578</v>
      </c>
      <c r="AC55" s="7">
        <f t="shared" si="9"/>
        <v>104009.578</v>
      </c>
    </row>
    <row r="56" spans="1:29" ht="15.75">
      <c r="A56" s="2" t="s">
        <v>53</v>
      </c>
      <c r="B56" s="22">
        <v>11.539</v>
      </c>
      <c r="C56" s="17">
        <v>25.573</v>
      </c>
      <c r="D56" s="14">
        <v>10.350177</v>
      </c>
      <c r="E56" s="17">
        <v>25.215427</v>
      </c>
      <c r="G56" s="12"/>
      <c r="H56" s="12"/>
      <c r="I56" s="12"/>
      <c r="N56" s="7">
        <v>7.288</v>
      </c>
      <c r="O56" s="7">
        <v>11.539</v>
      </c>
      <c r="P56" s="7">
        <v>17.398</v>
      </c>
      <c r="Q56" s="7">
        <v>7.288</v>
      </c>
      <c r="R56" s="7">
        <v>11.539</v>
      </c>
      <c r="S56" s="7">
        <f>17</f>
        <v>17</v>
      </c>
      <c r="T56" s="7">
        <f>20</f>
        <v>20</v>
      </c>
      <c r="U56" s="7">
        <v>2321095</v>
      </c>
      <c r="V56" s="7">
        <f t="shared" si="5"/>
        <v>2321.095</v>
      </c>
      <c r="W56" s="7">
        <v>10350177</v>
      </c>
      <c r="X56" s="7">
        <f t="shared" si="6"/>
        <v>10350.177</v>
      </c>
      <c r="Y56" s="7">
        <v>18343906</v>
      </c>
      <c r="Z56" s="7">
        <f t="shared" si="7"/>
        <v>18343.906</v>
      </c>
      <c r="AA56" s="7">
        <v>34506325</v>
      </c>
      <c r="AB56" s="7">
        <f t="shared" si="8"/>
        <v>34.506325</v>
      </c>
      <c r="AC56" s="7">
        <f t="shared" si="9"/>
        <v>34506.325</v>
      </c>
    </row>
    <row r="57" spans="1:29" ht="15.75">
      <c r="A57" s="2" t="s">
        <v>54</v>
      </c>
      <c r="B57" s="22">
        <v>60.415</v>
      </c>
      <c r="C57" s="17">
        <v>75.597</v>
      </c>
      <c r="D57" s="14">
        <v>46.59072</v>
      </c>
      <c r="E57" s="17">
        <v>50.755121</v>
      </c>
      <c r="G57" s="12"/>
      <c r="H57" s="12"/>
      <c r="I57" s="12"/>
      <c r="N57" s="7">
        <v>45.737</v>
      </c>
      <c r="O57" s="7">
        <v>59.853</v>
      </c>
      <c r="P57" s="7">
        <v>66.183</v>
      </c>
      <c r="Q57" s="7">
        <v>45.737</v>
      </c>
      <c r="R57" s="7">
        <v>59.853</v>
      </c>
      <c r="S57" s="7">
        <f>66</f>
        <v>66</v>
      </c>
      <c r="T57" s="7">
        <f>69</f>
        <v>69</v>
      </c>
      <c r="U57" s="7">
        <v>43205043</v>
      </c>
      <c r="V57" s="7">
        <f t="shared" si="5"/>
        <v>43205.043</v>
      </c>
      <c r="W57" s="7">
        <v>46590720</v>
      </c>
      <c r="X57" s="7">
        <f t="shared" si="6"/>
        <v>46590.72</v>
      </c>
      <c r="Y57" s="7">
        <v>48516408</v>
      </c>
      <c r="Z57" s="7">
        <f t="shared" si="7"/>
        <v>48516.408</v>
      </c>
      <c r="AA57" s="7">
        <v>41550241</v>
      </c>
      <c r="AB57" s="7">
        <f t="shared" si="8"/>
        <v>41.550241</v>
      </c>
      <c r="AC57" s="7">
        <f t="shared" si="9"/>
        <v>41550.241</v>
      </c>
    </row>
    <row r="58" spans="1:29" ht="15.75">
      <c r="A58" s="2" t="s">
        <v>55</v>
      </c>
      <c r="B58" s="22">
        <v>5.888</v>
      </c>
      <c r="C58" s="17">
        <v>13.397</v>
      </c>
      <c r="D58" s="14">
        <v>3.109216</v>
      </c>
      <c r="E58" s="17">
        <v>10.852642</v>
      </c>
      <c r="G58" s="12"/>
      <c r="H58" s="12"/>
      <c r="I58" s="12"/>
      <c r="N58" s="7">
        <v>3.191</v>
      </c>
      <c r="O58" s="7">
        <v>5.888</v>
      </c>
      <c r="P58" s="7">
        <v>8.937</v>
      </c>
      <c r="Q58" s="7">
        <v>3.191</v>
      </c>
      <c r="R58" s="7">
        <v>5.888</v>
      </c>
      <c r="S58" s="7">
        <f>9</f>
        <v>9</v>
      </c>
      <c r="T58" s="7">
        <f>11</f>
        <v>11</v>
      </c>
      <c r="U58" s="7">
        <v>1494027</v>
      </c>
      <c r="V58" s="7">
        <f t="shared" si="5"/>
        <v>1494.027</v>
      </c>
      <c r="W58" s="7">
        <v>3109216</v>
      </c>
      <c r="X58" s="7">
        <f t="shared" si="6"/>
        <v>3109.216</v>
      </c>
      <c r="Y58" s="7">
        <v>5229694</v>
      </c>
      <c r="Z58" s="7">
        <f t="shared" si="7"/>
        <v>5229.694</v>
      </c>
      <c r="AA58" s="7">
        <v>8657394</v>
      </c>
      <c r="AB58" s="7">
        <f t="shared" si="8"/>
        <v>8.657394</v>
      </c>
      <c r="AC58" s="7">
        <f t="shared" si="9"/>
        <v>8657.394</v>
      </c>
    </row>
    <row r="59" spans="1:29" ht="15.75">
      <c r="A59" s="2" t="s">
        <v>56</v>
      </c>
      <c r="B59" s="22">
        <v>14.861</v>
      </c>
      <c r="C59" s="20" t="s">
        <v>37</v>
      </c>
      <c r="D59" s="14">
        <v>41.705133</v>
      </c>
      <c r="E59" s="17">
        <v>4.465223</v>
      </c>
      <c r="G59" s="12"/>
      <c r="H59" s="12"/>
      <c r="I59" s="12"/>
      <c r="N59" s="7">
        <v>9.732</v>
      </c>
      <c r="O59" s="7">
        <v>14.861</v>
      </c>
      <c r="P59" s="7">
        <v>8.615</v>
      </c>
      <c r="Q59" s="7">
        <v>9.732</v>
      </c>
      <c r="R59" s="7">
        <v>14.861</v>
      </c>
      <c r="S59" s="7">
        <f>9</f>
        <v>9</v>
      </c>
      <c r="T59" s="1" t="s">
        <v>6</v>
      </c>
      <c r="U59" s="7">
        <v>0</v>
      </c>
      <c r="V59" s="7">
        <f t="shared" si="5"/>
        <v>0</v>
      </c>
      <c r="W59" s="7">
        <v>41705133</v>
      </c>
      <c r="X59" s="7">
        <f t="shared" si="6"/>
        <v>41705.133</v>
      </c>
      <c r="Y59" s="7">
        <v>14439397</v>
      </c>
      <c r="Z59" s="7">
        <f t="shared" si="7"/>
        <v>14439.397</v>
      </c>
      <c r="AA59" s="7">
        <v>3994469</v>
      </c>
      <c r="AB59" s="7">
        <f t="shared" si="8"/>
        <v>3.994469</v>
      </c>
      <c r="AC59" s="7">
        <f t="shared" si="9"/>
        <v>3994.469</v>
      </c>
    </row>
    <row r="60" spans="1:29" ht="15.75">
      <c r="A60" s="2" t="s">
        <v>57</v>
      </c>
      <c r="B60" s="22">
        <v>131.096</v>
      </c>
      <c r="C60" s="17">
        <v>650.856</v>
      </c>
      <c r="D60" s="14">
        <v>41.432546</v>
      </c>
      <c r="E60" s="17">
        <v>282.484177</v>
      </c>
      <c r="G60" s="12"/>
      <c r="H60" s="12"/>
      <c r="I60" s="12"/>
      <c r="N60" s="7">
        <v>50.878</v>
      </c>
      <c r="O60" s="7">
        <v>130.519</v>
      </c>
      <c r="P60" s="7">
        <v>500.95</v>
      </c>
      <c r="Q60" s="7">
        <v>50.878</v>
      </c>
      <c r="R60" s="7">
        <v>130.519</v>
      </c>
      <c r="S60" s="7">
        <f>501</f>
        <v>501</v>
      </c>
      <c r="T60" s="7">
        <f>727</f>
        <v>727</v>
      </c>
      <c r="U60" s="7">
        <v>38520425</v>
      </c>
      <c r="V60" s="7">
        <f t="shared" si="5"/>
        <v>38520.425</v>
      </c>
      <c r="W60" s="7">
        <v>41432546</v>
      </c>
      <c r="X60" s="7">
        <f t="shared" si="6"/>
        <v>41432.546</v>
      </c>
      <c r="Y60" s="7">
        <v>264017608</v>
      </c>
      <c r="Z60" s="7">
        <f t="shared" si="7"/>
        <v>264017.608</v>
      </c>
      <c r="AA60" s="7">
        <v>535735402</v>
      </c>
      <c r="AB60" s="7">
        <f t="shared" si="8"/>
        <v>535.735402</v>
      </c>
      <c r="AC60" s="7">
        <f t="shared" si="9"/>
        <v>535735.402</v>
      </c>
    </row>
    <row r="61" spans="1:29" ht="15.75">
      <c r="A61" s="2" t="s">
        <v>58</v>
      </c>
      <c r="B61" s="22">
        <v>25.294</v>
      </c>
      <c r="C61" s="17">
        <v>38.693</v>
      </c>
      <c r="D61" s="14">
        <v>12.841653</v>
      </c>
      <c r="E61" s="17">
        <v>28.04152</v>
      </c>
      <c r="G61" s="12"/>
      <c r="H61" s="12"/>
      <c r="I61" s="12"/>
      <c r="N61" s="7">
        <v>13.04</v>
      </c>
      <c r="O61" s="7">
        <v>25.294</v>
      </c>
      <c r="P61" s="7">
        <v>34.655</v>
      </c>
      <c r="Q61" s="7">
        <v>13.04</v>
      </c>
      <c r="R61" s="7">
        <v>25.294</v>
      </c>
      <c r="S61" s="7">
        <f>35</f>
        <v>35</v>
      </c>
      <c r="T61" s="7">
        <f>34</f>
        <v>34</v>
      </c>
      <c r="U61" s="7">
        <v>7994253</v>
      </c>
      <c r="V61" s="7">
        <f t="shared" si="5"/>
        <v>7994.253</v>
      </c>
      <c r="W61" s="7">
        <v>12841653</v>
      </c>
      <c r="X61" s="7">
        <f t="shared" si="6"/>
        <v>12841.653</v>
      </c>
      <c r="Y61" s="7">
        <v>22558457</v>
      </c>
      <c r="Z61" s="7">
        <f t="shared" si="7"/>
        <v>22558.457</v>
      </c>
      <c r="AA61" s="7">
        <v>25838081</v>
      </c>
      <c r="AB61" s="7">
        <f t="shared" si="8"/>
        <v>25.838081</v>
      </c>
      <c r="AC61" s="7">
        <f t="shared" si="9"/>
        <v>25838.081</v>
      </c>
    </row>
    <row r="62" spans="1:29" ht="15.75">
      <c r="A62" s="2" t="s">
        <v>59</v>
      </c>
      <c r="B62" s="22">
        <v>4.081</v>
      </c>
      <c r="C62" s="17">
        <v>6.693</v>
      </c>
      <c r="D62" s="14">
        <v>1.430488</v>
      </c>
      <c r="E62" s="17">
        <v>3.24664</v>
      </c>
      <c r="G62" s="12"/>
      <c r="H62" s="12"/>
      <c r="I62" s="12"/>
      <c r="N62" s="7">
        <v>2.055</v>
      </c>
      <c r="O62" s="7">
        <v>4.081</v>
      </c>
      <c r="P62" s="7">
        <v>2.996</v>
      </c>
      <c r="Q62" s="7">
        <v>2.055</v>
      </c>
      <c r="R62" s="7">
        <v>4.081</v>
      </c>
      <c r="S62" s="7">
        <f>5</f>
        <v>5</v>
      </c>
      <c r="T62" s="7">
        <f>6</f>
        <v>6</v>
      </c>
      <c r="U62" s="7">
        <v>524624</v>
      </c>
      <c r="V62" s="7">
        <f t="shared" si="5"/>
        <v>524.624</v>
      </c>
      <c r="W62" s="7">
        <v>1430488</v>
      </c>
      <c r="X62" s="7">
        <f t="shared" si="6"/>
        <v>1430.488</v>
      </c>
      <c r="Y62" s="7">
        <v>2339630</v>
      </c>
      <c r="Z62" s="7">
        <f t="shared" si="7"/>
        <v>2339.63</v>
      </c>
      <c r="AA62" s="7">
        <v>2553015</v>
      </c>
      <c r="AB62" s="7">
        <f t="shared" si="8"/>
        <v>2.553015</v>
      </c>
      <c r="AC62" s="7">
        <f t="shared" si="9"/>
        <v>2553.015</v>
      </c>
    </row>
    <row r="63" spans="1:29" ht="15.75">
      <c r="A63" s="2" t="s">
        <v>60</v>
      </c>
      <c r="B63" s="22">
        <v>37.681</v>
      </c>
      <c r="C63" s="17">
        <v>99.569</v>
      </c>
      <c r="D63" s="14">
        <v>18.55776</v>
      </c>
      <c r="E63" s="17">
        <v>62.955316</v>
      </c>
      <c r="G63" s="12"/>
      <c r="H63" s="12"/>
      <c r="I63" s="12"/>
      <c r="N63" s="7">
        <v>16.895</v>
      </c>
      <c r="O63" s="7">
        <v>37.681</v>
      </c>
      <c r="P63" s="7">
        <v>73.102</v>
      </c>
      <c r="Q63" s="7">
        <v>16.895</v>
      </c>
      <c r="R63" s="7">
        <v>37.681</v>
      </c>
      <c r="S63" s="7">
        <f>73</f>
        <v>73</v>
      </c>
      <c r="T63" s="7">
        <f>68</f>
        <v>68</v>
      </c>
      <c r="U63" s="7">
        <v>4992151</v>
      </c>
      <c r="V63" s="7">
        <f t="shared" si="5"/>
        <v>4992.151</v>
      </c>
      <c r="W63" s="7">
        <v>18557760</v>
      </c>
      <c r="X63" s="7">
        <f t="shared" si="6"/>
        <v>18557.76</v>
      </c>
      <c r="Y63" s="7">
        <v>28926766</v>
      </c>
      <c r="Z63" s="7">
        <f t="shared" si="7"/>
        <v>28926.766</v>
      </c>
      <c r="AA63" s="7">
        <v>39733144</v>
      </c>
      <c r="AB63" s="7">
        <f t="shared" si="8"/>
        <v>39.733144</v>
      </c>
      <c r="AC63" s="7">
        <f t="shared" si="9"/>
        <v>39733.144</v>
      </c>
    </row>
    <row r="64" spans="1:29" ht="15.75">
      <c r="A64" s="2" t="s">
        <v>61</v>
      </c>
      <c r="B64" s="22">
        <v>2.616</v>
      </c>
      <c r="C64" s="17">
        <v>17.002</v>
      </c>
      <c r="D64" s="14">
        <v>0.604279</v>
      </c>
      <c r="E64" s="17">
        <v>39.689527</v>
      </c>
      <c r="G64" s="12"/>
      <c r="H64" s="12"/>
      <c r="I64" s="12"/>
      <c r="N64" s="7">
        <v>0</v>
      </c>
      <c r="O64" s="7">
        <v>2.616</v>
      </c>
      <c r="P64" s="7">
        <v>7.621</v>
      </c>
      <c r="Q64" s="7">
        <v>0</v>
      </c>
      <c r="R64" s="7">
        <v>2.616</v>
      </c>
      <c r="S64" s="7">
        <f>8</f>
        <v>8</v>
      </c>
      <c r="T64" s="7">
        <f>9</f>
        <v>9</v>
      </c>
      <c r="U64" s="7">
        <v>0</v>
      </c>
      <c r="V64" s="7">
        <f t="shared" si="5"/>
        <v>0</v>
      </c>
      <c r="W64" s="7">
        <v>604279</v>
      </c>
      <c r="X64" s="7">
        <f t="shared" si="6"/>
        <v>604.279</v>
      </c>
      <c r="Y64" s="7">
        <v>5534659</v>
      </c>
      <c r="Z64" s="7">
        <f t="shared" si="7"/>
        <v>5534.659</v>
      </c>
      <c r="AA64" s="7">
        <v>8041411</v>
      </c>
      <c r="AB64" s="7">
        <f t="shared" si="8"/>
        <v>8.041411</v>
      </c>
      <c r="AC64" s="7">
        <f t="shared" si="9"/>
        <v>8041.411</v>
      </c>
    </row>
    <row r="65" spans="1:29" ht="15.75">
      <c r="A65" s="2" t="s">
        <v>62</v>
      </c>
      <c r="B65" s="22">
        <v>21.659</v>
      </c>
      <c r="C65" s="17">
        <v>36.906</v>
      </c>
      <c r="D65" s="14">
        <v>9.692128</v>
      </c>
      <c r="E65" s="17">
        <v>30.822231</v>
      </c>
      <c r="G65" s="12"/>
      <c r="H65" s="12"/>
      <c r="I65" s="12"/>
      <c r="N65" s="7">
        <v>7.957</v>
      </c>
      <c r="O65" s="7">
        <v>21.659</v>
      </c>
      <c r="P65" s="7">
        <v>33.144</v>
      </c>
      <c r="Q65" s="7">
        <v>7.957</v>
      </c>
      <c r="R65" s="7">
        <v>21.659</v>
      </c>
      <c r="S65" s="7">
        <f>33</f>
        <v>33</v>
      </c>
      <c r="T65" s="7">
        <f>36</f>
        <v>36</v>
      </c>
      <c r="U65" s="7">
        <v>1075534</v>
      </c>
      <c r="V65" s="7">
        <f t="shared" si="5"/>
        <v>1075.534</v>
      </c>
      <c r="W65" s="7">
        <v>9692128</v>
      </c>
      <c r="X65" s="7">
        <f t="shared" si="6"/>
        <v>9692.128</v>
      </c>
      <c r="Y65" s="7">
        <v>22197075</v>
      </c>
      <c r="Z65" s="7">
        <f t="shared" si="7"/>
        <v>22197.075</v>
      </c>
      <c r="AA65" s="7">
        <v>26891620</v>
      </c>
      <c r="AB65" s="7">
        <f t="shared" si="8"/>
        <v>26.89162</v>
      </c>
      <c r="AC65" s="7">
        <f t="shared" si="9"/>
        <v>26891.62</v>
      </c>
    </row>
    <row r="66" spans="1:29" ht="15.75">
      <c r="A66" s="2" t="s">
        <v>63</v>
      </c>
      <c r="B66" s="22">
        <v>47.14</v>
      </c>
      <c r="C66" s="17">
        <v>67.893</v>
      </c>
      <c r="D66" s="14">
        <v>21.39421</v>
      </c>
      <c r="E66" s="17">
        <v>93.689527</v>
      </c>
      <c r="G66" s="12"/>
      <c r="H66" s="12"/>
      <c r="I66" s="12"/>
      <c r="N66" s="7">
        <v>12.949</v>
      </c>
      <c r="O66" s="7">
        <v>47.14</v>
      </c>
      <c r="P66" s="7">
        <v>57.183</v>
      </c>
      <c r="Q66" s="7">
        <v>12.949</v>
      </c>
      <c r="R66" s="7">
        <v>47.14</v>
      </c>
      <c r="S66" s="7">
        <f>57</f>
        <v>57</v>
      </c>
      <c r="T66" s="7">
        <f>62</f>
        <v>62</v>
      </c>
      <c r="U66" s="7">
        <v>2067151</v>
      </c>
      <c r="V66" s="7">
        <f t="shared" si="5"/>
        <v>2067.151</v>
      </c>
      <c r="W66" s="7">
        <v>21394210</v>
      </c>
      <c r="X66" s="7">
        <f t="shared" si="6"/>
        <v>21394.21</v>
      </c>
      <c r="Y66" s="7">
        <v>55593342</v>
      </c>
      <c r="Z66" s="7">
        <f t="shared" si="7"/>
        <v>55593.342</v>
      </c>
      <c r="AA66" s="7">
        <v>80272444</v>
      </c>
      <c r="AB66" s="7">
        <f t="shared" si="8"/>
        <v>80.272444</v>
      </c>
      <c r="AC66" s="7">
        <f t="shared" si="9"/>
        <v>80272.444</v>
      </c>
    </row>
    <row r="67" spans="1:29" ht="15.75">
      <c r="A67" s="2" t="s">
        <v>64</v>
      </c>
      <c r="B67" s="30">
        <v>2.547</v>
      </c>
      <c r="C67" s="31">
        <v>5.525</v>
      </c>
      <c r="D67" s="32">
        <v>1.040982</v>
      </c>
      <c r="E67" s="31">
        <v>5.17356</v>
      </c>
      <c r="G67" s="12"/>
      <c r="H67" s="12"/>
      <c r="I67" s="12"/>
      <c r="N67" s="7">
        <v>0</v>
      </c>
      <c r="O67" s="7">
        <v>2.547</v>
      </c>
      <c r="P67" s="7">
        <v>4.652</v>
      </c>
      <c r="Q67" s="7">
        <v>0</v>
      </c>
      <c r="R67" s="7">
        <v>2.547</v>
      </c>
      <c r="S67" s="7">
        <f>5</f>
        <v>5</v>
      </c>
      <c r="T67" s="7">
        <f>5</f>
        <v>5</v>
      </c>
      <c r="U67" s="7">
        <v>0</v>
      </c>
      <c r="V67" s="7">
        <f t="shared" si="5"/>
        <v>0</v>
      </c>
      <c r="W67" s="7">
        <v>1040982</v>
      </c>
      <c r="X67" s="7">
        <f t="shared" si="6"/>
        <v>1040.982</v>
      </c>
      <c r="Y67" s="7">
        <v>2960315</v>
      </c>
      <c r="Z67" s="7">
        <f t="shared" si="7"/>
        <v>2960.315</v>
      </c>
      <c r="AA67" s="7">
        <v>3158772</v>
      </c>
      <c r="AB67" s="7">
        <f t="shared" si="8"/>
        <v>3.158772</v>
      </c>
      <c r="AC67" s="7">
        <f t="shared" si="9"/>
        <v>3158.772</v>
      </c>
    </row>
    <row r="68" spans="1:27" ht="15.75">
      <c r="A68" s="37"/>
      <c r="B68" s="38"/>
      <c r="C68" s="11"/>
      <c r="D68" s="11"/>
      <c r="E68" s="25"/>
      <c r="N68" s="3" t="s">
        <v>6</v>
      </c>
      <c r="O68" s="3" t="s">
        <v>6</v>
      </c>
      <c r="P68" s="3" t="s">
        <v>6</v>
      </c>
      <c r="Q68" s="3" t="s">
        <v>6</v>
      </c>
      <c r="R68" s="3" t="s">
        <v>6</v>
      </c>
      <c r="S68" s="3" t="s">
        <v>65</v>
      </c>
      <c r="T68" s="3" t="s">
        <v>6</v>
      </c>
      <c r="U68" s="3" t="s">
        <v>6</v>
      </c>
      <c r="W68" s="3" t="s">
        <v>6</v>
      </c>
      <c r="Y68" s="3" t="s">
        <v>6</v>
      </c>
      <c r="AA68" s="3" t="s">
        <v>6</v>
      </c>
    </row>
    <row r="69" ht="15.75">
      <c r="A69" s="2" t="s">
        <v>80</v>
      </c>
    </row>
    <row r="70" ht="15.75">
      <c r="A70" s="2" t="s">
        <v>66</v>
      </c>
    </row>
    <row r="71" ht="15.75">
      <c r="A71" s="2" t="s">
        <v>67</v>
      </c>
    </row>
    <row r="72" ht="15.75">
      <c r="A72" s="2"/>
    </row>
    <row r="73" ht="15.75">
      <c r="A73" s="2" t="s">
        <v>72</v>
      </c>
    </row>
    <row r="74" ht="15.75">
      <c r="A74" s="2" t="s">
        <v>79</v>
      </c>
    </row>
    <row r="75" ht="15.75">
      <c r="A75" s="2" t="s">
        <v>78</v>
      </c>
    </row>
    <row r="76" ht="15.75">
      <c r="A76" s="2" t="s">
        <v>68</v>
      </c>
    </row>
    <row r="77" ht="15.75">
      <c r="A77" s="2"/>
    </row>
    <row r="78" ht="15.75">
      <c r="A78" s="2" t="s">
        <v>69</v>
      </c>
    </row>
    <row r="79" ht="15.75">
      <c r="A79" s="2" t="s">
        <v>70</v>
      </c>
    </row>
    <row r="80" ht="15.75">
      <c r="A80" s="2" t="s">
        <v>71</v>
      </c>
    </row>
    <row r="81" ht="15.75">
      <c r="A81" s="40" t="s">
        <v>83</v>
      </c>
    </row>
    <row r="82" ht="15.75">
      <c r="A82" t="s">
        <v>84</v>
      </c>
    </row>
  </sheetData>
  <hyperlinks>
    <hyperlink ref="A81" r:id="rId1" display="http://www.cms.hhs.gov/schip/enrollment/"/>
  </hyperlinks>
  <printOptions/>
  <pageMargins left="0.5" right="0.5" top="0.5" bottom="0.5" header="0.5" footer="0.5"/>
  <pageSetup horizontalDpi="600" verticalDpi="600" orientation="portrait" paperSize="17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king0005</cp:lastModifiedBy>
  <cp:lastPrinted>2005-07-17T15:45:40Z</cp:lastPrinted>
  <dcterms:created xsi:type="dcterms:W3CDTF">2005-02-04T14:00:10Z</dcterms:created>
  <dcterms:modified xsi:type="dcterms:W3CDTF">2006-01-20T20:22:39Z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