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640" tabRatio="712" activeTab="0"/>
  </bookViews>
  <sheets>
    <sheet name="INFO" sheetId="1" r:id="rId1"/>
    <sheet name="Dominants" sheetId="2" r:id="rId2"/>
    <sheet name="06413700" sheetId="3" r:id="rId3"/>
    <sheet name="06413570" sheetId="4" r:id="rId4"/>
    <sheet name="06413200" sheetId="5" r:id="rId5"/>
    <sheet name="06412900" sheetId="6" r:id="rId6"/>
    <sheet name="440321103181101" sheetId="7" r:id="rId7"/>
    <sheet name="06412000" sheetId="8" r:id="rId8"/>
    <sheet name="06411500" sheetId="9" r:id="rId9"/>
  </sheets>
  <definedNames>
    <definedName name="_xlnm.Print_Area" localSheetId="1">'Dominants'!$A$1:$K$15</definedName>
  </definedNames>
  <calcPr fullCalcOnLoad="1"/>
</workbook>
</file>

<file path=xl/sharedStrings.xml><?xml version="1.0" encoding="utf-8"?>
<sst xmlns="http://schemas.openxmlformats.org/spreadsheetml/2006/main" count="2276" uniqueCount="177">
  <si>
    <t>DIATOM CLASSIFICATION AND QUANTIFICATION</t>
  </si>
  <si>
    <t>COMBINED SOFT ALGAE AND GENERIC DIATOM QUANTIFICATION</t>
  </si>
  <si>
    <t>Total</t>
  </si>
  <si>
    <t>Cyanobacteria</t>
  </si>
  <si>
    <t>Phormidium sp.</t>
  </si>
  <si>
    <t>PERI</t>
  </si>
  <si>
    <t>Rapid CR AB Water Treat Plant at Rapid City, SD</t>
  </si>
  <si>
    <t>06413700</t>
  </si>
  <si>
    <t>Chlorophyta</t>
  </si>
  <si>
    <t>Closterium sp.</t>
  </si>
  <si>
    <t>Bacillariophyta</t>
  </si>
  <si>
    <t>Diatoms</t>
  </si>
  <si>
    <t>FACTOR</t>
  </si>
  <si>
    <t>COUNTED</t>
  </si>
  <si>
    <t>AREA</t>
  </si>
  <si>
    <t>ALIQUOT (mL)</t>
  </si>
  <si>
    <t>DEPTH</t>
  </si>
  <si>
    <t>TOTAL BV</t>
  </si>
  <si>
    <t>BV</t>
  </si>
  <si>
    <t>TALLY</t>
  </si>
  <si>
    <t>DIVISION</t>
  </si>
  <si>
    <t>FACTOR1</t>
  </si>
  <si>
    <t>FIELDS</t>
  </si>
  <si>
    <t>FIELD</t>
  </si>
  <si>
    <t>SAMPLE</t>
  </si>
  <si>
    <t>TIME</t>
  </si>
  <si>
    <t>DATE</t>
  </si>
  <si>
    <t>LOCATION</t>
  </si>
  <si>
    <t>STATION</t>
  </si>
  <si>
    <t xml:space="preserve">FIELD </t>
  </si>
  <si>
    <t>06413570</t>
  </si>
  <si>
    <t>Rapid Creek ABV Jackson Blvd. At Rapid City</t>
  </si>
  <si>
    <t>Anabaena sp</t>
  </si>
  <si>
    <t>06412000</t>
  </si>
  <si>
    <t>Rapid Creek at Big Bend nr Rapid City</t>
  </si>
  <si>
    <t>Pediastrum boryanum</t>
  </si>
  <si>
    <t>Stigeoclonium lubricum</t>
  </si>
  <si>
    <t>Leptolyngbya sp.</t>
  </si>
  <si>
    <t>Rapid Creek at Braeburn addition nr Rapid City</t>
  </si>
  <si>
    <t>Geminella crenulatocollis</t>
  </si>
  <si>
    <t>Calothrix fusca</t>
  </si>
  <si>
    <t>06411500</t>
  </si>
  <si>
    <t>Rapid Creek below Pactola Dam</t>
  </si>
  <si>
    <t>Botryococcus braunii</t>
  </si>
  <si>
    <t>Scenedesmus bijuga</t>
  </si>
  <si>
    <t>Ulothrix cylindricum</t>
  </si>
  <si>
    <t>Gymnodinium palustre</t>
  </si>
  <si>
    <t>Pyrrophyta</t>
  </si>
  <si>
    <t>06413200</t>
  </si>
  <si>
    <t>Rapid Creek below Park Drive at Rapid City</t>
  </si>
  <si>
    <t>06412900</t>
  </si>
  <si>
    <t>Rapid Creek below Cleghorn Springs at Rapid city</t>
  </si>
  <si>
    <t>Lyngbya sp.</t>
  </si>
  <si>
    <t>Average biovolume factor per cell:</t>
  </si>
  <si>
    <t>Synedra ulna</t>
  </si>
  <si>
    <t>Planothidium lanceolata</t>
  </si>
  <si>
    <t>Nitzschia perminuta</t>
  </si>
  <si>
    <t>Nitzschia dissipata</t>
  </si>
  <si>
    <t>Nitzschia acula</t>
  </si>
  <si>
    <t>Navicula veneta</t>
  </si>
  <si>
    <t>Navicula trivialis</t>
  </si>
  <si>
    <t xml:space="preserve">Navicula tenelloides </t>
  </si>
  <si>
    <t>Navicula subminuscula</t>
  </si>
  <si>
    <t>Navicula radiosa</t>
  </si>
  <si>
    <t>Navicula minima</t>
  </si>
  <si>
    <t>Navicula hustedtii</t>
  </si>
  <si>
    <t>Navicula gregaria</t>
  </si>
  <si>
    <t>Gomphonema truncatum</t>
  </si>
  <si>
    <t>Fragilaria pseudoconstruens</t>
  </si>
  <si>
    <t>Fragilaria pinnata</t>
  </si>
  <si>
    <t>Fragilaria oldenburgiana</t>
  </si>
  <si>
    <t>Fragilaria capucina var. gracilis</t>
  </si>
  <si>
    <t>Fragilaria capucina</t>
  </si>
  <si>
    <t>Diatoma moniliformis</t>
  </si>
  <si>
    <t>Diadesmis perpusilla</t>
  </si>
  <si>
    <t>Diadesmis laevissima</t>
  </si>
  <si>
    <t>Cymbella subcuspidata</t>
  </si>
  <si>
    <t>Cymbella minuta</t>
  </si>
  <si>
    <t>Cymbella affinis</t>
  </si>
  <si>
    <t>Cyclostephanos damasii</t>
  </si>
  <si>
    <t xml:space="preserve">Cocconeis placentula </t>
  </si>
  <si>
    <t>Amphora sp.</t>
  </si>
  <si>
    <t>REP 1</t>
  </si>
  <si>
    <t xml:space="preserve">SAMPLE </t>
  </si>
  <si>
    <t>Cymbella tumida</t>
  </si>
  <si>
    <t xml:space="preserve">Gomphoneis olivaceum </t>
  </si>
  <si>
    <t>Didymosphenia geminata</t>
  </si>
  <si>
    <t>Frustulia sp.</t>
  </si>
  <si>
    <t>Nitzschia vermicularis</t>
  </si>
  <si>
    <t>Stephanodiscus niagarae</t>
  </si>
  <si>
    <t>Cymbella cistula</t>
  </si>
  <si>
    <t>Asterionella ralfsii</t>
  </si>
  <si>
    <t>Stephanodiscus hantzschii</t>
  </si>
  <si>
    <t>Tabellaria flocculosa</t>
  </si>
  <si>
    <t>Diatoma vulgaris</t>
  </si>
  <si>
    <t>Gomphonema sphaerophorum</t>
  </si>
  <si>
    <t>Cyclostephanos sp.</t>
  </si>
  <si>
    <t>Melosira sp.</t>
  </si>
  <si>
    <t>DENSITY</t>
  </si>
  <si>
    <t>(cells/mL)</t>
  </si>
  <si>
    <t xml:space="preserve"> (cells/sample)</t>
  </si>
  <si>
    <t xml:space="preserve">Cladophora glomerata </t>
  </si>
  <si>
    <t>Ulothrix subtilissima</t>
  </si>
  <si>
    <t>Euglenophyta</t>
  </si>
  <si>
    <t>Euglena oxyuris</t>
  </si>
  <si>
    <t>Rapid Creek Park Drive</t>
  </si>
  <si>
    <t>Aphanocapsa pulchra</t>
  </si>
  <si>
    <t>Cosmarium sp.</t>
  </si>
  <si>
    <t>Rapid Creek at Braeburn</t>
  </si>
  <si>
    <t>Calothrix sp.</t>
  </si>
  <si>
    <t>Chroococcus limneticus</t>
  </si>
  <si>
    <t>Rapid Creek below PC</t>
  </si>
  <si>
    <t>Trachelomonas lacustris</t>
  </si>
  <si>
    <t>Pinnularia obscura</t>
  </si>
  <si>
    <t>Nitzschia levidensis</t>
  </si>
  <si>
    <t>Navicula viridula var. rostellata</t>
  </si>
  <si>
    <t>Navicula cryptotenella</t>
  </si>
  <si>
    <t>Cyclotella sp.</t>
  </si>
  <si>
    <t>Amphora pediculus</t>
  </si>
  <si>
    <t>Cymbella cymbiformis</t>
  </si>
  <si>
    <t>Cymbella hustedtii</t>
  </si>
  <si>
    <t>Sellaphora sp.</t>
  </si>
  <si>
    <t>Gyrosigma sp.</t>
  </si>
  <si>
    <t>Nitzschia inconspicua</t>
  </si>
  <si>
    <t>Placoneis clementioides</t>
  </si>
  <si>
    <t>Date</t>
  </si>
  <si>
    <t>Time</t>
  </si>
  <si>
    <t>Park Drive</t>
  </si>
  <si>
    <t>440321103181101</t>
  </si>
  <si>
    <t>Braeburn</t>
  </si>
  <si>
    <t>Pactola Dam</t>
  </si>
  <si>
    <t>Cleghorn</t>
  </si>
  <si>
    <t>Big Bend</t>
  </si>
  <si>
    <t>Periphyton field areas and sample volumes</t>
  </si>
  <si>
    <t xml:space="preserve">DENSITY </t>
  </si>
  <si>
    <r>
      <t>(cells/cm</t>
    </r>
    <r>
      <rPr>
        <b/>
        <vertAlign val="superscript"/>
        <sz val="10"/>
        <rFont val="Arial"/>
        <family val="2"/>
      </rPr>
      <t>2</t>
    </r>
    <r>
      <rPr>
        <b/>
        <sz val="10"/>
        <rFont val="Arial"/>
        <family val="2"/>
      </rPr>
      <t>)</t>
    </r>
  </si>
  <si>
    <r>
      <t>m</t>
    </r>
    <r>
      <rPr>
        <b/>
        <sz val="10"/>
        <rFont val="Arial"/>
        <family val="2"/>
      </rPr>
      <t>m</t>
    </r>
    <r>
      <rPr>
        <b/>
        <vertAlign val="superscript"/>
        <sz val="10"/>
        <rFont val="Arial"/>
        <family val="2"/>
      </rPr>
      <t>3</t>
    </r>
    <r>
      <rPr>
        <b/>
        <sz val="10"/>
        <rFont val="Arial"/>
        <family val="2"/>
      </rPr>
      <t>/mL</t>
    </r>
  </si>
  <si>
    <r>
      <t>m</t>
    </r>
    <r>
      <rPr>
        <b/>
        <sz val="10"/>
        <rFont val="Arial"/>
        <family val="2"/>
      </rPr>
      <t>m</t>
    </r>
    <r>
      <rPr>
        <b/>
        <vertAlign val="superscript"/>
        <sz val="10"/>
        <rFont val="Arial"/>
        <family val="2"/>
      </rPr>
      <t>3</t>
    </r>
    <r>
      <rPr>
        <b/>
        <sz val="10"/>
        <rFont val="Arial"/>
        <family val="2"/>
      </rPr>
      <t>/cm</t>
    </r>
    <r>
      <rPr>
        <b/>
        <vertAlign val="superscript"/>
        <sz val="10"/>
        <rFont val="Arial"/>
        <family val="2"/>
      </rPr>
      <t>2</t>
    </r>
  </si>
  <si>
    <r>
      <t>m</t>
    </r>
    <r>
      <rPr>
        <b/>
        <sz val="10"/>
        <rFont val="Arial"/>
        <family val="2"/>
      </rPr>
      <t>m</t>
    </r>
    <r>
      <rPr>
        <b/>
        <vertAlign val="superscript"/>
        <sz val="10"/>
        <rFont val="Arial"/>
        <family val="2"/>
      </rPr>
      <t>3</t>
    </r>
    <r>
      <rPr>
        <b/>
        <sz val="10"/>
        <rFont val="Arial"/>
        <family val="2"/>
      </rPr>
      <t xml:space="preserve"> OBSERVERD</t>
    </r>
  </si>
  <si>
    <t>Sample date (MM/DD/YYYY)</t>
  </si>
  <si>
    <t>Sample time (24:00)</t>
  </si>
  <si>
    <t>SAMPLE ALIQUOT (mL)</t>
  </si>
  <si>
    <t>Organism identification to division taxonomic level</t>
  </si>
  <si>
    <t>Number of organisms counted in sample aliquot</t>
  </si>
  <si>
    <t>BV FACTOR</t>
  </si>
  <si>
    <t>SITE NAME</t>
  </si>
  <si>
    <t>Station identification number</t>
  </si>
  <si>
    <t>SAMPLE DEPTH</t>
  </si>
  <si>
    <t>DENSITY (cells/mL)</t>
  </si>
  <si>
    <t>DENSITY (cells/sample)</t>
  </si>
  <si>
    <r>
      <t>m</t>
    </r>
    <r>
      <rPr>
        <b/>
        <sz val="10"/>
        <rFont val="Arial"/>
        <family val="2"/>
      </rPr>
      <t>m</t>
    </r>
    <r>
      <rPr>
        <b/>
        <vertAlign val="superscript"/>
        <sz val="10"/>
        <rFont val="Arial"/>
        <family val="2"/>
      </rPr>
      <t>3</t>
    </r>
    <r>
      <rPr>
        <b/>
        <sz val="10"/>
        <rFont val="Arial"/>
        <family val="2"/>
      </rPr>
      <t xml:space="preserve"> OBSERVED</t>
    </r>
  </si>
  <si>
    <t>U.S. Geological Survey site name</t>
  </si>
  <si>
    <t>Depth of sample collection (PERI = attached periphyton)</t>
  </si>
  <si>
    <t>Organism cell concentration of sample reported in cells per milliliter</t>
  </si>
  <si>
    <r>
      <t>DENSITY (cells/cm</t>
    </r>
    <r>
      <rPr>
        <b/>
        <vertAlign val="superscript"/>
        <sz val="10"/>
        <rFont val="Arial"/>
        <family val="2"/>
      </rPr>
      <t>2</t>
    </r>
    <r>
      <rPr>
        <b/>
        <sz val="10"/>
        <rFont val="Arial"/>
        <family val="2"/>
      </rPr>
      <t>)</t>
    </r>
  </si>
  <si>
    <r>
      <t xml:space="preserve">TOTAL BV </t>
    </r>
    <r>
      <rPr>
        <b/>
        <sz val="10"/>
        <rFont val="Symbol"/>
        <family val="1"/>
      </rPr>
      <t>m</t>
    </r>
    <r>
      <rPr>
        <b/>
        <sz val="10"/>
        <rFont val="Arial"/>
        <family val="2"/>
      </rPr>
      <t>m</t>
    </r>
    <r>
      <rPr>
        <b/>
        <vertAlign val="superscript"/>
        <sz val="10"/>
        <rFont val="Arial"/>
        <family val="2"/>
      </rPr>
      <t>3</t>
    </r>
    <r>
      <rPr>
        <b/>
        <sz val="10"/>
        <rFont val="Arial"/>
        <family val="2"/>
      </rPr>
      <t>/cm</t>
    </r>
    <r>
      <rPr>
        <b/>
        <vertAlign val="superscript"/>
        <sz val="10"/>
        <rFont val="Arial"/>
        <family val="2"/>
      </rPr>
      <t>2</t>
    </r>
  </si>
  <si>
    <r>
      <t xml:space="preserve">TOTAL BV </t>
    </r>
    <r>
      <rPr>
        <b/>
        <sz val="10"/>
        <rFont val="Symbol"/>
        <family val="1"/>
      </rPr>
      <t>m</t>
    </r>
    <r>
      <rPr>
        <b/>
        <sz val="10"/>
        <rFont val="Arial"/>
        <family val="2"/>
      </rPr>
      <t>m</t>
    </r>
    <r>
      <rPr>
        <b/>
        <vertAlign val="superscript"/>
        <sz val="10"/>
        <rFont val="Arial"/>
        <family val="2"/>
      </rPr>
      <t>3</t>
    </r>
    <r>
      <rPr>
        <b/>
        <sz val="10"/>
        <rFont val="Arial"/>
        <family val="2"/>
      </rPr>
      <t xml:space="preserve"> OBSERVED</t>
    </r>
  </si>
  <si>
    <r>
      <t xml:space="preserve">TOTAL BV </t>
    </r>
    <r>
      <rPr>
        <b/>
        <sz val="10"/>
        <rFont val="Symbol"/>
        <family val="1"/>
      </rPr>
      <t>m</t>
    </r>
    <r>
      <rPr>
        <b/>
        <sz val="10"/>
        <rFont val="Arial"/>
        <family val="2"/>
      </rPr>
      <t>m</t>
    </r>
    <r>
      <rPr>
        <b/>
        <vertAlign val="superscript"/>
        <sz val="10"/>
        <rFont val="Arial"/>
        <family val="2"/>
      </rPr>
      <t>3</t>
    </r>
    <r>
      <rPr>
        <b/>
        <sz val="10"/>
        <rFont val="Arial"/>
        <family val="2"/>
      </rPr>
      <t>/mL</t>
    </r>
  </si>
  <si>
    <t>Organism cell concentration of entire raw sample</t>
  </si>
  <si>
    <t>Organism cell density coverage on stream reported as cells per square centimeter of periphyton area</t>
  </si>
  <si>
    <t>Organism biovolume concentration of sample reported in cubic micrometers per milliliter</t>
  </si>
  <si>
    <t>Organism biovolume coverage on stream reported as cubic micrometers per square centimeter of periphyton area</t>
  </si>
  <si>
    <t>Organism biovolume observed in cubic micrometers - used for subsamples taken to determine diatom classification and quantification</t>
  </si>
  <si>
    <t>Above WTP</t>
  </si>
  <si>
    <t>Jackson Blvd.</t>
  </si>
  <si>
    <t>Amount of raw sample analyzed in milliliters</t>
  </si>
  <si>
    <t>U.S. Geological Survey station identification number</t>
  </si>
  <si>
    <t>Sample volume, milliliters (does not include preservative)</t>
  </si>
  <si>
    <t>Periphyton area, square centimeters</t>
  </si>
  <si>
    <t>ALGAL TAXA</t>
  </si>
  <si>
    <t>RELATIVE ABUNDANCE</t>
  </si>
  <si>
    <t>percent</t>
  </si>
  <si>
    <t>Percent of total biovolume that an organism occupies</t>
  </si>
  <si>
    <t>Organism identification to genus (or species) taxonomic level</t>
  </si>
  <si>
    <t xml:space="preserve">This file contains 8 worksheets: 7 results worksheets (one for each site of quantitative periphyton sample collection), and a sheet named "Dominants" that contains a summary of the algal taxa with the highest relative biovolume abundance at each site (highlighted with red text in results sheets).  Each results sheet contains two sections (separated by a solid black row): "COMBINED SOFT ALGAE AND GENERIC DIATOM QUANTIFICATION" followed by "DIATOM CLASSIFICATION AND QUANTIFICATION."  The column headings are described below.  Field (rock) areas of periphyton collection and total raw sample volumes are shown at the bottom of this sheet.     </t>
  </si>
  <si>
    <t>Organism-specific cell to biovolume conversion described in Hillenbrand and others (1999)</t>
  </si>
  <si>
    <t>Other Identifier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</si>
</sst>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000"/>
    <numFmt numFmtId="168" formatCode="0.00000000000"/>
    <numFmt numFmtId="169" formatCode="0.000000000000"/>
    <numFmt numFmtId="170" formatCode="0.000000000"/>
    <numFmt numFmtId="171" formatCode="0.00000000"/>
    <numFmt numFmtId="172" formatCode="0.0000000"/>
    <numFmt numFmtId="173" formatCode="0.000000"/>
    <numFmt numFmtId="174" formatCode="0.00000"/>
    <numFmt numFmtId="175" formatCode="[$-409]h:mm:ss\ AM/PM"/>
    <numFmt numFmtId="176" formatCode="h:mm;@"/>
    <numFmt numFmtId="177" formatCode="[$-409]dddd\,\ mmmm\ dd\,\ yyyy"/>
    <numFmt numFmtId="178" formatCode="m/d/yyyy;@"/>
  </numFmts>
  <fonts count="48">
    <font>
      <sz val="10"/>
      <name val="Arial"/>
      <family val="0"/>
    </font>
    <font>
      <sz val="8"/>
      <name val="Arial"/>
      <family val="2"/>
    </font>
    <font>
      <b/>
      <sz val="20"/>
      <name val="Arial"/>
      <family val="2"/>
    </font>
    <font>
      <sz val="10"/>
      <name val="Verdana"/>
      <family val="2"/>
    </font>
    <font>
      <sz val="10"/>
      <color indexed="8"/>
      <name val="Arial"/>
      <family val="2"/>
    </font>
    <font>
      <sz val="9"/>
      <name val="Arial"/>
      <family val="2"/>
    </font>
    <font>
      <b/>
      <sz val="10"/>
      <name val="Arial"/>
      <family val="2"/>
    </font>
    <font>
      <b/>
      <vertAlign val="superscript"/>
      <sz val="10"/>
      <name val="Arial"/>
      <family val="2"/>
    </font>
    <font>
      <b/>
      <sz val="10"/>
      <name val="Symbol"/>
      <family val="1"/>
    </font>
    <font>
      <b/>
      <sz val="12"/>
      <name val="Arial"/>
      <family val="2"/>
    </font>
    <font>
      <u val="single"/>
      <sz val="10"/>
      <color indexed="12"/>
      <name val="Arial"/>
      <family val="2"/>
    </font>
    <font>
      <u val="single"/>
      <sz val="10"/>
      <color indexed="36"/>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2">
    <xf numFmtId="0" fontId="0" fillId="0" borderId="0" xfId="0" applyAlignment="1">
      <alignment/>
    </xf>
    <xf numFmtId="0" fontId="0" fillId="0" borderId="0" xfId="0" applyAlignment="1">
      <alignment horizontal="center"/>
    </xf>
    <xf numFmtId="11" fontId="0" fillId="0" borderId="0" xfId="0" applyNumberFormat="1" applyAlignment="1">
      <alignment horizontal="center"/>
    </xf>
    <xf numFmtId="20" fontId="0" fillId="0" borderId="0" xfId="0" applyNumberFormat="1" applyFill="1" applyAlignment="1">
      <alignment horizontal="center"/>
    </xf>
    <xf numFmtId="14" fontId="0" fillId="0" borderId="0" xfId="0" applyNumberFormat="1" applyFill="1" applyAlignment="1">
      <alignment/>
    </xf>
    <xf numFmtId="14" fontId="0" fillId="0" borderId="0" xfId="0" applyNumberFormat="1" applyFill="1" applyAlignment="1">
      <alignment horizontal="left"/>
    </xf>
    <xf numFmtId="0" fontId="0" fillId="0" borderId="0" xfId="0" applyFill="1" applyAlignment="1">
      <alignment horizontal="center"/>
    </xf>
    <xf numFmtId="2" fontId="0" fillId="0" borderId="0" xfId="0" applyNumberFormat="1" applyAlignment="1">
      <alignment horizontal="center"/>
    </xf>
    <xf numFmtId="0" fontId="0" fillId="0" borderId="0" xfId="0" applyFont="1" applyAlignment="1">
      <alignment horizontal="center"/>
    </xf>
    <xf numFmtId="14" fontId="0" fillId="0" borderId="0" xfId="0" applyNumberFormat="1" applyFill="1" applyAlignment="1">
      <alignment horizontal="center"/>
    </xf>
    <xf numFmtId="49" fontId="0" fillId="0" borderId="0" xfId="0" applyNumberFormat="1" applyFill="1" applyAlignment="1">
      <alignment horizontal="center"/>
    </xf>
    <xf numFmtId="0" fontId="0" fillId="0" borderId="0" xfId="0" applyFont="1" applyFill="1" applyAlignment="1">
      <alignment/>
    </xf>
    <xf numFmtId="0" fontId="0" fillId="0" borderId="0" xfId="57" applyFont="1" applyAlignment="1">
      <alignment horizontal="center"/>
      <protection/>
    </xf>
    <xf numFmtId="11" fontId="0" fillId="0" borderId="0" xfId="57" applyNumberFormat="1" applyFont="1" applyAlignment="1">
      <alignment horizontal="center"/>
      <protection/>
    </xf>
    <xf numFmtId="0" fontId="0" fillId="0" borderId="0" xfId="57" applyFont="1" applyAlignment="1">
      <alignment horizontal="left"/>
      <protection/>
    </xf>
    <xf numFmtId="0" fontId="0" fillId="0" borderId="0" xfId="57" applyNumberFormat="1" applyFont="1" applyFill="1" applyBorder="1" applyAlignment="1">
      <alignment horizontal="center"/>
      <protection/>
    </xf>
    <xf numFmtId="14" fontId="0" fillId="0" borderId="0" xfId="57" applyNumberFormat="1" applyFont="1" applyAlignment="1">
      <alignment horizontal="center"/>
      <protection/>
    </xf>
    <xf numFmtId="14" fontId="0" fillId="0" borderId="0" xfId="57" applyNumberFormat="1" applyFont="1" applyFill="1" applyAlignment="1">
      <alignment horizontal="center"/>
      <protection/>
    </xf>
    <xf numFmtId="0" fontId="0" fillId="0" borderId="0" xfId="57" applyFont="1" applyFill="1" applyAlignment="1">
      <alignment horizontal="center"/>
      <protection/>
    </xf>
    <xf numFmtId="0" fontId="0" fillId="0" borderId="0" xfId="57" applyFont="1" applyFill="1" applyAlignment="1">
      <alignment horizontal="left"/>
      <protection/>
    </xf>
    <xf numFmtId="11" fontId="0" fillId="0" borderId="0" xfId="57" applyNumberFormat="1" applyFont="1" applyFill="1" applyAlignment="1">
      <alignment horizontal="center"/>
      <protection/>
    </xf>
    <xf numFmtId="0" fontId="0" fillId="0" borderId="0" xfId="0" applyFill="1" applyAlignment="1">
      <alignment/>
    </xf>
    <xf numFmtId="11" fontId="0" fillId="0" borderId="0" xfId="0" applyNumberFormat="1" applyFill="1" applyAlignment="1">
      <alignment horizontal="center"/>
    </xf>
    <xf numFmtId="2" fontId="0" fillId="0" borderId="0" xfId="0" applyNumberFormat="1" applyFill="1" applyAlignment="1">
      <alignment horizontal="center"/>
    </xf>
    <xf numFmtId="1" fontId="0" fillId="0" borderId="0" xfId="0" applyNumberFormat="1" applyFill="1" applyAlignment="1">
      <alignment horizontal="lef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2" fontId="0" fillId="0" borderId="0" xfId="0" applyNumberFormat="1" applyFont="1" applyFill="1" applyAlignment="1">
      <alignment horizontal="center"/>
    </xf>
    <xf numFmtId="1" fontId="0" fillId="0" borderId="0" xfId="0" applyNumberFormat="1" applyFill="1" applyAlignment="1">
      <alignment horizontal="center"/>
    </xf>
    <xf numFmtId="0" fontId="0" fillId="0" borderId="0" xfId="0" applyFill="1" applyAlignment="1">
      <alignment/>
    </xf>
    <xf numFmtId="0" fontId="4" fillId="0" borderId="0" xfId="0" applyFont="1" applyAlignment="1">
      <alignment/>
    </xf>
    <xf numFmtId="0" fontId="0" fillId="33" borderId="0" xfId="0" applyFill="1" applyAlignment="1">
      <alignment horizontal="center"/>
    </xf>
    <xf numFmtId="14" fontId="0" fillId="33" borderId="0" xfId="0" applyNumberFormat="1" applyFill="1" applyAlignment="1">
      <alignment horizontal="left"/>
    </xf>
    <xf numFmtId="14" fontId="0" fillId="33" borderId="0" xfId="0" applyNumberFormat="1" applyFill="1" applyAlignment="1">
      <alignment/>
    </xf>
    <xf numFmtId="20" fontId="0" fillId="33" borderId="0" xfId="0" applyNumberFormat="1" applyFill="1" applyAlignment="1">
      <alignment horizontal="center"/>
    </xf>
    <xf numFmtId="0" fontId="0" fillId="33" borderId="0" xfId="0" applyFill="1" applyAlignment="1">
      <alignment/>
    </xf>
    <xf numFmtId="11" fontId="0" fillId="33" borderId="0" xfId="0" applyNumberFormat="1" applyFill="1" applyAlignment="1">
      <alignment horizont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0" xfId="57" applyFont="1" applyAlignment="1">
      <alignment horizontal="left"/>
      <protection/>
    </xf>
    <xf numFmtId="0" fontId="6" fillId="0" borderId="0" xfId="0" applyFont="1" applyAlignment="1">
      <alignment/>
    </xf>
    <xf numFmtId="0" fontId="6" fillId="0" borderId="0" xfId="57" applyFont="1" applyFill="1" applyAlignment="1">
      <alignment horizontal="left"/>
      <protection/>
    </xf>
    <xf numFmtId="0" fontId="9" fillId="0" borderId="0" xfId="0" applyFont="1" applyAlignment="1">
      <alignment horizontal="left" vertical="top" wrapText="1"/>
    </xf>
    <xf numFmtId="0" fontId="0" fillId="0" borderId="0" xfId="0" applyAlignment="1">
      <alignment vertical="top" wrapText="1"/>
    </xf>
    <xf numFmtId="49" fontId="0" fillId="0" borderId="0" xfId="57" applyNumberFormat="1" applyFont="1" applyFill="1" applyAlignment="1">
      <alignment horizontal="left"/>
      <protection/>
    </xf>
    <xf numFmtId="0" fontId="0" fillId="0" borderId="0" xfId="0" applyAlignment="1">
      <alignment horizontal="left"/>
    </xf>
    <xf numFmtId="0" fontId="0" fillId="0" borderId="0" xfId="57" applyNumberFormat="1" applyFont="1" applyFill="1" applyAlignment="1">
      <alignment horizontal="left"/>
      <protection/>
    </xf>
    <xf numFmtId="14" fontId="0" fillId="0" borderId="0" xfId="57" applyNumberFormat="1" applyFont="1" applyFill="1" applyAlignment="1">
      <alignment horizontal="left"/>
      <protection/>
    </xf>
    <xf numFmtId="0" fontId="0" fillId="0" borderId="0" xfId="0" applyFill="1" applyAlignment="1">
      <alignment horizontal="left"/>
    </xf>
    <xf numFmtId="0" fontId="0" fillId="0" borderId="0" xfId="0" applyFont="1" applyFill="1" applyAlignment="1">
      <alignment horizontal="left"/>
    </xf>
    <xf numFmtId="14" fontId="6" fillId="0" borderId="0" xfId="57" applyNumberFormat="1" applyFont="1" applyFill="1" applyAlignment="1">
      <alignment horizontal="left"/>
      <protection/>
    </xf>
    <xf numFmtId="14" fontId="6" fillId="0" borderId="0" xfId="57" applyNumberFormat="1" applyFont="1" applyAlignment="1">
      <alignment horizontal="left"/>
      <protection/>
    </xf>
    <xf numFmtId="0" fontId="6" fillId="0" borderId="0" xfId="57" applyNumberFormat="1" applyFont="1" applyFill="1" applyBorder="1" applyAlignment="1">
      <alignment horizontal="left"/>
      <protection/>
    </xf>
    <xf numFmtId="11" fontId="6" fillId="0" borderId="0" xfId="57" applyNumberFormat="1" applyFont="1" applyAlignment="1">
      <alignment horizontal="left"/>
      <protection/>
    </xf>
    <xf numFmtId="49" fontId="5" fillId="0" borderId="0" xfId="0" applyNumberFormat="1" applyFont="1" applyFill="1" applyBorder="1" applyAlignment="1">
      <alignment horizontal="center" vertical="center" wrapText="1"/>
    </xf>
    <xf numFmtId="49" fontId="6" fillId="0" borderId="0" xfId="57" applyNumberFormat="1" applyFont="1" applyFill="1" applyAlignment="1">
      <alignment horizontal="left"/>
      <protection/>
    </xf>
    <xf numFmtId="0" fontId="0" fillId="0" borderId="0" xfId="57" applyNumberFormat="1" applyFont="1" applyFill="1" applyBorder="1" applyAlignment="1">
      <alignment horizontal="left"/>
      <protection/>
    </xf>
    <xf numFmtId="0" fontId="0" fillId="0" borderId="0" xfId="0" applyFont="1" applyAlignment="1">
      <alignment horizontal="left"/>
    </xf>
    <xf numFmtId="11" fontId="0" fillId="0" borderId="0" xfId="57" applyNumberFormat="1" applyFont="1" applyAlignment="1">
      <alignment horizontal="left"/>
      <protection/>
    </xf>
    <xf numFmtId="11" fontId="0" fillId="0" borderId="0" xfId="57" applyNumberFormat="1" applyFont="1" applyFill="1" applyAlignment="1">
      <alignment horizontal="left"/>
      <protection/>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11" fontId="0" fillId="0" borderId="0" xfId="0" applyNumberFormat="1" applyAlignment="1">
      <alignment/>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1" fontId="5" fillId="0" borderId="12" xfId="0" applyNumberFormat="1" applyFont="1" applyFill="1" applyBorder="1" applyAlignment="1">
      <alignment horizontal="left" vertical="center"/>
    </xf>
    <xf numFmtId="0" fontId="5" fillId="0" borderId="10" xfId="0" applyFont="1" applyFill="1" applyBorder="1" applyAlignment="1">
      <alignment horizontal="left" vertical="center"/>
    </xf>
    <xf numFmtId="49" fontId="5" fillId="0" borderId="11"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12" xfId="0" applyFont="1" applyBorder="1" applyAlignment="1">
      <alignment horizontal="left" vertical="center"/>
    </xf>
    <xf numFmtId="0" fontId="5" fillId="0" borderId="12" xfId="0" applyFont="1" applyFill="1" applyBorder="1" applyAlignment="1">
      <alignment horizontal="left" vertical="center" wrapText="1"/>
    </xf>
    <xf numFmtId="0" fontId="5" fillId="0" borderId="12" xfId="0" applyFont="1" applyBorder="1" applyAlignment="1">
      <alignment horizontal="left"/>
    </xf>
    <xf numFmtId="0" fontId="5" fillId="0" borderId="10" xfId="0" applyFont="1" applyFill="1" applyBorder="1" applyAlignment="1">
      <alignment horizontal="left" vertical="center" wrapText="1"/>
    </xf>
    <xf numFmtId="14" fontId="5" fillId="0" borderId="11" xfId="0" applyNumberFormat="1" applyFont="1" applyFill="1" applyBorder="1" applyAlignment="1">
      <alignment horizontal="left" vertical="center"/>
    </xf>
    <xf numFmtId="14" fontId="5" fillId="0" borderId="12" xfId="0" applyNumberFormat="1" applyFont="1" applyFill="1" applyBorder="1" applyAlignment="1">
      <alignment horizontal="left" vertical="center"/>
    </xf>
    <xf numFmtId="14" fontId="5" fillId="0" borderId="10" xfId="0" applyNumberFormat="1" applyFont="1" applyFill="1" applyBorder="1" applyAlignment="1">
      <alignment horizontal="left" vertical="center"/>
    </xf>
    <xf numFmtId="14" fontId="5" fillId="0" borderId="11" xfId="0" applyNumberFormat="1" applyFont="1" applyFill="1" applyBorder="1" applyAlignment="1">
      <alignment horizontal="left" vertical="center" wrapText="1"/>
    </xf>
    <xf numFmtId="14" fontId="5" fillId="0" borderId="12" xfId="0" applyNumberFormat="1" applyFont="1" applyFill="1" applyBorder="1" applyAlignment="1">
      <alignment horizontal="left" vertical="center" wrapText="1"/>
    </xf>
    <xf numFmtId="0" fontId="5" fillId="0" borderId="11" xfId="0" applyFont="1" applyFill="1" applyBorder="1" applyAlignment="1">
      <alignment horizontal="right" vertical="center"/>
    </xf>
    <xf numFmtId="1" fontId="5" fillId="0" borderId="11" xfId="0" applyNumberFormat="1" applyFont="1" applyBorder="1" applyAlignment="1">
      <alignment horizontal="right" vertical="center"/>
    </xf>
    <xf numFmtId="0" fontId="5" fillId="0" borderId="12" xfId="0" applyFont="1" applyFill="1" applyBorder="1" applyAlignment="1">
      <alignment horizontal="right" vertical="center"/>
    </xf>
    <xf numFmtId="1" fontId="5" fillId="0" borderId="12" xfId="0" applyNumberFormat="1" applyFont="1" applyBorder="1" applyAlignment="1">
      <alignment horizontal="right" vertical="center"/>
    </xf>
    <xf numFmtId="0" fontId="5" fillId="0" borderId="10" xfId="0" applyFont="1" applyFill="1" applyBorder="1" applyAlignment="1">
      <alignment horizontal="right" vertical="center"/>
    </xf>
    <xf numFmtId="1" fontId="5" fillId="0" borderId="10" xfId="0" applyNumberFormat="1" applyFont="1" applyBorder="1" applyAlignment="1">
      <alignment horizontal="right" vertical="center"/>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2" fillId="0" borderId="0" xfId="0" applyFont="1" applyBorder="1" applyAlignment="1">
      <alignment/>
    </xf>
    <xf numFmtId="0" fontId="6" fillId="0" borderId="13" xfId="57" applyFont="1" applyBorder="1" applyAlignment="1">
      <alignment horizontal="center"/>
      <protection/>
    </xf>
    <xf numFmtId="14" fontId="6" fillId="0" borderId="13" xfId="57" applyNumberFormat="1" applyFont="1" applyFill="1" applyBorder="1" applyAlignment="1">
      <alignment horizontal="center"/>
      <protection/>
    </xf>
    <xf numFmtId="14" fontId="6" fillId="0" borderId="13" xfId="57" applyNumberFormat="1" applyFont="1" applyBorder="1" applyAlignment="1">
      <alignment horizontal="center"/>
      <protection/>
    </xf>
    <xf numFmtId="0" fontId="6" fillId="0" borderId="13" xfId="57" applyNumberFormat="1" applyFont="1" applyFill="1" applyBorder="1" applyAlignment="1">
      <alignment horizontal="center"/>
      <protection/>
    </xf>
    <xf numFmtId="0" fontId="6" fillId="0" borderId="13" xfId="57" applyFont="1" applyBorder="1" applyAlignment="1">
      <alignment horizontal="left"/>
      <protection/>
    </xf>
    <xf numFmtId="11" fontId="6" fillId="0" borderId="13" xfId="57" applyNumberFormat="1" applyFont="1" applyBorder="1" applyAlignment="1">
      <alignment horizontal="center"/>
      <protection/>
    </xf>
    <xf numFmtId="0" fontId="6" fillId="0" borderId="13" xfId="0" applyFont="1" applyBorder="1" applyAlignment="1">
      <alignment/>
    </xf>
    <xf numFmtId="0" fontId="6" fillId="0" borderId="14" xfId="57" applyNumberFormat="1" applyFont="1" applyBorder="1" applyAlignment="1">
      <alignment horizontal="center"/>
      <protection/>
    </xf>
    <xf numFmtId="14" fontId="6" fillId="0" borderId="14" xfId="57" applyNumberFormat="1" applyFont="1" applyBorder="1" applyAlignment="1">
      <alignment horizontal="center"/>
      <protection/>
    </xf>
    <xf numFmtId="0" fontId="6" fillId="0" borderId="14" xfId="57" applyNumberFormat="1" applyFont="1" applyFill="1" applyBorder="1" applyAlignment="1">
      <alignment horizontal="center"/>
      <protection/>
    </xf>
    <xf numFmtId="0" fontId="6" fillId="0" borderId="14" xfId="57" applyFont="1" applyBorder="1" applyAlignment="1">
      <alignment horizontal="center"/>
      <protection/>
    </xf>
    <xf numFmtId="0" fontId="6" fillId="0" borderId="14" xfId="57" applyFont="1" applyBorder="1" applyAlignment="1">
      <alignment horizontal="left"/>
      <protection/>
    </xf>
    <xf numFmtId="11" fontId="6" fillId="0" borderId="14" xfId="57" applyNumberFormat="1" applyFont="1" applyBorder="1" applyAlignment="1">
      <alignment horizontal="center"/>
      <protection/>
    </xf>
    <xf numFmtId="11" fontId="6" fillId="0" borderId="14" xfId="57" applyNumberFormat="1" applyFont="1" applyFill="1" applyBorder="1" applyAlignment="1">
      <alignment horizontal="center"/>
      <protection/>
    </xf>
    <xf numFmtId="0" fontId="8" fillId="0" borderId="14" xfId="0" applyFont="1" applyBorder="1" applyAlignment="1">
      <alignment horizontal="center"/>
    </xf>
    <xf numFmtId="0" fontId="6" fillId="0" borderId="14" xfId="0" applyFont="1" applyBorder="1" applyAlignment="1">
      <alignment/>
    </xf>
    <xf numFmtId="0" fontId="6" fillId="0" borderId="13" xfId="57" applyFont="1" applyFill="1" applyBorder="1" applyAlignment="1">
      <alignment horizontal="center"/>
      <protection/>
    </xf>
    <xf numFmtId="0" fontId="6" fillId="0" borderId="13" xfId="57" applyFont="1" applyFill="1" applyBorder="1" applyAlignment="1">
      <alignment horizontal="left"/>
      <protection/>
    </xf>
    <xf numFmtId="11" fontId="6" fillId="0" borderId="13" xfId="57" applyNumberFormat="1" applyFont="1" applyFill="1" applyBorder="1" applyAlignment="1">
      <alignment horizontal="center"/>
      <protection/>
    </xf>
    <xf numFmtId="14" fontId="6" fillId="0" borderId="14" xfId="57" applyNumberFormat="1" applyFont="1" applyFill="1" applyBorder="1" applyAlignment="1">
      <alignment horizontal="center"/>
      <protection/>
    </xf>
    <xf numFmtId="0" fontId="6" fillId="0" borderId="14" xfId="57" applyFont="1" applyFill="1" applyBorder="1" applyAlignment="1">
      <alignment horizontal="center"/>
      <protection/>
    </xf>
    <xf numFmtId="0" fontId="6" fillId="0" borderId="14" xfId="57" applyFont="1" applyFill="1" applyBorder="1" applyAlignment="1">
      <alignment horizontal="left"/>
      <protection/>
    </xf>
    <xf numFmtId="0" fontId="8" fillId="0" borderId="14" xfId="0" applyFont="1" applyFill="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4" xfId="0" applyFont="1" applyBorder="1" applyAlignment="1">
      <alignment horizontal="center"/>
    </xf>
    <xf numFmtId="0" fontId="6" fillId="0" borderId="14" xfId="0" applyFont="1" applyFill="1" applyBorder="1" applyAlignment="1">
      <alignment horizontal="center"/>
    </xf>
    <xf numFmtId="0" fontId="8" fillId="0" borderId="14" xfId="0" applyFont="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Border="1" applyAlignment="1">
      <alignment/>
    </xf>
    <xf numFmtId="0" fontId="0" fillId="0" borderId="0" xfId="0" applyFont="1" applyFill="1" applyBorder="1" applyAlignment="1">
      <alignment/>
    </xf>
    <xf numFmtId="2" fontId="0" fillId="0" borderId="0" xfId="0" applyNumberFormat="1" applyFill="1" applyBorder="1" applyAlignment="1">
      <alignment horizontal="center"/>
    </xf>
    <xf numFmtId="0" fontId="0" fillId="0" borderId="14" xfId="0" applyFont="1" applyFill="1" applyBorder="1" applyAlignment="1">
      <alignment horizontal="center"/>
    </xf>
    <xf numFmtId="0" fontId="0" fillId="0" borderId="14" xfId="0" applyFont="1" applyFill="1" applyBorder="1" applyAlignment="1">
      <alignment/>
    </xf>
    <xf numFmtId="0" fontId="0" fillId="0" borderId="14" xfId="0" applyBorder="1" applyAlignment="1">
      <alignment/>
    </xf>
    <xf numFmtId="0" fontId="0" fillId="0" borderId="14" xfId="0" applyFill="1" applyBorder="1" applyAlignment="1">
      <alignment/>
    </xf>
    <xf numFmtId="2" fontId="0" fillId="0" borderId="14" xfId="0" applyNumberFormat="1" applyFont="1" applyFill="1" applyBorder="1" applyAlignment="1">
      <alignment horizontal="center"/>
    </xf>
    <xf numFmtId="0" fontId="0" fillId="0" borderId="14" xfId="0" applyFill="1" applyBorder="1" applyAlignment="1">
      <alignment horizontal="center"/>
    </xf>
    <xf numFmtId="14" fontId="0" fillId="0" borderId="14" xfId="0" applyNumberFormat="1" applyFill="1" applyBorder="1" applyAlignment="1">
      <alignment horizontal="left"/>
    </xf>
    <xf numFmtId="14" fontId="0" fillId="0" borderId="14" xfId="0" applyNumberFormat="1" applyFill="1" applyBorder="1" applyAlignment="1">
      <alignment/>
    </xf>
    <xf numFmtId="20" fontId="0" fillId="0" borderId="14" xfId="0" applyNumberFormat="1" applyFill="1" applyBorder="1" applyAlignment="1">
      <alignment horizontal="center"/>
    </xf>
    <xf numFmtId="11" fontId="0" fillId="0" borderId="14" xfId="0" applyNumberFormat="1" applyFill="1" applyBorder="1" applyAlignment="1">
      <alignment horizontal="center"/>
    </xf>
    <xf numFmtId="49" fontId="0" fillId="0" borderId="0" xfId="0" applyNumberFormat="1" applyFill="1" applyBorder="1" applyAlignment="1">
      <alignment horizontal="center"/>
    </xf>
    <xf numFmtId="14" fontId="0" fillId="0" borderId="0" xfId="0" applyNumberFormat="1" applyFill="1" applyBorder="1" applyAlignment="1">
      <alignment horizontal="left"/>
    </xf>
    <xf numFmtId="14" fontId="0" fillId="0" borderId="0" xfId="0" applyNumberFormat="1" applyFill="1" applyBorder="1" applyAlignment="1">
      <alignment horizontal="center"/>
    </xf>
    <xf numFmtId="20" fontId="0" fillId="0" borderId="0" xfId="0" applyNumberFormat="1" applyFill="1" applyBorder="1" applyAlignment="1">
      <alignment horizontal="center"/>
    </xf>
    <xf numFmtId="2" fontId="0" fillId="0" borderId="14" xfId="0" applyNumberFormat="1" applyFill="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14" xfId="0" applyBorder="1" applyAlignment="1">
      <alignment horizontal="center"/>
    </xf>
    <xf numFmtId="11" fontId="0" fillId="0" borderId="14" xfId="0" applyNumberForma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2" fontId="0" fillId="0" borderId="0" xfId="0" applyNumberFormat="1" applyFont="1" applyFill="1" applyBorder="1" applyAlignment="1">
      <alignment horizontal="center"/>
    </xf>
    <xf numFmtId="2" fontId="0" fillId="0" borderId="0" xfId="0" applyNumberFormat="1" applyAlignment="1">
      <alignment/>
    </xf>
    <xf numFmtId="0" fontId="12" fillId="0" borderId="0" xfId="0" applyFont="1" applyFill="1" applyAlignment="1">
      <alignment/>
    </xf>
    <xf numFmtId="0" fontId="12" fillId="0" borderId="0" xfId="0" applyFont="1" applyFill="1" applyAlignment="1">
      <alignment horizontal="center"/>
    </xf>
    <xf numFmtId="2" fontId="12" fillId="0" borderId="0" xfId="0" applyNumberFormat="1" applyFont="1" applyFill="1" applyAlignment="1">
      <alignment horizontal="center"/>
    </xf>
    <xf numFmtId="2" fontId="12" fillId="0" borderId="0" xfId="0" applyNumberFormat="1" applyFont="1" applyAlignment="1">
      <alignment/>
    </xf>
    <xf numFmtId="49" fontId="12" fillId="0" borderId="0" xfId="0" applyNumberFormat="1" applyFont="1" applyFill="1" applyAlignment="1">
      <alignment horizontal="center"/>
    </xf>
    <xf numFmtId="14" fontId="12" fillId="0" borderId="0" xfId="0" applyNumberFormat="1" applyFont="1" applyFill="1" applyAlignment="1">
      <alignment horizontal="left"/>
    </xf>
    <xf numFmtId="14" fontId="12" fillId="0" borderId="0" xfId="0" applyNumberFormat="1" applyFont="1" applyFill="1" applyAlignment="1">
      <alignment horizontal="center"/>
    </xf>
    <xf numFmtId="20" fontId="12" fillId="0" borderId="0" xfId="0" applyNumberFormat="1" applyFont="1" applyFill="1" applyAlignment="1">
      <alignment horizontal="center"/>
    </xf>
    <xf numFmtId="0" fontId="12" fillId="0" borderId="0" xfId="0" applyFont="1" applyAlignment="1">
      <alignment/>
    </xf>
    <xf numFmtId="1" fontId="12" fillId="0" borderId="0" xfId="0" applyNumberFormat="1" applyFont="1" applyFill="1" applyAlignment="1">
      <alignment horizontal="center"/>
    </xf>
    <xf numFmtId="1" fontId="12" fillId="0" borderId="0" xfId="0" applyNumberFormat="1" applyFont="1" applyFill="1" applyAlignment="1">
      <alignment horizontal="left"/>
    </xf>
    <xf numFmtId="1" fontId="12" fillId="0" borderId="0" xfId="0" applyNumberFormat="1" applyFont="1" applyAlignment="1">
      <alignment horizontal="left"/>
    </xf>
    <xf numFmtId="0" fontId="12" fillId="0" borderId="0" xfId="0" applyFont="1" applyAlignment="1">
      <alignment horizontal="left"/>
    </xf>
    <xf numFmtId="176" fontId="12" fillId="0" borderId="0" xfId="0" applyNumberFormat="1" applyFont="1" applyFill="1" applyAlignment="1">
      <alignment horizontal="center"/>
    </xf>
    <xf numFmtId="176" fontId="12" fillId="0" borderId="0" xfId="0" applyNumberFormat="1" applyFont="1" applyAlignment="1">
      <alignment horizontal="center"/>
    </xf>
    <xf numFmtId="178" fontId="12" fillId="0" borderId="0" xfId="0" applyNumberFormat="1" applyFont="1" applyFill="1" applyAlignment="1">
      <alignment horizontal="center"/>
    </xf>
    <xf numFmtId="178" fontId="12" fillId="0" borderId="0" xfId="0" applyNumberFormat="1" applyFont="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0" fontId="0" fillId="0" borderId="13" xfId="57" applyFont="1" applyBorder="1" applyAlignment="1">
      <alignment horizontal="left"/>
      <protection/>
    </xf>
    <xf numFmtId="1" fontId="47" fillId="0" borderId="0" xfId="0" applyNumberFormat="1" applyFont="1" applyFill="1" applyAlignment="1">
      <alignment horizontal="center"/>
    </xf>
    <xf numFmtId="14" fontId="47" fillId="0" borderId="0" xfId="0" applyNumberFormat="1" applyFont="1" applyFill="1" applyAlignment="1">
      <alignment horizontal="center"/>
    </xf>
    <xf numFmtId="20" fontId="47" fillId="0" borderId="0" xfId="0" applyNumberFormat="1" applyFont="1" applyFill="1" applyAlignment="1">
      <alignment horizontal="center"/>
    </xf>
    <xf numFmtId="0" fontId="47" fillId="0" borderId="0" xfId="0" applyFont="1" applyFill="1" applyAlignment="1">
      <alignment horizontal="center"/>
    </xf>
    <xf numFmtId="0" fontId="47" fillId="0" borderId="0" xfId="0" applyFont="1" applyAlignment="1">
      <alignment/>
    </xf>
    <xf numFmtId="0" fontId="47" fillId="0" borderId="0" xfId="0" applyFont="1" applyFill="1" applyAlignment="1">
      <alignment/>
    </xf>
    <xf numFmtId="2" fontId="47" fillId="0" borderId="0" xfId="0" applyNumberFormat="1" applyFont="1" applyFill="1" applyAlignment="1">
      <alignment horizontal="center"/>
    </xf>
    <xf numFmtId="2" fontId="47" fillId="0" borderId="0" xfId="0" applyNumberFormat="1" applyFont="1" applyAlignment="1">
      <alignment/>
    </xf>
    <xf numFmtId="0" fontId="6" fillId="0" borderId="0" xfId="0" applyFont="1" applyFill="1" applyAlignment="1">
      <alignment horizontal="left"/>
    </xf>
    <xf numFmtId="0" fontId="6" fillId="0" borderId="0" xfId="57" applyFont="1" applyBorder="1" applyAlignment="1">
      <alignment horizontal="left"/>
      <protection/>
    </xf>
    <xf numFmtId="166" fontId="12" fillId="0" borderId="0" xfId="0" applyNumberFormat="1" applyFont="1" applyFill="1" applyAlignment="1">
      <alignment horizontal="center"/>
    </xf>
    <xf numFmtId="0" fontId="6" fillId="0" borderId="13" xfId="0" applyFont="1" applyFill="1" applyBorder="1" applyAlignment="1">
      <alignment horizontal="left"/>
    </xf>
    <xf numFmtId="0" fontId="9" fillId="0" borderId="0" xfId="0" applyFont="1" applyAlignment="1">
      <alignment horizontal="left" vertical="top" wrapText="1"/>
    </xf>
    <xf numFmtId="0" fontId="2" fillId="0" borderId="14" xfId="0" applyFont="1" applyBorder="1" applyAlignment="1">
      <alignment horizontal="center"/>
    </xf>
    <xf numFmtId="0" fontId="2" fillId="34"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ULSA_5_19_06"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A1" sqref="A1:I1"/>
    </sheetView>
  </sheetViews>
  <sheetFormatPr defaultColWidth="9.140625" defaultRowHeight="12.75"/>
  <cols>
    <col min="1" max="1" width="26.7109375" style="0" customWidth="1"/>
    <col min="2" max="2" width="10.8515625" style="0" customWidth="1"/>
    <col min="4" max="5" width="10.7109375" style="0" customWidth="1"/>
    <col min="6" max="6" width="14.8515625" style="0" customWidth="1"/>
  </cols>
  <sheetData>
    <row r="1" spans="1:9" ht="121.5" customHeight="1">
      <c r="A1" s="179" t="s">
        <v>174</v>
      </c>
      <c r="B1" s="179"/>
      <c r="C1" s="179"/>
      <c r="D1" s="179"/>
      <c r="E1" s="179"/>
      <c r="F1" s="179"/>
      <c r="G1" s="179"/>
      <c r="H1" s="179"/>
      <c r="I1" s="179"/>
    </row>
    <row r="2" spans="1:9" ht="15.75">
      <c r="A2" s="44"/>
      <c r="B2" s="44"/>
      <c r="C2" s="44"/>
      <c r="D2" s="44"/>
      <c r="E2" s="44"/>
      <c r="F2" s="44"/>
      <c r="G2" s="44"/>
      <c r="H2" s="44"/>
      <c r="I2" s="44"/>
    </row>
    <row r="3" spans="1:9" ht="12.75">
      <c r="A3" s="45"/>
      <c r="B3" s="45"/>
      <c r="C3" s="45"/>
      <c r="D3" s="45"/>
      <c r="E3" s="45"/>
      <c r="F3" s="45"/>
      <c r="G3" s="45"/>
      <c r="H3" s="45"/>
      <c r="I3" s="45"/>
    </row>
    <row r="4" spans="1:9" ht="12.75">
      <c r="A4" s="41" t="s">
        <v>28</v>
      </c>
      <c r="B4" s="46" t="s">
        <v>166</v>
      </c>
      <c r="C4" s="47"/>
      <c r="D4" s="47"/>
      <c r="E4" s="47"/>
      <c r="F4" s="57"/>
      <c r="G4" s="21"/>
      <c r="H4" s="50"/>
      <c r="I4" s="47"/>
    </row>
    <row r="5" spans="1:9" ht="12.75">
      <c r="A5" s="52" t="s">
        <v>145</v>
      </c>
      <c r="B5" s="46" t="s">
        <v>151</v>
      </c>
      <c r="C5" s="47"/>
      <c r="D5" s="47"/>
      <c r="E5" s="47"/>
      <c r="F5" s="43"/>
      <c r="G5" s="48"/>
      <c r="H5" s="50"/>
      <c r="I5" s="47"/>
    </row>
    <row r="6" spans="1:9" ht="12.75">
      <c r="A6" s="53" t="s">
        <v>26</v>
      </c>
      <c r="B6" s="48" t="s">
        <v>139</v>
      </c>
      <c r="C6" s="47"/>
      <c r="D6" s="47"/>
      <c r="E6" s="47"/>
      <c r="F6" s="52"/>
      <c r="G6" s="49"/>
      <c r="H6" s="50"/>
      <c r="I6" s="47"/>
    </row>
    <row r="7" spans="1:9" ht="12.75">
      <c r="A7" s="52" t="s">
        <v>25</v>
      </c>
      <c r="B7" s="49" t="s">
        <v>140</v>
      </c>
      <c r="C7" s="47"/>
      <c r="D7" s="47"/>
      <c r="E7" s="47"/>
      <c r="F7" s="43"/>
      <c r="G7" s="19"/>
      <c r="H7" s="50"/>
      <c r="I7" s="47"/>
    </row>
    <row r="8" spans="1:9" ht="12.75">
      <c r="A8" s="54" t="s">
        <v>147</v>
      </c>
      <c r="B8" s="58" t="s">
        <v>152</v>
      </c>
      <c r="C8" s="59"/>
      <c r="D8" s="59"/>
      <c r="E8" s="47"/>
      <c r="F8" s="43"/>
      <c r="G8" s="19"/>
      <c r="H8" s="50"/>
      <c r="I8" s="47"/>
    </row>
    <row r="9" spans="1:9" ht="12.75">
      <c r="A9" s="41" t="s">
        <v>141</v>
      </c>
      <c r="B9" s="19" t="s">
        <v>165</v>
      </c>
      <c r="C9" s="59"/>
      <c r="D9" s="59"/>
      <c r="E9" s="47"/>
      <c r="F9" s="43"/>
      <c r="G9" s="50"/>
      <c r="H9" s="50"/>
      <c r="I9" s="47"/>
    </row>
    <row r="10" spans="1:9" ht="12.75">
      <c r="A10" s="176" t="s">
        <v>169</v>
      </c>
      <c r="B10" s="19" t="s">
        <v>173</v>
      </c>
      <c r="C10" s="59"/>
      <c r="D10" s="59"/>
      <c r="E10" s="47"/>
      <c r="F10" s="43"/>
      <c r="G10" s="21"/>
      <c r="H10" s="50"/>
      <c r="I10" s="47"/>
    </row>
    <row r="11" spans="1:9" ht="12.75">
      <c r="A11" s="41" t="s">
        <v>20</v>
      </c>
      <c r="B11" s="19" t="s">
        <v>142</v>
      </c>
      <c r="C11" s="59"/>
      <c r="D11" s="59"/>
      <c r="E11" s="47"/>
      <c r="F11" s="43"/>
      <c r="G11" s="21"/>
      <c r="H11" s="50"/>
      <c r="I11" s="47"/>
    </row>
    <row r="12" spans="1:9" ht="12.75">
      <c r="A12" s="41" t="s">
        <v>19</v>
      </c>
      <c r="B12" s="19" t="s">
        <v>143</v>
      </c>
      <c r="C12" s="59"/>
      <c r="D12" s="59"/>
      <c r="E12" s="47"/>
      <c r="F12" s="47"/>
      <c r="G12" s="47"/>
      <c r="H12" s="47"/>
      <c r="I12" s="47"/>
    </row>
    <row r="13" spans="1:9" ht="12.75">
      <c r="A13" s="55" t="s">
        <v>148</v>
      </c>
      <c r="B13" s="19" t="s">
        <v>153</v>
      </c>
      <c r="C13" s="59"/>
      <c r="D13" s="59"/>
      <c r="E13" s="47"/>
      <c r="F13" s="47"/>
      <c r="G13" s="47"/>
      <c r="H13" s="47"/>
      <c r="I13" s="47"/>
    </row>
    <row r="14" spans="1:9" ht="12.75">
      <c r="A14" s="55" t="s">
        <v>149</v>
      </c>
      <c r="B14" s="61" t="s">
        <v>158</v>
      </c>
      <c r="C14" s="59"/>
      <c r="D14" s="59"/>
      <c r="E14" s="47"/>
      <c r="F14" s="47"/>
      <c r="G14" s="47"/>
      <c r="H14" s="47"/>
      <c r="I14" s="47"/>
    </row>
    <row r="15" spans="1:9" ht="14.25">
      <c r="A15" s="55" t="s">
        <v>154</v>
      </c>
      <c r="B15" s="60" t="s">
        <v>159</v>
      </c>
      <c r="C15" s="59"/>
      <c r="D15" s="59"/>
      <c r="E15" s="47"/>
      <c r="F15" s="47"/>
      <c r="G15" s="47"/>
      <c r="H15" s="47"/>
      <c r="I15" s="47"/>
    </row>
    <row r="16" spans="1:9" ht="12.75">
      <c r="A16" s="41" t="s">
        <v>144</v>
      </c>
      <c r="B16" s="19" t="s">
        <v>175</v>
      </c>
      <c r="D16" s="59"/>
      <c r="E16" s="47"/>
      <c r="F16" s="47"/>
      <c r="G16" s="47"/>
      <c r="H16" s="47"/>
      <c r="I16" s="47"/>
    </row>
    <row r="17" spans="1:9" ht="14.25">
      <c r="A17" s="41" t="s">
        <v>157</v>
      </c>
      <c r="B17" s="51" t="s">
        <v>160</v>
      </c>
      <c r="D17" s="62"/>
      <c r="E17" s="47"/>
      <c r="F17" s="47"/>
      <c r="G17" s="47"/>
      <c r="H17" s="47"/>
      <c r="I17" s="47"/>
    </row>
    <row r="18" spans="1:7" ht="14.25">
      <c r="A18" s="41" t="s">
        <v>155</v>
      </c>
      <c r="B18" s="64" t="s">
        <v>161</v>
      </c>
      <c r="C18" s="65"/>
      <c r="D18" s="65"/>
      <c r="E18" s="65"/>
      <c r="F18" s="65"/>
      <c r="G18" s="65"/>
    </row>
    <row r="19" spans="1:7" ht="14.25">
      <c r="A19" s="41" t="s">
        <v>156</v>
      </c>
      <c r="B19" s="64" t="s">
        <v>162</v>
      </c>
      <c r="C19" s="65"/>
      <c r="D19" s="65"/>
      <c r="E19" s="65"/>
      <c r="F19" s="65"/>
      <c r="G19" s="65"/>
    </row>
    <row r="20" spans="1:4" ht="12.75">
      <c r="A20" s="175" t="s">
        <v>170</v>
      </c>
      <c r="B20" s="64" t="s">
        <v>172</v>
      </c>
      <c r="C20" s="63"/>
      <c r="D20" s="63"/>
    </row>
    <row r="22" spans="1:7" ht="26.25">
      <c r="A22" s="180" t="s">
        <v>133</v>
      </c>
      <c r="B22" s="180"/>
      <c r="C22" s="180"/>
      <c r="D22" s="180"/>
      <c r="E22" s="180"/>
      <c r="F22" s="180"/>
      <c r="G22" s="90"/>
    </row>
    <row r="23" spans="1:6" ht="48.75" thickBot="1">
      <c r="A23" s="39" t="s">
        <v>146</v>
      </c>
      <c r="B23" s="38" t="s">
        <v>176</v>
      </c>
      <c r="C23" s="38" t="s">
        <v>125</v>
      </c>
      <c r="D23" s="38" t="s">
        <v>126</v>
      </c>
      <c r="E23" s="40" t="s">
        <v>168</v>
      </c>
      <c r="F23" s="38" t="s">
        <v>167</v>
      </c>
    </row>
    <row r="24" spans="1:6" ht="12.75">
      <c r="A24" s="67">
        <v>6413700</v>
      </c>
      <c r="B24" s="67" t="s">
        <v>163</v>
      </c>
      <c r="C24" s="77">
        <v>39210</v>
      </c>
      <c r="D24" s="82">
        <v>958</v>
      </c>
      <c r="E24" s="83">
        <v>1181.0205405405407</v>
      </c>
      <c r="F24" s="82">
        <v>1000</v>
      </c>
    </row>
    <row r="25" spans="1:6" ht="12.75">
      <c r="A25" s="68">
        <v>6413570</v>
      </c>
      <c r="B25" s="73" t="s">
        <v>164</v>
      </c>
      <c r="C25" s="78">
        <v>39211</v>
      </c>
      <c r="D25" s="84">
        <v>830</v>
      </c>
      <c r="E25" s="85">
        <v>2382.3243243243246</v>
      </c>
      <c r="F25" s="84">
        <v>950</v>
      </c>
    </row>
    <row r="26" spans="1:6" ht="12.75">
      <c r="A26" s="68">
        <v>6413200</v>
      </c>
      <c r="B26" s="74" t="s">
        <v>127</v>
      </c>
      <c r="C26" s="78">
        <v>39211</v>
      </c>
      <c r="D26" s="84">
        <v>1230</v>
      </c>
      <c r="E26" s="85">
        <v>2094.531891891892</v>
      </c>
      <c r="F26" s="84">
        <v>1000</v>
      </c>
    </row>
    <row r="27" spans="1:6" ht="12.75">
      <c r="A27" s="68">
        <v>6412900</v>
      </c>
      <c r="B27" s="75" t="s">
        <v>131</v>
      </c>
      <c r="C27" s="78">
        <v>39211</v>
      </c>
      <c r="D27" s="84">
        <v>1020</v>
      </c>
      <c r="E27" s="85">
        <v>2169.5416216216217</v>
      </c>
      <c r="F27" s="84">
        <v>920</v>
      </c>
    </row>
    <row r="28" spans="1:6" ht="12.75">
      <c r="A28" s="69">
        <v>440321103181101</v>
      </c>
      <c r="B28" s="74" t="s">
        <v>129</v>
      </c>
      <c r="C28" s="78">
        <v>39212</v>
      </c>
      <c r="D28" s="84">
        <v>745</v>
      </c>
      <c r="E28" s="85">
        <v>1039.037837837838</v>
      </c>
      <c r="F28" s="84">
        <v>1000</v>
      </c>
    </row>
    <row r="29" spans="1:6" ht="12.75">
      <c r="A29" s="68">
        <v>6412000</v>
      </c>
      <c r="B29" s="68" t="s">
        <v>132</v>
      </c>
      <c r="C29" s="78">
        <v>39211</v>
      </c>
      <c r="D29" s="84">
        <v>1400</v>
      </c>
      <c r="E29" s="85">
        <v>1544.2054054054056</v>
      </c>
      <c r="F29" s="84">
        <v>640</v>
      </c>
    </row>
    <row r="30" spans="1:6" ht="15" customHeight="1" thickBot="1">
      <c r="A30" s="70">
        <v>6411500</v>
      </c>
      <c r="B30" s="76" t="s">
        <v>130</v>
      </c>
      <c r="C30" s="79">
        <v>39212</v>
      </c>
      <c r="D30" s="86">
        <v>930</v>
      </c>
      <c r="E30" s="87">
        <v>887.1048648648648</v>
      </c>
      <c r="F30" s="86">
        <v>960</v>
      </c>
    </row>
    <row r="31" spans="1:6" ht="12.75">
      <c r="A31" s="71" t="s">
        <v>7</v>
      </c>
      <c r="B31" s="67" t="s">
        <v>163</v>
      </c>
      <c r="C31" s="80">
        <v>39329</v>
      </c>
      <c r="D31" s="88">
        <v>1145</v>
      </c>
      <c r="E31" s="83">
        <v>832</v>
      </c>
      <c r="F31" s="82">
        <v>1030</v>
      </c>
    </row>
    <row r="32" spans="1:6" ht="12.75">
      <c r="A32" s="72" t="s">
        <v>48</v>
      </c>
      <c r="B32" s="74" t="s">
        <v>127</v>
      </c>
      <c r="C32" s="81">
        <v>39329</v>
      </c>
      <c r="D32" s="89">
        <v>1320</v>
      </c>
      <c r="E32" s="85">
        <v>1170</v>
      </c>
      <c r="F32" s="84">
        <v>930</v>
      </c>
    </row>
    <row r="33" spans="1:6" ht="12.75">
      <c r="A33" s="72" t="s">
        <v>128</v>
      </c>
      <c r="B33" s="74" t="s">
        <v>129</v>
      </c>
      <c r="C33" s="81">
        <v>39329</v>
      </c>
      <c r="D33" s="89">
        <v>1430</v>
      </c>
      <c r="E33" s="85">
        <v>624</v>
      </c>
      <c r="F33" s="84">
        <v>960</v>
      </c>
    </row>
    <row r="34" spans="1:6" ht="24">
      <c r="A34" s="72" t="s">
        <v>41</v>
      </c>
      <c r="B34" s="74" t="s">
        <v>130</v>
      </c>
      <c r="C34" s="81">
        <v>39330</v>
      </c>
      <c r="D34" s="89">
        <v>1145</v>
      </c>
      <c r="E34" s="85">
        <v>546</v>
      </c>
      <c r="F34" s="84">
        <v>900</v>
      </c>
    </row>
    <row r="36" ht="12.75">
      <c r="A36" s="30"/>
    </row>
    <row r="37" ht="12.75">
      <c r="A37" s="56"/>
    </row>
  </sheetData>
  <sheetProtection/>
  <mergeCells count="2">
    <mergeCell ref="A1:I1"/>
    <mergeCell ref="A22:F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K15"/>
  <sheetViews>
    <sheetView zoomScalePageLayoutView="0" workbookViewId="0" topLeftCell="E1">
      <selection activeCell="K2" sqref="K2:K3"/>
    </sheetView>
  </sheetViews>
  <sheetFormatPr defaultColWidth="9.140625" defaultRowHeight="12.75"/>
  <cols>
    <col min="1" max="1" width="17.00390625" style="1" bestFit="1" customWidth="1"/>
    <col min="2" max="2" width="43.28125" style="1" bestFit="1" customWidth="1"/>
    <col min="3" max="3" width="9.140625" style="1" bestFit="1" customWidth="1"/>
    <col min="4" max="4" width="12.00390625" style="1" bestFit="1" customWidth="1"/>
    <col min="5" max="5" width="9.28125" style="1" bestFit="1" customWidth="1"/>
    <col min="6" max="6" width="22.28125" style="1" bestFit="1" customWidth="1"/>
    <col min="7" max="7" width="13.28125" style="1" bestFit="1" customWidth="1"/>
    <col min="8" max="8" width="6.8515625" style="1" bestFit="1" customWidth="1"/>
    <col min="9" max="9" width="12.00390625" style="1" bestFit="1" customWidth="1"/>
    <col min="10" max="10" width="15.421875" style="1" bestFit="1" customWidth="1"/>
    <col min="11" max="11" width="22.140625" style="1" customWidth="1"/>
    <col min="12" max="16384" width="9.140625" style="1" customWidth="1"/>
  </cols>
  <sheetData>
    <row r="2" spans="1:11" s="114" customFormat="1" ht="12.75">
      <c r="A2" s="91" t="s">
        <v>28</v>
      </c>
      <c r="B2" s="93" t="s">
        <v>145</v>
      </c>
      <c r="C2" s="93" t="s">
        <v>26</v>
      </c>
      <c r="D2" s="93" t="s">
        <v>25</v>
      </c>
      <c r="E2" s="94" t="s">
        <v>83</v>
      </c>
      <c r="F2" s="91" t="s">
        <v>169</v>
      </c>
      <c r="G2" s="91" t="s">
        <v>20</v>
      </c>
      <c r="H2" s="91" t="s">
        <v>19</v>
      </c>
      <c r="I2" s="91" t="s">
        <v>18</v>
      </c>
      <c r="J2" s="91" t="s">
        <v>17</v>
      </c>
      <c r="K2" s="175" t="s">
        <v>170</v>
      </c>
    </row>
    <row r="3" spans="1:11" s="116" customFormat="1" ht="14.25">
      <c r="A3" s="115"/>
      <c r="B3" s="99"/>
      <c r="C3" s="99"/>
      <c r="D3" s="99"/>
      <c r="E3" s="100" t="s">
        <v>16</v>
      </c>
      <c r="F3" s="101"/>
      <c r="G3" s="101"/>
      <c r="H3" s="101" t="s">
        <v>82</v>
      </c>
      <c r="I3" s="101" t="s">
        <v>12</v>
      </c>
      <c r="J3" s="105" t="s">
        <v>150</v>
      </c>
      <c r="K3" s="117" t="s">
        <v>171</v>
      </c>
    </row>
    <row r="4" spans="1:11" s="165" customFormat="1" ht="12.75">
      <c r="A4" s="157" t="s">
        <v>7</v>
      </c>
      <c r="B4" s="152" t="s">
        <v>6</v>
      </c>
      <c r="C4" s="162">
        <v>39210</v>
      </c>
      <c r="D4" s="160">
        <v>0.4152777777777778</v>
      </c>
      <c r="E4" s="148" t="s">
        <v>5</v>
      </c>
      <c r="F4" s="148" t="s">
        <v>79</v>
      </c>
      <c r="G4" s="148" t="s">
        <v>10</v>
      </c>
      <c r="H4" s="148">
        <v>18</v>
      </c>
      <c r="I4" s="156">
        <v>68722.28125</v>
      </c>
      <c r="J4" s="156">
        <v>1237001.0625</v>
      </c>
      <c r="K4" s="177">
        <v>85.02445499556735</v>
      </c>
    </row>
    <row r="5" spans="1:11" s="165" customFormat="1" ht="12.75">
      <c r="A5" s="158" t="s">
        <v>30</v>
      </c>
      <c r="B5" s="159" t="s">
        <v>31</v>
      </c>
      <c r="C5" s="163">
        <v>39211</v>
      </c>
      <c r="D5" s="161">
        <v>0.3541666666666667</v>
      </c>
      <c r="E5" s="165" t="s">
        <v>5</v>
      </c>
      <c r="F5" s="165" t="s">
        <v>79</v>
      </c>
      <c r="G5" s="165" t="s">
        <v>10</v>
      </c>
      <c r="H5" s="165">
        <v>40</v>
      </c>
      <c r="I5" s="164">
        <v>68722.28125</v>
      </c>
      <c r="J5" s="164">
        <v>2748891.25</v>
      </c>
      <c r="K5" s="177">
        <v>94.37299412049363</v>
      </c>
    </row>
    <row r="6" spans="1:11" s="165" customFormat="1" ht="12.75">
      <c r="A6" s="158" t="s">
        <v>48</v>
      </c>
      <c r="B6" s="159" t="s">
        <v>49</v>
      </c>
      <c r="C6" s="163">
        <v>39211</v>
      </c>
      <c r="D6" s="161">
        <v>0.5208333333333334</v>
      </c>
      <c r="E6" s="165" t="s">
        <v>5</v>
      </c>
      <c r="F6" s="165" t="s">
        <v>79</v>
      </c>
      <c r="G6" s="165" t="s">
        <v>10</v>
      </c>
      <c r="H6" s="165">
        <v>9</v>
      </c>
      <c r="I6" s="164">
        <v>68722.28125</v>
      </c>
      <c r="J6" s="164">
        <v>618500.53125</v>
      </c>
      <c r="K6" s="177">
        <v>79.02069498548373</v>
      </c>
    </row>
    <row r="7" spans="1:11" s="165" customFormat="1" ht="12.75">
      <c r="A7" s="157" t="s">
        <v>50</v>
      </c>
      <c r="B7" s="152" t="s">
        <v>51</v>
      </c>
      <c r="C7" s="162">
        <v>39211</v>
      </c>
      <c r="D7" s="160">
        <v>0.4305555555555556</v>
      </c>
      <c r="E7" s="148" t="s">
        <v>5</v>
      </c>
      <c r="F7" s="148" t="s">
        <v>96</v>
      </c>
      <c r="G7" s="148" t="s">
        <v>10</v>
      </c>
      <c r="H7" s="148">
        <v>8</v>
      </c>
      <c r="I7" s="156">
        <v>43429.34015999999</v>
      </c>
      <c r="J7" s="156">
        <v>347434.72127999994</v>
      </c>
      <c r="K7" s="177">
        <v>57.492411983313744</v>
      </c>
    </row>
    <row r="8" spans="1:11" s="165" customFormat="1" ht="12.75">
      <c r="A8" s="158" t="s">
        <v>33</v>
      </c>
      <c r="B8" s="159" t="s">
        <v>34</v>
      </c>
      <c r="C8" s="163">
        <v>39211</v>
      </c>
      <c r="D8" s="161">
        <v>0.5833333333333334</v>
      </c>
      <c r="E8" s="165" t="s">
        <v>5</v>
      </c>
      <c r="F8" s="165" t="s">
        <v>86</v>
      </c>
      <c r="G8" s="165" t="s">
        <v>10</v>
      </c>
      <c r="H8" s="165">
        <v>4</v>
      </c>
      <c r="I8" s="164">
        <v>57196.897916666654</v>
      </c>
      <c r="J8" s="164">
        <v>228787.59166666662</v>
      </c>
      <c r="K8" s="177">
        <v>56.04680549192598</v>
      </c>
    </row>
    <row r="9" spans="1:11" s="165" customFormat="1" ht="12.75">
      <c r="A9" s="157" t="s">
        <v>41</v>
      </c>
      <c r="B9" s="152" t="s">
        <v>42</v>
      </c>
      <c r="C9" s="162">
        <v>39212</v>
      </c>
      <c r="D9" s="160">
        <v>0.3958333333333333</v>
      </c>
      <c r="E9" s="148" t="s">
        <v>5</v>
      </c>
      <c r="F9" s="148" t="s">
        <v>86</v>
      </c>
      <c r="G9" s="148" t="s">
        <v>10</v>
      </c>
      <c r="H9" s="148">
        <v>6</v>
      </c>
      <c r="I9" s="156">
        <v>57196.897916666654</v>
      </c>
      <c r="J9" s="156">
        <v>343181.38749999995</v>
      </c>
      <c r="K9" s="177">
        <v>59.39634222082295</v>
      </c>
    </row>
    <row r="10" spans="1:11" s="165" customFormat="1" ht="12.75">
      <c r="A10" s="158">
        <v>440321103181101</v>
      </c>
      <c r="B10" s="159" t="s">
        <v>38</v>
      </c>
      <c r="C10" s="163">
        <v>39212</v>
      </c>
      <c r="D10" s="161">
        <v>0.3229166666666667</v>
      </c>
      <c r="E10" s="165" t="s">
        <v>5</v>
      </c>
      <c r="F10" s="165" t="s">
        <v>54</v>
      </c>
      <c r="G10" s="165" t="s">
        <v>10</v>
      </c>
      <c r="H10" s="165">
        <v>12</v>
      </c>
      <c r="I10" s="164">
        <v>9600</v>
      </c>
      <c r="J10" s="164">
        <v>115200</v>
      </c>
      <c r="K10" s="177">
        <v>44.55777007491683</v>
      </c>
    </row>
    <row r="11" spans="1:11" s="165" customFormat="1" ht="12.75">
      <c r="A11" s="158">
        <v>440321103181101</v>
      </c>
      <c r="B11" s="159" t="s">
        <v>108</v>
      </c>
      <c r="C11" s="163">
        <v>39329</v>
      </c>
      <c r="D11" s="161">
        <v>0.6041666666666666</v>
      </c>
      <c r="E11" s="165" t="s">
        <v>5</v>
      </c>
      <c r="F11" s="165" t="s">
        <v>80</v>
      </c>
      <c r="G11" s="165" t="s">
        <v>10</v>
      </c>
      <c r="H11" s="165">
        <v>89</v>
      </c>
      <c r="I11" s="164">
        <v>412.3336875</v>
      </c>
      <c r="J11" s="164">
        <v>36697.6981875</v>
      </c>
      <c r="K11" s="177">
        <v>34.329698968955704</v>
      </c>
    </row>
    <row r="12" spans="1:11" s="165" customFormat="1" ht="12.75">
      <c r="A12" s="158" t="s">
        <v>48</v>
      </c>
      <c r="B12" s="159" t="s">
        <v>105</v>
      </c>
      <c r="C12" s="163">
        <v>39329</v>
      </c>
      <c r="D12" s="161">
        <v>0.5555555555555556</v>
      </c>
      <c r="E12" s="165" t="s">
        <v>5</v>
      </c>
      <c r="F12" s="165" t="s">
        <v>79</v>
      </c>
      <c r="G12" s="165" t="s">
        <v>10</v>
      </c>
      <c r="H12" s="165">
        <v>4</v>
      </c>
      <c r="I12" s="164">
        <v>68722.28125</v>
      </c>
      <c r="J12" s="164">
        <v>274889.125</v>
      </c>
      <c r="K12" s="177">
        <v>78.73139326587362</v>
      </c>
    </row>
    <row r="13" spans="1:11" s="165" customFormat="1" ht="12.75">
      <c r="A13" s="157" t="s">
        <v>7</v>
      </c>
      <c r="B13" s="152" t="s">
        <v>6</v>
      </c>
      <c r="C13" s="162">
        <v>39329</v>
      </c>
      <c r="D13" s="160">
        <v>0.4895833333333333</v>
      </c>
      <c r="E13" s="148" t="s">
        <v>5</v>
      </c>
      <c r="F13" s="148" t="s">
        <v>94</v>
      </c>
      <c r="G13" s="148" t="s">
        <v>10</v>
      </c>
      <c r="H13" s="148">
        <v>23</v>
      </c>
      <c r="I13" s="156">
        <v>1272.34395</v>
      </c>
      <c r="J13" s="156">
        <v>29263.91085</v>
      </c>
      <c r="K13" s="177">
        <v>23.518816748264697</v>
      </c>
    </row>
    <row r="14" spans="1:11" s="165" customFormat="1" ht="12.75">
      <c r="A14" s="158" t="s">
        <v>41</v>
      </c>
      <c r="B14" s="159" t="s">
        <v>42</v>
      </c>
      <c r="C14" s="163">
        <v>39330</v>
      </c>
      <c r="D14" s="161">
        <v>0.4895833333333333</v>
      </c>
      <c r="E14" s="165" t="s">
        <v>5</v>
      </c>
      <c r="F14" s="165" t="s">
        <v>88</v>
      </c>
      <c r="G14" s="165" t="s">
        <v>10</v>
      </c>
      <c r="H14" s="165">
        <v>8</v>
      </c>
      <c r="I14" s="164">
        <v>3887.7176249999998</v>
      </c>
      <c r="J14" s="164">
        <v>31101.740999999998</v>
      </c>
      <c r="K14" s="177">
        <v>17.67669279087241</v>
      </c>
    </row>
    <row r="15" spans="1:11" s="165" customFormat="1" ht="12.75">
      <c r="A15" s="158" t="s">
        <v>41</v>
      </c>
      <c r="B15" s="159" t="s">
        <v>42</v>
      </c>
      <c r="C15" s="163">
        <v>39330</v>
      </c>
      <c r="D15" s="161">
        <v>0.4895833333333333</v>
      </c>
      <c r="E15" s="165" t="s">
        <v>5</v>
      </c>
      <c r="F15" s="165" t="s">
        <v>54</v>
      </c>
      <c r="G15" s="165" t="s">
        <v>10</v>
      </c>
      <c r="H15" s="165">
        <v>2</v>
      </c>
      <c r="I15" s="164">
        <v>9600</v>
      </c>
      <c r="J15" s="164">
        <v>19200</v>
      </c>
      <c r="K15" s="177">
        <v>10.912331293117973</v>
      </c>
    </row>
  </sheetData>
  <sheetProtection/>
  <printOptions/>
  <pageMargins left="0.75" right="0.75" top="1" bottom="1" header="0.5" footer="0.5"/>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T88"/>
  <sheetViews>
    <sheetView zoomScale="85" zoomScaleNormal="85" zoomScalePageLayoutView="0" workbookViewId="0" topLeftCell="B1">
      <selection activeCell="B37" sqref="B37"/>
    </sheetView>
  </sheetViews>
  <sheetFormatPr defaultColWidth="9.140625" defaultRowHeight="12.75"/>
  <cols>
    <col min="1" max="1" width="9.00390625" style="0" bestFit="1" customWidth="1"/>
    <col min="2" max="2" width="40.57421875" style="0" customWidth="1"/>
    <col min="3" max="3" width="8.140625" style="0" bestFit="1" customWidth="1"/>
    <col min="4" max="4" width="5.57421875" style="0" bestFit="1" customWidth="1"/>
    <col min="5" max="5" width="9.28125" style="0" bestFit="1" customWidth="1"/>
    <col min="6" max="6" width="13.28125" style="0" customWidth="1"/>
    <col min="7" max="7" width="8.00390625" style="0" hidden="1" customWidth="1"/>
    <col min="8" max="8" width="7.421875" style="0" hidden="1" customWidth="1"/>
    <col min="9" max="9" width="9.8515625" style="0" hidden="1" customWidth="1"/>
    <col min="10" max="10" width="12.00390625" style="0" hidden="1" customWidth="1"/>
    <col min="11" max="11" width="29.140625" style="0" bestFit="1" customWidth="1"/>
    <col min="12" max="12" width="13.28125" style="0" bestFit="1" customWidth="1"/>
    <col min="13" max="13" width="6.8515625" style="0" bestFit="1" customWidth="1"/>
    <col min="14" max="14" width="18.57421875" style="0" bestFit="1" customWidth="1"/>
    <col min="15" max="15" width="21.421875" style="0" bestFit="1" customWidth="1"/>
    <col min="16" max="16" width="17.00390625" style="0" bestFit="1" customWidth="1"/>
    <col min="17" max="17" width="12.28125" style="0" bestFit="1" customWidth="1"/>
    <col min="18" max="18" width="9.8515625" style="0" bestFit="1" customWidth="1"/>
    <col min="19" max="19" width="11.00390625" style="0" customWidth="1"/>
  </cols>
  <sheetData>
    <row r="1" spans="1:19" ht="26.25">
      <c r="A1" s="181" t="s">
        <v>1</v>
      </c>
      <c r="B1" s="181"/>
      <c r="C1" s="181"/>
      <c r="D1" s="181"/>
      <c r="E1" s="181"/>
      <c r="F1" s="181"/>
      <c r="G1" s="181"/>
      <c r="H1" s="181"/>
      <c r="I1" s="181"/>
      <c r="J1" s="181"/>
      <c r="K1" s="181"/>
      <c r="L1" s="181"/>
      <c r="M1" s="181"/>
      <c r="N1" s="181"/>
      <c r="O1" s="181"/>
      <c r="P1" s="181"/>
      <c r="Q1" s="181"/>
      <c r="R1" s="181"/>
      <c r="S1" s="181"/>
    </row>
    <row r="2" spans="1:19" s="97" customFormat="1" ht="12.75">
      <c r="A2" s="91" t="s">
        <v>28</v>
      </c>
      <c r="B2" s="92" t="s">
        <v>145</v>
      </c>
      <c r="C2" s="93" t="s">
        <v>26</v>
      </c>
      <c r="D2" s="92" t="s">
        <v>25</v>
      </c>
      <c r="E2" s="94" t="s">
        <v>24</v>
      </c>
      <c r="F2" s="91" t="s">
        <v>24</v>
      </c>
      <c r="G2" s="91" t="s">
        <v>23</v>
      </c>
      <c r="H2" s="91" t="s">
        <v>22</v>
      </c>
      <c r="I2" s="91" t="s">
        <v>14</v>
      </c>
      <c r="J2" s="91" t="s">
        <v>21</v>
      </c>
      <c r="K2" s="95" t="s">
        <v>169</v>
      </c>
      <c r="L2" s="95" t="s">
        <v>20</v>
      </c>
      <c r="M2" s="91" t="s">
        <v>19</v>
      </c>
      <c r="N2" s="96" t="s">
        <v>134</v>
      </c>
      <c r="O2" s="96" t="s">
        <v>134</v>
      </c>
      <c r="P2" s="96" t="s">
        <v>98</v>
      </c>
      <c r="Q2" s="91" t="s">
        <v>18</v>
      </c>
      <c r="R2" s="91" t="s">
        <v>17</v>
      </c>
      <c r="S2" s="91" t="s">
        <v>17</v>
      </c>
    </row>
    <row r="3" spans="1:19" s="106" customFormat="1" ht="14.25">
      <c r="A3" s="98"/>
      <c r="B3" s="98"/>
      <c r="C3" s="99"/>
      <c r="D3" s="99"/>
      <c r="E3" s="100" t="s">
        <v>16</v>
      </c>
      <c r="F3" s="101" t="s">
        <v>15</v>
      </c>
      <c r="G3" s="101" t="s">
        <v>14</v>
      </c>
      <c r="H3" s="101"/>
      <c r="I3" s="101" t="s">
        <v>13</v>
      </c>
      <c r="J3" s="101"/>
      <c r="K3" s="102"/>
      <c r="L3" s="102"/>
      <c r="M3" s="101"/>
      <c r="N3" s="103" t="s">
        <v>99</v>
      </c>
      <c r="O3" s="104" t="s">
        <v>100</v>
      </c>
      <c r="P3" s="103" t="s">
        <v>135</v>
      </c>
      <c r="Q3" s="101" t="s">
        <v>12</v>
      </c>
      <c r="R3" s="105" t="s">
        <v>136</v>
      </c>
      <c r="S3" s="105" t="s">
        <v>137</v>
      </c>
    </row>
    <row r="4" spans="1:19" ht="12.75">
      <c r="A4" s="10" t="s">
        <v>7</v>
      </c>
      <c r="B4" s="5" t="s">
        <v>6</v>
      </c>
      <c r="C4" s="9">
        <v>39210</v>
      </c>
      <c r="D4" s="3">
        <v>0.4152777777777778</v>
      </c>
      <c r="E4" s="1" t="s">
        <v>5</v>
      </c>
      <c r="F4" s="1">
        <v>0.3</v>
      </c>
      <c r="G4" s="1">
        <v>0.15904</v>
      </c>
      <c r="H4" s="1">
        <v>5</v>
      </c>
      <c r="I4" s="1">
        <f>G4*H4</f>
        <v>0.7951999999999999</v>
      </c>
      <c r="J4" s="8">
        <f>((201.062/I4)/F4)</f>
        <v>842.815224681422</v>
      </c>
      <c r="K4" t="s">
        <v>11</v>
      </c>
      <c r="L4" s="11" t="s">
        <v>10</v>
      </c>
      <c r="M4" s="1">
        <v>587</v>
      </c>
      <c r="N4" s="2">
        <f>J4*M4</f>
        <v>494732.53688799473</v>
      </c>
      <c r="O4" s="2">
        <f>N4*1030</f>
        <v>509574512.99463457</v>
      </c>
      <c r="P4" s="2">
        <f>O4/1181</f>
        <v>431477.1490217058</v>
      </c>
      <c r="Q4" s="1">
        <v>3637.1919777800676</v>
      </c>
      <c r="R4" s="2">
        <f>N4*Q4</f>
        <v>1799437214.315796</v>
      </c>
      <c r="S4" s="2">
        <f>P4*Q4</f>
        <v>1569365225.017163</v>
      </c>
    </row>
    <row r="5" spans="1:19" ht="12.75">
      <c r="A5" s="10" t="s">
        <v>7</v>
      </c>
      <c r="B5" s="5" t="s">
        <v>6</v>
      </c>
      <c r="C5" s="9">
        <v>39210</v>
      </c>
      <c r="D5" s="3">
        <v>0.4152777777777778</v>
      </c>
      <c r="E5" s="1" t="s">
        <v>5</v>
      </c>
      <c r="F5" s="1">
        <v>0.3</v>
      </c>
      <c r="G5" s="8">
        <v>100.53</v>
      </c>
      <c r="H5" s="1">
        <v>1</v>
      </c>
      <c r="I5" s="1">
        <f>G5*H5</f>
        <v>100.53</v>
      </c>
      <c r="J5" s="8">
        <f>((201.062/I5)/F5)</f>
        <v>6.666732981862794</v>
      </c>
      <c r="K5" t="s">
        <v>9</v>
      </c>
      <c r="L5" t="s">
        <v>8</v>
      </c>
      <c r="M5" s="1">
        <v>1</v>
      </c>
      <c r="N5" s="2">
        <f>J5*M5</f>
        <v>6.666732981862794</v>
      </c>
      <c r="O5" s="2">
        <f>N5*1030</f>
        <v>6866.734971318678</v>
      </c>
      <c r="P5" s="2">
        <f>O5/1181</f>
        <v>5.814339518474748</v>
      </c>
      <c r="Q5" s="7">
        <v>3036.870333333333</v>
      </c>
      <c r="R5" s="2">
        <f>N5*Q5</f>
        <v>20246.00361287399</v>
      </c>
      <c r="S5" s="2">
        <f>P5*Q5</f>
        <v>17657.39519158358</v>
      </c>
    </row>
    <row r="6" spans="1:19" ht="12.75">
      <c r="A6" s="10" t="s">
        <v>7</v>
      </c>
      <c r="B6" s="5" t="s">
        <v>6</v>
      </c>
      <c r="C6" s="9">
        <v>39210</v>
      </c>
      <c r="D6" s="3">
        <v>0.4152777777777778</v>
      </c>
      <c r="E6" s="1" t="s">
        <v>5</v>
      </c>
      <c r="F6" s="1">
        <v>0.3</v>
      </c>
      <c r="G6" s="8">
        <v>100.53</v>
      </c>
      <c r="H6" s="1">
        <v>1</v>
      </c>
      <c r="I6" s="1">
        <f>G6*H6</f>
        <v>100.53</v>
      </c>
      <c r="J6" s="8">
        <f>((201.062/I6)/F6)</f>
        <v>6.666732981862794</v>
      </c>
      <c r="K6" t="s">
        <v>4</v>
      </c>
      <c r="L6" t="s">
        <v>3</v>
      </c>
      <c r="M6" s="1">
        <v>41</v>
      </c>
      <c r="N6" s="2">
        <f>J6*M6</f>
        <v>273.33605225637456</v>
      </c>
      <c r="O6" s="2">
        <f>N6*1030</f>
        <v>281536.1338240658</v>
      </c>
      <c r="P6" s="2">
        <f>O6/1181</f>
        <v>238.38792025746469</v>
      </c>
      <c r="Q6" s="7">
        <v>14.137154999999998</v>
      </c>
      <c r="R6" s="2">
        <f>N6*Q6</f>
        <v>3864.1941378364663</v>
      </c>
      <c r="S6" s="2">
        <f>P6*Q6</f>
        <v>3370.126978807418</v>
      </c>
    </row>
    <row r="7" spans="1:19" ht="12.75">
      <c r="A7" s="6"/>
      <c r="B7" s="5"/>
      <c r="C7" s="4"/>
      <c r="D7" s="3"/>
      <c r="E7" s="1"/>
      <c r="F7" s="1"/>
      <c r="G7" s="1"/>
      <c r="H7" s="1"/>
      <c r="I7" s="1"/>
      <c r="J7" s="1"/>
      <c r="K7" t="s">
        <v>2</v>
      </c>
      <c r="M7" s="1">
        <f>SUM(M4:M6)</f>
        <v>629</v>
      </c>
      <c r="N7" s="2">
        <f>SUM(N4:N6)</f>
        <v>495012.539673233</v>
      </c>
      <c r="O7" s="2">
        <f>SUM(O4:O6)</f>
        <v>509862915.86342996</v>
      </c>
      <c r="P7" s="2">
        <f>SUM(P4:P6)</f>
        <v>431721.35128148174</v>
      </c>
      <c r="Q7" s="1"/>
      <c r="R7" s="2">
        <f>SUM(R4:R6)</f>
        <v>1799461324.5135465</v>
      </c>
      <c r="S7" s="2">
        <f>SUM(S4:S6)</f>
        <v>1569386252.5393336</v>
      </c>
    </row>
    <row r="8" ht="12.75">
      <c r="S8" s="1"/>
    </row>
    <row r="9" spans="1:19" s="97" customFormat="1" ht="12.75">
      <c r="A9" s="91" t="s">
        <v>28</v>
      </c>
      <c r="B9" s="92" t="s">
        <v>145</v>
      </c>
      <c r="C9" s="93" t="s">
        <v>26</v>
      </c>
      <c r="D9" s="92" t="s">
        <v>25</v>
      </c>
      <c r="E9" s="94" t="s">
        <v>24</v>
      </c>
      <c r="F9" s="91" t="s">
        <v>24</v>
      </c>
      <c r="G9" s="91" t="s">
        <v>23</v>
      </c>
      <c r="H9" s="91" t="s">
        <v>22</v>
      </c>
      <c r="I9" s="91" t="s">
        <v>14</v>
      </c>
      <c r="J9" s="91" t="s">
        <v>21</v>
      </c>
      <c r="K9" s="95" t="s">
        <v>169</v>
      </c>
      <c r="L9" s="95" t="s">
        <v>20</v>
      </c>
      <c r="M9" s="91" t="s">
        <v>19</v>
      </c>
      <c r="N9" s="96" t="s">
        <v>98</v>
      </c>
      <c r="O9" s="109" t="s">
        <v>98</v>
      </c>
      <c r="P9" s="96" t="s">
        <v>98</v>
      </c>
      <c r="Q9" s="91" t="s">
        <v>18</v>
      </c>
      <c r="R9" s="91" t="s">
        <v>17</v>
      </c>
      <c r="S9" s="91" t="s">
        <v>17</v>
      </c>
    </row>
    <row r="10" spans="1:19" s="106" customFormat="1" ht="14.25">
      <c r="A10" s="98"/>
      <c r="B10" s="98"/>
      <c r="C10" s="99"/>
      <c r="D10" s="99"/>
      <c r="E10" s="100" t="s">
        <v>16</v>
      </c>
      <c r="F10" s="101" t="s">
        <v>15</v>
      </c>
      <c r="G10" s="101" t="s">
        <v>14</v>
      </c>
      <c r="H10" s="101"/>
      <c r="I10" s="101" t="s">
        <v>13</v>
      </c>
      <c r="J10" s="101"/>
      <c r="K10" s="102"/>
      <c r="L10" s="102"/>
      <c r="M10" s="101"/>
      <c r="N10" s="103" t="s">
        <v>99</v>
      </c>
      <c r="O10" s="104" t="s">
        <v>100</v>
      </c>
      <c r="P10" s="103" t="s">
        <v>135</v>
      </c>
      <c r="Q10" s="101" t="s">
        <v>12</v>
      </c>
      <c r="R10" s="105" t="s">
        <v>136</v>
      </c>
      <c r="S10" s="105" t="s">
        <v>137</v>
      </c>
    </row>
    <row r="11" spans="1:20" ht="12.75">
      <c r="A11" s="10" t="s">
        <v>7</v>
      </c>
      <c r="B11" s="5" t="s">
        <v>6</v>
      </c>
      <c r="C11" s="9">
        <v>39329</v>
      </c>
      <c r="D11" s="3">
        <v>0.4895833333333333</v>
      </c>
      <c r="E11" s="6" t="s">
        <v>5</v>
      </c>
      <c r="F11" s="6">
        <v>0.05</v>
      </c>
      <c r="G11" s="6">
        <v>0.15904</v>
      </c>
      <c r="H11" s="6">
        <v>5</v>
      </c>
      <c r="I11" s="6">
        <f aca="true" t="shared" si="0" ref="I11:I16">G11*H11</f>
        <v>0.7951999999999999</v>
      </c>
      <c r="J11" s="25">
        <f aca="true" t="shared" si="1" ref="J11:J16">((201.062/I11)/F11)</f>
        <v>5056.891348088532</v>
      </c>
      <c r="K11" s="21" t="s">
        <v>11</v>
      </c>
      <c r="L11" s="11" t="s">
        <v>10</v>
      </c>
      <c r="M11" s="6">
        <v>389</v>
      </c>
      <c r="N11" s="22">
        <f aca="true" t="shared" si="2" ref="N11:N16">J11*M11</f>
        <v>1967130.734406439</v>
      </c>
      <c r="O11" s="22">
        <f aca="true" t="shared" si="3" ref="O11:O16">N11*1230</f>
        <v>2419570803.31992</v>
      </c>
      <c r="P11" s="2">
        <f aca="true" t="shared" si="4" ref="P11:P16">O11/832</f>
        <v>2908137.9847595193</v>
      </c>
      <c r="Q11" s="6">
        <v>285.3845170060313</v>
      </c>
      <c r="R11" s="22">
        <f aca="true" t="shared" si="5" ref="R11:R16">N11*Q11</f>
        <v>561388654.5263011</v>
      </c>
      <c r="S11" s="2">
        <f aca="true" t="shared" si="6" ref="S11:S16">Q11*P11</f>
        <v>829937554.1674886</v>
      </c>
      <c r="T11" s="66"/>
    </row>
    <row r="12" spans="1:19" ht="12.75">
      <c r="A12" s="10" t="s">
        <v>7</v>
      </c>
      <c r="B12" s="5" t="s">
        <v>6</v>
      </c>
      <c r="C12" s="9">
        <v>39329</v>
      </c>
      <c r="D12" s="3">
        <v>0.4895833333333333</v>
      </c>
      <c r="E12" s="6" t="s">
        <v>5</v>
      </c>
      <c r="F12" s="6">
        <v>0.05</v>
      </c>
      <c r="G12" s="8">
        <v>100.53</v>
      </c>
      <c r="H12" s="1">
        <v>1</v>
      </c>
      <c r="I12" s="1">
        <f t="shared" si="0"/>
        <v>100.53</v>
      </c>
      <c r="J12" s="8">
        <f t="shared" si="1"/>
        <v>40.00039789117676</v>
      </c>
      <c r="K12" s="31" t="s">
        <v>101</v>
      </c>
      <c r="L12" t="s">
        <v>8</v>
      </c>
      <c r="M12" s="1">
        <v>82</v>
      </c>
      <c r="N12" s="2">
        <f t="shared" si="2"/>
        <v>3280.0326270764945</v>
      </c>
      <c r="O12" s="22">
        <f t="shared" si="3"/>
        <v>4034440.131304088</v>
      </c>
      <c r="P12" s="2">
        <f t="shared" si="4"/>
        <v>4849.086696278952</v>
      </c>
      <c r="Q12" s="7">
        <v>384.84477499999997</v>
      </c>
      <c r="R12" s="2">
        <f t="shared" si="5"/>
        <v>1262303.4183599122</v>
      </c>
      <c r="S12" s="2">
        <f t="shared" si="6"/>
        <v>1866145.6785849666</v>
      </c>
    </row>
    <row r="13" spans="1:19" ht="12.75">
      <c r="A13" s="10" t="s">
        <v>7</v>
      </c>
      <c r="B13" s="5" t="s">
        <v>6</v>
      </c>
      <c r="C13" s="9">
        <v>39329</v>
      </c>
      <c r="D13" s="3">
        <v>0.4895833333333333</v>
      </c>
      <c r="E13" s="6" t="s">
        <v>5</v>
      </c>
      <c r="F13" s="6">
        <v>0.05</v>
      </c>
      <c r="G13" s="8">
        <v>100.53</v>
      </c>
      <c r="H13" s="1">
        <v>1</v>
      </c>
      <c r="I13" s="1">
        <f t="shared" si="0"/>
        <v>100.53</v>
      </c>
      <c r="J13" s="8">
        <f t="shared" si="1"/>
        <v>40.00039789117676</v>
      </c>
      <c r="K13" t="s">
        <v>9</v>
      </c>
      <c r="L13" t="s">
        <v>8</v>
      </c>
      <c r="M13" s="1">
        <v>2</v>
      </c>
      <c r="N13" s="2">
        <f t="shared" si="2"/>
        <v>80.00079578235352</v>
      </c>
      <c r="O13" s="22">
        <f t="shared" si="3"/>
        <v>98400.97881229484</v>
      </c>
      <c r="P13" s="2">
        <f t="shared" si="4"/>
        <v>118.27040722631591</v>
      </c>
      <c r="Q13" s="7">
        <v>7162.825199999999</v>
      </c>
      <c r="R13" s="2">
        <f t="shared" si="5"/>
        <v>573031.7160498955</v>
      </c>
      <c r="S13" s="2">
        <f t="shared" si="6"/>
        <v>847150.2532949176</v>
      </c>
    </row>
    <row r="14" spans="1:19" ht="12.75">
      <c r="A14" s="10" t="s">
        <v>7</v>
      </c>
      <c r="B14" s="5" t="s">
        <v>6</v>
      </c>
      <c r="C14" s="9">
        <v>39329</v>
      </c>
      <c r="D14" s="3">
        <v>0.4895833333333333</v>
      </c>
      <c r="E14" s="6" t="s">
        <v>5</v>
      </c>
      <c r="F14" s="6">
        <v>0.05</v>
      </c>
      <c r="G14" s="8">
        <v>100.53</v>
      </c>
      <c r="H14" s="1">
        <v>1</v>
      </c>
      <c r="I14" s="1">
        <f t="shared" si="0"/>
        <v>100.53</v>
      </c>
      <c r="J14" s="8">
        <f t="shared" si="1"/>
        <v>40.00039789117676</v>
      </c>
      <c r="K14" s="21" t="s">
        <v>35</v>
      </c>
      <c r="L14" t="s">
        <v>8</v>
      </c>
      <c r="M14" s="1">
        <v>31</v>
      </c>
      <c r="N14" s="2">
        <f t="shared" si="2"/>
        <v>1240.0123346264795</v>
      </c>
      <c r="O14" s="22">
        <f t="shared" si="3"/>
        <v>1525215.17159057</v>
      </c>
      <c r="P14" s="2">
        <f t="shared" si="4"/>
        <v>1833.1913120078966</v>
      </c>
      <c r="Q14" s="7">
        <v>131.795</v>
      </c>
      <c r="R14" s="2">
        <f t="shared" si="5"/>
        <v>163427.42564209684</v>
      </c>
      <c r="S14" s="2">
        <f t="shared" si="6"/>
        <v>241605.4489660807</v>
      </c>
    </row>
    <row r="15" spans="1:19" ht="12.75">
      <c r="A15" s="10" t="s">
        <v>7</v>
      </c>
      <c r="B15" s="5" t="s">
        <v>6</v>
      </c>
      <c r="C15" s="9">
        <v>39329</v>
      </c>
      <c r="D15" s="3">
        <v>0.4895833333333333</v>
      </c>
      <c r="E15" s="6" t="s">
        <v>5</v>
      </c>
      <c r="F15" s="6">
        <v>0.05</v>
      </c>
      <c r="G15" s="6">
        <v>0.15904</v>
      </c>
      <c r="H15" s="6">
        <v>5</v>
      </c>
      <c r="I15" s="1">
        <f t="shared" si="0"/>
        <v>0.7951999999999999</v>
      </c>
      <c r="J15" s="8">
        <f t="shared" si="1"/>
        <v>5056.891348088532</v>
      </c>
      <c r="K15" t="s">
        <v>102</v>
      </c>
      <c r="L15" t="s">
        <v>8</v>
      </c>
      <c r="M15" s="1">
        <v>6</v>
      </c>
      <c r="N15" s="2">
        <f t="shared" si="2"/>
        <v>30341.348088531195</v>
      </c>
      <c r="O15" s="22">
        <f t="shared" si="3"/>
        <v>37319858.14889337</v>
      </c>
      <c r="P15" s="2">
        <f t="shared" si="4"/>
        <v>44855.59873665069</v>
      </c>
      <c r="Q15" s="7">
        <v>502.65439999999995</v>
      </c>
      <c r="R15" s="2">
        <f t="shared" si="5"/>
        <v>15251212.118631793</v>
      </c>
      <c r="S15" s="2">
        <f t="shared" si="6"/>
        <v>22546864.069611907</v>
      </c>
    </row>
    <row r="16" spans="1:19" ht="12.75">
      <c r="A16" s="10" t="s">
        <v>7</v>
      </c>
      <c r="B16" s="5" t="s">
        <v>6</v>
      </c>
      <c r="C16" s="9">
        <v>39329</v>
      </c>
      <c r="D16" s="3">
        <v>0.4895833333333333</v>
      </c>
      <c r="E16" s="6" t="s">
        <v>5</v>
      </c>
      <c r="F16" s="6">
        <v>0.05</v>
      </c>
      <c r="G16" s="6">
        <v>0.15904</v>
      </c>
      <c r="H16" s="6">
        <v>5</v>
      </c>
      <c r="I16" s="6">
        <f t="shared" si="0"/>
        <v>0.7951999999999999</v>
      </c>
      <c r="J16" s="25">
        <f t="shared" si="1"/>
        <v>5056.891348088532</v>
      </c>
      <c r="K16" t="s">
        <v>52</v>
      </c>
      <c r="L16" s="21" t="s">
        <v>3</v>
      </c>
      <c r="M16" s="6">
        <v>28</v>
      </c>
      <c r="N16" s="22">
        <f t="shared" si="2"/>
        <v>141592.9577464789</v>
      </c>
      <c r="O16" s="22">
        <f t="shared" si="3"/>
        <v>174159338.02816907</v>
      </c>
      <c r="P16" s="2">
        <f t="shared" si="4"/>
        <v>209326.1274377032</v>
      </c>
      <c r="Q16" s="23">
        <v>14.137154999999998</v>
      </c>
      <c r="R16" s="22">
        <f t="shared" si="5"/>
        <v>2001721.5905704226</v>
      </c>
      <c r="S16" s="2">
        <f t="shared" si="6"/>
        <v>2959275.9091365626</v>
      </c>
    </row>
    <row r="17" spans="1:19" ht="12.75">
      <c r="A17" s="6"/>
      <c r="B17" s="5"/>
      <c r="C17" s="4"/>
      <c r="D17" s="3"/>
      <c r="E17" s="1"/>
      <c r="F17" s="1"/>
      <c r="G17" s="1"/>
      <c r="H17" s="1"/>
      <c r="I17" s="1"/>
      <c r="J17" s="1"/>
      <c r="K17" t="s">
        <v>2</v>
      </c>
      <c r="M17" s="1">
        <f>SUM(M11:M16)</f>
        <v>538</v>
      </c>
      <c r="N17" s="2">
        <f>SUM(N11:N16)</f>
        <v>2143665.085998934</v>
      </c>
      <c r="O17" s="22">
        <f>SUM(O11:O16)</f>
        <v>2636708055.77869</v>
      </c>
      <c r="P17" s="22">
        <f>SUM(P11:P16)</f>
        <v>3169120.2593493867</v>
      </c>
      <c r="Q17" s="1"/>
      <c r="R17" s="2">
        <f>SUM(R11:R16)</f>
        <v>580640350.7955554</v>
      </c>
      <c r="S17" s="2">
        <f>SUM(S11:S16)</f>
        <v>858398595.5270829</v>
      </c>
    </row>
    <row r="24" s="36" customFormat="1" ht="12.75"/>
    <row r="25" spans="1:19" ht="26.25">
      <c r="A25" s="181" t="s">
        <v>0</v>
      </c>
      <c r="B25" s="181"/>
      <c r="C25" s="181"/>
      <c r="D25" s="181"/>
      <c r="E25" s="181"/>
      <c r="F25" s="181"/>
      <c r="G25" s="181"/>
      <c r="H25" s="181"/>
      <c r="I25" s="181"/>
      <c r="J25" s="181"/>
      <c r="K25" s="181"/>
      <c r="L25" s="181"/>
      <c r="M25" s="181"/>
      <c r="N25" s="181"/>
      <c r="O25" s="181"/>
      <c r="P25" s="181"/>
      <c r="Q25" s="181"/>
      <c r="R25" s="181"/>
      <c r="S25" s="181"/>
    </row>
    <row r="26" spans="1:16" s="114" customFormat="1" ht="12.75">
      <c r="A26" s="91" t="s">
        <v>28</v>
      </c>
      <c r="B26" s="93" t="s">
        <v>145</v>
      </c>
      <c r="C26" s="93" t="s">
        <v>26</v>
      </c>
      <c r="D26" s="93" t="s">
        <v>25</v>
      </c>
      <c r="E26" s="94" t="s">
        <v>83</v>
      </c>
      <c r="K26" s="95" t="s">
        <v>169</v>
      </c>
      <c r="L26" s="91" t="s">
        <v>20</v>
      </c>
      <c r="M26" s="91" t="s">
        <v>19</v>
      </c>
      <c r="N26" s="91" t="s">
        <v>18</v>
      </c>
      <c r="O26" s="91" t="s">
        <v>17</v>
      </c>
      <c r="P26" s="178" t="s">
        <v>170</v>
      </c>
    </row>
    <row r="27" spans="1:16" s="116" customFormat="1" ht="14.25">
      <c r="A27" s="115"/>
      <c r="B27" s="99"/>
      <c r="C27" s="99"/>
      <c r="D27" s="99"/>
      <c r="E27" s="100" t="s">
        <v>16</v>
      </c>
      <c r="K27" s="101"/>
      <c r="L27" s="101"/>
      <c r="M27" s="101" t="s">
        <v>82</v>
      </c>
      <c r="N27" s="101" t="s">
        <v>12</v>
      </c>
      <c r="O27" s="105" t="s">
        <v>150</v>
      </c>
      <c r="P27" s="115" t="s">
        <v>171</v>
      </c>
    </row>
    <row r="28" spans="1:16" ht="12.75">
      <c r="A28" s="10" t="s">
        <v>7</v>
      </c>
      <c r="B28" s="5" t="s">
        <v>6</v>
      </c>
      <c r="C28" s="9">
        <v>39210</v>
      </c>
      <c r="D28" s="3">
        <v>0.4152777777777778</v>
      </c>
      <c r="E28" s="6" t="s">
        <v>5</v>
      </c>
      <c r="K28" s="21" t="s">
        <v>81</v>
      </c>
      <c r="L28" s="11" t="s">
        <v>10</v>
      </c>
      <c r="M28" s="6">
        <v>13</v>
      </c>
      <c r="N28" s="23">
        <v>13.343030861111108</v>
      </c>
      <c r="O28" s="23">
        <f aca="true" t="shared" si="7" ref="O28:O55">N28*M28</f>
        <v>173.4594011944444</v>
      </c>
      <c r="P28" s="146">
        <f>O28/$O$56*100</f>
        <v>0.01192261793260594</v>
      </c>
    </row>
    <row r="29" spans="1:16" ht="12.75">
      <c r="A29" s="10" t="s">
        <v>7</v>
      </c>
      <c r="B29" s="5" t="s">
        <v>6</v>
      </c>
      <c r="C29" s="9">
        <v>39210</v>
      </c>
      <c r="D29" s="3">
        <v>0.4152777777777778</v>
      </c>
      <c r="E29" s="6" t="s">
        <v>5</v>
      </c>
      <c r="K29" s="21" t="s">
        <v>80</v>
      </c>
      <c r="L29" s="11" t="s">
        <v>10</v>
      </c>
      <c r="M29" s="6">
        <v>64</v>
      </c>
      <c r="N29" s="23">
        <v>412.3336875</v>
      </c>
      <c r="O29" s="23">
        <f t="shared" si="7"/>
        <v>26389.356</v>
      </c>
      <c r="P29" s="146">
        <f aca="true" t="shared" si="8" ref="P29:P55">O29/$O$56*100</f>
        <v>1.813855039905437</v>
      </c>
    </row>
    <row r="30" spans="1:16" ht="12.75">
      <c r="A30" s="10" t="s">
        <v>7</v>
      </c>
      <c r="B30" s="5" t="s">
        <v>6</v>
      </c>
      <c r="C30" s="9">
        <v>39210</v>
      </c>
      <c r="D30" s="3">
        <v>0.4152777777777778</v>
      </c>
      <c r="E30" s="6" t="s">
        <v>5</v>
      </c>
      <c r="K30" s="147" t="s">
        <v>79</v>
      </c>
      <c r="L30" s="147" t="s">
        <v>10</v>
      </c>
      <c r="M30" s="148">
        <v>18</v>
      </c>
      <c r="N30" s="149">
        <v>68722.28125</v>
      </c>
      <c r="O30" s="149">
        <f t="shared" si="7"/>
        <v>1237001.0625</v>
      </c>
      <c r="P30" s="150">
        <f t="shared" si="8"/>
        <v>85.02445499556735</v>
      </c>
    </row>
    <row r="31" spans="1:16" ht="12.75">
      <c r="A31" s="10" t="s">
        <v>7</v>
      </c>
      <c r="B31" s="5" t="s">
        <v>6</v>
      </c>
      <c r="C31" s="9">
        <v>39210</v>
      </c>
      <c r="D31" s="3">
        <v>0.4152777777777778</v>
      </c>
      <c r="E31" s="6" t="s">
        <v>5</v>
      </c>
      <c r="K31" s="21" t="s">
        <v>78</v>
      </c>
      <c r="L31" s="11" t="s">
        <v>10</v>
      </c>
      <c r="M31" s="6">
        <v>3</v>
      </c>
      <c r="N31" s="23">
        <v>411.61810311111105</v>
      </c>
      <c r="O31" s="23">
        <f t="shared" si="7"/>
        <v>1234.8543093333333</v>
      </c>
      <c r="P31" s="146">
        <f t="shared" si="8"/>
        <v>0.08487689932763853</v>
      </c>
    </row>
    <row r="32" spans="1:16" ht="12.75">
      <c r="A32" s="10" t="s">
        <v>7</v>
      </c>
      <c r="B32" s="5" t="s">
        <v>6</v>
      </c>
      <c r="C32" s="9">
        <v>39210</v>
      </c>
      <c r="D32" s="3">
        <v>0.4152777777777778</v>
      </c>
      <c r="E32" s="6" t="s">
        <v>5</v>
      </c>
      <c r="K32" s="21" t="s">
        <v>77</v>
      </c>
      <c r="L32" s="11" t="s">
        <v>10</v>
      </c>
      <c r="M32" s="6">
        <v>6</v>
      </c>
      <c r="N32" s="23">
        <v>449.0379306666667</v>
      </c>
      <c r="O32" s="23">
        <f t="shared" si="7"/>
        <v>2694.227584</v>
      </c>
      <c r="P32" s="146">
        <f t="shared" si="8"/>
        <v>0.1851859621693932</v>
      </c>
    </row>
    <row r="33" spans="1:16" ht="12.75">
      <c r="A33" s="10" t="s">
        <v>7</v>
      </c>
      <c r="B33" s="5" t="s">
        <v>6</v>
      </c>
      <c r="C33" s="9">
        <v>39210</v>
      </c>
      <c r="D33" s="3">
        <v>0.4152777777777778</v>
      </c>
      <c r="E33" s="6" t="s">
        <v>5</v>
      </c>
      <c r="K33" s="21" t="s">
        <v>76</v>
      </c>
      <c r="L33" s="11" t="s">
        <v>10</v>
      </c>
      <c r="M33" s="6">
        <v>2</v>
      </c>
      <c r="N33" s="23">
        <v>31667.227199999994</v>
      </c>
      <c r="O33" s="23">
        <f t="shared" si="7"/>
        <v>63334.45439999999</v>
      </c>
      <c r="P33" s="146">
        <f t="shared" si="8"/>
        <v>4.353252095773048</v>
      </c>
    </row>
    <row r="34" spans="1:16" ht="12.75">
      <c r="A34" s="10" t="s">
        <v>7</v>
      </c>
      <c r="B34" s="5" t="s">
        <v>6</v>
      </c>
      <c r="C34" s="9">
        <v>39210</v>
      </c>
      <c r="D34" s="3">
        <v>0.4152777777777778</v>
      </c>
      <c r="E34" s="6" t="s">
        <v>5</v>
      </c>
      <c r="K34" s="21" t="s">
        <v>75</v>
      </c>
      <c r="L34" s="11" t="s">
        <v>10</v>
      </c>
      <c r="M34" s="6">
        <v>73</v>
      </c>
      <c r="N34" s="23">
        <v>65.97339</v>
      </c>
      <c r="O34" s="23">
        <f t="shared" si="7"/>
        <v>4816.05747</v>
      </c>
      <c r="P34" s="146">
        <f t="shared" si="8"/>
        <v>0.33102854478274224</v>
      </c>
    </row>
    <row r="35" spans="1:16" ht="12.75">
      <c r="A35" s="10" t="s">
        <v>7</v>
      </c>
      <c r="B35" s="5" t="s">
        <v>6</v>
      </c>
      <c r="C35" s="9">
        <v>39210</v>
      </c>
      <c r="D35" s="3">
        <v>0.4152777777777778</v>
      </c>
      <c r="E35" s="6" t="s">
        <v>5</v>
      </c>
      <c r="K35" s="21" t="s">
        <v>74</v>
      </c>
      <c r="L35" s="11" t="s">
        <v>10</v>
      </c>
      <c r="M35" s="6">
        <v>42</v>
      </c>
      <c r="N35" s="23">
        <v>56.54861999999999</v>
      </c>
      <c r="O35" s="23">
        <f t="shared" si="7"/>
        <v>2375.04204</v>
      </c>
      <c r="P35" s="146">
        <f t="shared" si="8"/>
        <v>0.1632469535914893</v>
      </c>
    </row>
    <row r="36" spans="1:16" ht="12.75">
      <c r="A36" s="10" t="s">
        <v>7</v>
      </c>
      <c r="B36" s="5" t="s">
        <v>6</v>
      </c>
      <c r="C36" s="9">
        <v>39210</v>
      </c>
      <c r="D36" s="3">
        <v>0.4152777777777778</v>
      </c>
      <c r="E36" s="6" t="s">
        <v>5</v>
      </c>
      <c r="K36" t="s">
        <v>73</v>
      </c>
      <c r="L36" s="11" t="s">
        <v>10</v>
      </c>
      <c r="M36" s="6">
        <v>5</v>
      </c>
      <c r="N36" s="23">
        <v>490.8734375</v>
      </c>
      <c r="O36" s="23">
        <f t="shared" si="7"/>
        <v>2454.3671875</v>
      </c>
      <c r="P36" s="146">
        <f t="shared" si="8"/>
        <v>0.16869931546739553</v>
      </c>
    </row>
    <row r="37" spans="1:16" ht="12.75">
      <c r="A37" s="10" t="s">
        <v>7</v>
      </c>
      <c r="B37" s="5" t="s">
        <v>6</v>
      </c>
      <c r="C37" s="9">
        <v>39210</v>
      </c>
      <c r="D37" s="3">
        <v>0.4152777777777778</v>
      </c>
      <c r="E37" s="6" t="s">
        <v>5</v>
      </c>
      <c r="K37" t="s">
        <v>72</v>
      </c>
      <c r="L37" s="11" t="s">
        <v>10</v>
      </c>
      <c r="M37" s="6">
        <v>14</v>
      </c>
      <c r="N37" s="23">
        <v>2167.6971</v>
      </c>
      <c r="O37" s="23">
        <f t="shared" si="7"/>
        <v>30347.7594</v>
      </c>
      <c r="P37" s="146">
        <f t="shared" si="8"/>
        <v>2.085933295891252</v>
      </c>
    </row>
    <row r="38" spans="1:16" ht="12.75">
      <c r="A38" s="10" t="s">
        <v>7</v>
      </c>
      <c r="B38" s="5" t="s">
        <v>6</v>
      </c>
      <c r="C38" s="9">
        <v>39210</v>
      </c>
      <c r="D38" s="3">
        <v>0.4152777777777778</v>
      </c>
      <c r="E38" s="6" t="s">
        <v>5</v>
      </c>
      <c r="K38" t="s">
        <v>71</v>
      </c>
      <c r="L38" s="11" t="s">
        <v>10</v>
      </c>
      <c r="M38" s="6">
        <v>2</v>
      </c>
      <c r="N38" s="23">
        <v>3337.939375</v>
      </c>
      <c r="O38" s="23">
        <f t="shared" si="7"/>
        <v>6675.87875</v>
      </c>
      <c r="P38" s="146">
        <f t="shared" si="8"/>
        <v>0.45886213807131593</v>
      </c>
    </row>
    <row r="39" spans="1:16" ht="12.75">
      <c r="A39" s="10" t="s">
        <v>7</v>
      </c>
      <c r="B39" s="5" t="s">
        <v>6</v>
      </c>
      <c r="C39" s="9">
        <v>39210</v>
      </c>
      <c r="D39" s="3">
        <v>0.4152777777777778</v>
      </c>
      <c r="E39" s="6" t="s">
        <v>5</v>
      </c>
      <c r="K39" s="21" t="s">
        <v>70</v>
      </c>
      <c r="L39" s="11" t="s">
        <v>10</v>
      </c>
      <c r="M39" s="6">
        <v>1</v>
      </c>
      <c r="N39" s="23">
        <v>141.37154999999996</v>
      </c>
      <c r="O39" s="23">
        <f t="shared" si="7"/>
        <v>141.37154999999996</v>
      </c>
      <c r="P39" s="146">
        <f t="shared" si="8"/>
        <v>0.009717080570921981</v>
      </c>
    </row>
    <row r="40" spans="1:16" ht="12.75">
      <c r="A40" s="10" t="s">
        <v>7</v>
      </c>
      <c r="B40" s="5" t="s">
        <v>6</v>
      </c>
      <c r="C40" s="9">
        <v>39210</v>
      </c>
      <c r="D40" s="3">
        <v>0.4152777777777778</v>
      </c>
      <c r="E40" s="6" t="s">
        <v>5</v>
      </c>
      <c r="K40" s="21" t="s">
        <v>69</v>
      </c>
      <c r="L40" s="11" t="s">
        <v>10</v>
      </c>
      <c r="M40" s="6">
        <v>37</v>
      </c>
      <c r="N40" s="23">
        <v>138.22996</v>
      </c>
      <c r="O40" s="23">
        <f t="shared" si="7"/>
        <v>5114.50852</v>
      </c>
      <c r="P40" s="146">
        <f t="shared" si="8"/>
        <v>0.35154238154357753</v>
      </c>
    </row>
    <row r="41" spans="1:16" ht="12.75">
      <c r="A41" s="10" t="s">
        <v>7</v>
      </c>
      <c r="B41" s="5" t="s">
        <v>6</v>
      </c>
      <c r="C41" s="9">
        <v>39210</v>
      </c>
      <c r="D41" s="3">
        <v>0.4152777777777778</v>
      </c>
      <c r="E41" s="6" t="s">
        <v>5</v>
      </c>
      <c r="K41" t="s">
        <v>68</v>
      </c>
      <c r="L41" s="11" t="s">
        <v>10</v>
      </c>
      <c r="M41" s="6">
        <v>11</v>
      </c>
      <c r="N41" s="23">
        <v>414.68988</v>
      </c>
      <c r="O41" s="23">
        <f t="shared" si="7"/>
        <v>4561.58868</v>
      </c>
      <c r="P41" s="146">
        <f t="shared" si="8"/>
        <v>0.31353779975508267</v>
      </c>
    </row>
    <row r="42" spans="1:16" ht="12.75">
      <c r="A42" s="10" t="s">
        <v>7</v>
      </c>
      <c r="B42" s="5" t="s">
        <v>6</v>
      </c>
      <c r="C42" s="9">
        <v>39210</v>
      </c>
      <c r="D42" s="3">
        <v>0.4152777777777778</v>
      </c>
      <c r="E42" s="6" t="s">
        <v>5</v>
      </c>
      <c r="K42" s="21" t="s">
        <v>67</v>
      </c>
      <c r="L42" s="11" t="s">
        <v>10</v>
      </c>
      <c r="M42" s="6">
        <v>3</v>
      </c>
      <c r="N42" s="23">
        <v>5466.991041666665</v>
      </c>
      <c r="O42" s="23">
        <f t="shared" si="7"/>
        <v>16400.973124999997</v>
      </c>
      <c r="P42" s="146">
        <f t="shared" si="8"/>
        <v>1.127310107989557</v>
      </c>
    </row>
    <row r="43" spans="1:16" ht="12.75">
      <c r="A43" s="10" t="s">
        <v>7</v>
      </c>
      <c r="B43" s="5" t="s">
        <v>6</v>
      </c>
      <c r="C43" s="9">
        <v>39210</v>
      </c>
      <c r="D43" s="3">
        <v>0.4152777777777778</v>
      </c>
      <c r="E43" s="6" t="s">
        <v>5</v>
      </c>
      <c r="K43" t="s">
        <v>66</v>
      </c>
      <c r="L43" s="11" t="s">
        <v>10</v>
      </c>
      <c r="M43" s="6">
        <v>19</v>
      </c>
      <c r="N43" s="23">
        <v>628.318</v>
      </c>
      <c r="O43" s="23">
        <f t="shared" si="7"/>
        <v>11938.042</v>
      </c>
      <c r="P43" s="146">
        <f t="shared" si="8"/>
        <v>0.8205534704334119</v>
      </c>
    </row>
    <row r="44" spans="1:16" ht="12.75">
      <c r="A44" s="10" t="s">
        <v>7</v>
      </c>
      <c r="B44" s="5" t="s">
        <v>6</v>
      </c>
      <c r="C44" s="9">
        <v>39210</v>
      </c>
      <c r="D44" s="3">
        <v>0.4152777777777778</v>
      </c>
      <c r="E44" s="6" t="s">
        <v>5</v>
      </c>
      <c r="K44" s="21" t="s">
        <v>65</v>
      </c>
      <c r="L44" s="11" t="s">
        <v>10</v>
      </c>
      <c r="M44" s="6">
        <v>2</v>
      </c>
      <c r="N44" s="23">
        <v>122.52201</v>
      </c>
      <c r="O44" s="23">
        <f t="shared" si="7"/>
        <v>245.04402</v>
      </c>
      <c r="P44" s="146">
        <f t="shared" si="8"/>
        <v>0.01684293965626477</v>
      </c>
    </row>
    <row r="45" spans="1:16" ht="12.75">
      <c r="A45" s="10" t="s">
        <v>7</v>
      </c>
      <c r="B45" s="5" t="s">
        <v>6</v>
      </c>
      <c r="C45" s="9">
        <v>39210</v>
      </c>
      <c r="D45" s="3">
        <v>0.4152777777777778</v>
      </c>
      <c r="E45" s="6" t="s">
        <v>5</v>
      </c>
      <c r="K45" s="21" t="s">
        <v>64</v>
      </c>
      <c r="L45" s="11" t="s">
        <v>10</v>
      </c>
      <c r="M45" s="6">
        <v>13</v>
      </c>
      <c r="N45" s="23">
        <v>47.123850000000004</v>
      </c>
      <c r="O45" s="23">
        <f t="shared" si="7"/>
        <v>612.61005</v>
      </c>
      <c r="P45" s="146">
        <f t="shared" si="8"/>
        <v>0.04210734914066193</v>
      </c>
    </row>
    <row r="46" spans="1:16" ht="12.75">
      <c r="A46" s="10" t="s">
        <v>7</v>
      </c>
      <c r="B46" s="5" t="s">
        <v>6</v>
      </c>
      <c r="C46" s="9">
        <v>39210</v>
      </c>
      <c r="D46" s="3">
        <v>0.4152777777777778</v>
      </c>
      <c r="E46" s="6" t="s">
        <v>5</v>
      </c>
      <c r="K46" t="s">
        <v>63</v>
      </c>
      <c r="L46" s="11" t="s">
        <v>10</v>
      </c>
      <c r="M46" s="6">
        <v>9</v>
      </c>
      <c r="N46" s="23">
        <v>424.11465</v>
      </c>
      <c r="O46" s="23">
        <f t="shared" si="7"/>
        <v>3817.03185</v>
      </c>
      <c r="P46" s="146">
        <f t="shared" si="8"/>
        <v>0.26236117541489357</v>
      </c>
    </row>
    <row r="47" spans="1:16" ht="12.75">
      <c r="A47" s="10" t="s">
        <v>7</v>
      </c>
      <c r="B47" s="5" t="s">
        <v>6</v>
      </c>
      <c r="C47" s="9">
        <v>39210</v>
      </c>
      <c r="D47" s="3">
        <v>0.4152777777777778</v>
      </c>
      <c r="E47" s="6" t="s">
        <v>5</v>
      </c>
      <c r="K47" s="21" t="s">
        <v>62</v>
      </c>
      <c r="L47" s="11" t="s">
        <v>10</v>
      </c>
      <c r="M47" s="6">
        <v>13</v>
      </c>
      <c r="N47" s="23">
        <v>207.34494</v>
      </c>
      <c r="O47" s="23">
        <f t="shared" si="7"/>
        <v>2695.4842200000003</v>
      </c>
      <c r="P47" s="146">
        <f t="shared" si="8"/>
        <v>0.1852723362189125</v>
      </c>
    </row>
    <row r="48" spans="1:16" ht="12.75">
      <c r="A48" s="10" t="s">
        <v>7</v>
      </c>
      <c r="B48" s="5" t="s">
        <v>6</v>
      </c>
      <c r="C48" s="9">
        <v>39210</v>
      </c>
      <c r="D48" s="3">
        <v>0.4152777777777778</v>
      </c>
      <c r="E48" s="6" t="s">
        <v>5</v>
      </c>
      <c r="K48" s="21" t="s">
        <v>61</v>
      </c>
      <c r="L48" s="11" t="s">
        <v>10</v>
      </c>
      <c r="M48" s="6">
        <v>16</v>
      </c>
      <c r="N48" s="23">
        <v>414.68988</v>
      </c>
      <c r="O48" s="23">
        <f t="shared" si="7"/>
        <v>6635.03808</v>
      </c>
      <c r="P48" s="146">
        <f t="shared" si="8"/>
        <v>0.45605498146193846</v>
      </c>
    </row>
    <row r="49" spans="1:16" ht="12.75">
      <c r="A49" s="10" t="s">
        <v>7</v>
      </c>
      <c r="B49" s="5" t="s">
        <v>6</v>
      </c>
      <c r="C49" s="9">
        <v>39210</v>
      </c>
      <c r="D49" s="3">
        <v>0.4152777777777778</v>
      </c>
      <c r="E49" s="6" t="s">
        <v>5</v>
      </c>
      <c r="K49" t="s">
        <v>60</v>
      </c>
      <c r="L49" s="11" t="s">
        <v>10</v>
      </c>
      <c r="M49" s="6">
        <v>3</v>
      </c>
      <c r="N49" s="23">
        <v>753.9816</v>
      </c>
      <c r="O49" s="23">
        <f t="shared" si="7"/>
        <v>2261.9447999999998</v>
      </c>
      <c r="P49" s="146">
        <f t="shared" si="8"/>
        <v>0.15547328913475172</v>
      </c>
    </row>
    <row r="50" spans="1:16" ht="12.75">
      <c r="A50" s="10" t="s">
        <v>7</v>
      </c>
      <c r="B50" s="5" t="s">
        <v>6</v>
      </c>
      <c r="C50" s="9">
        <v>39210</v>
      </c>
      <c r="D50" s="3">
        <v>0.4152777777777778</v>
      </c>
      <c r="E50" s="6" t="s">
        <v>5</v>
      </c>
      <c r="K50" s="21" t="s">
        <v>59</v>
      </c>
      <c r="L50" s="11" t="s">
        <v>10</v>
      </c>
      <c r="M50" s="6">
        <v>1</v>
      </c>
      <c r="N50" s="23">
        <v>376.99080000000004</v>
      </c>
      <c r="O50" s="23">
        <f t="shared" si="7"/>
        <v>376.99080000000004</v>
      </c>
      <c r="P50" s="146">
        <f t="shared" si="8"/>
        <v>0.025912214855791958</v>
      </c>
    </row>
    <row r="51" spans="1:16" ht="12.75">
      <c r="A51" s="10" t="s">
        <v>7</v>
      </c>
      <c r="B51" s="5" t="s">
        <v>6</v>
      </c>
      <c r="C51" s="9">
        <v>39210</v>
      </c>
      <c r="D51" s="3">
        <v>0.4152777777777778</v>
      </c>
      <c r="E51" s="6" t="s">
        <v>5</v>
      </c>
      <c r="K51" t="s">
        <v>58</v>
      </c>
      <c r="L51" s="11" t="s">
        <v>10</v>
      </c>
      <c r="M51" s="6">
        <v>1</v>
      </c>
      <c r="N51" s="23">
        <v>1500</v>
      </c>
      <c r="O51" s="23">
        <f t="shared" si="7"/>
        <v>1500</v>
      </c>
      <c r="P51" s="146">
        <f t="shared" si="8"/>
        <v>0.10310151410508674</v>
      </c>
    </row>
    <row r="52" spans="1:16" ht="12.75">
      <c r="A52" s="10" t="s">
        <v>7</v>
      </c>
      <c r="B52" s="5" t="s">
        <v>6</v>
      </c>
      <c r="C52" s="9">
        <v>39210</v>
      </c>
      <c r="D52" s="3">
        <v>0.4152777777777778</v>
      </c>
      <c r="E52" s="6" t="s">
        <v>5</v>
      </c>
      <c r="K52" s="21" t="s">
        <v>57</v>
      </c>
      <c r="L52" s="11" t="s">
        <v>10</v>
      </c>
      <c r="M52" s="6">
        <v>5</v>
      </c>
      <c r="N52" s="23">
        <v>322.5</v>
      </c>
      <c r="O52" s="23">
        <f t="shared" si="7"/>
        <v>1612.5</v>
      </c>
      <c r="P52" s="146">
        <f t="shared" si="8"/>
        <v>0.11083412766296824</v>
      </c>
    </row>
    <row r="53" spans="1:16" ht="12.75">
      <c r="A53" s="10" t="s">
        <v>7</v>
      </c>
      <c r="B53" s="5" t="s">
        <v>6</v>
      </c>
      <c r="C53" s="9">
        <v>39210</v>
      </c>
      <c r="D53" s="3">
        <v>0.4152777777777778</v>
      </c>
      <c r="E53" s="6" t="s">
        <v>5</v>
      </c>
      <c r="K53" s="21" t="s">
        <v>56</v>
      </c>
      <c r="L53" s="11" t="s">
        <v>10</v>
      </c>
      <c r="M53" s="6">
        <v>18</v>
      </c>
      <c r="N53" s="23">
        <v>450</v>
      </c>
      <c r="O53" s="23">
        <f t="shared" si="7"/>
        <v>8100</v>
      </c>
      <c r="P53" s="146">
        <f t="shared" si="8"/>
        <v>0.5567481761674684</v>
      </c>
    </row>
    <row r="54" spans="1:16" ht="12.75">
      <c r="A54" s="10" t="s">
        <v>7</v>
      </c>
      <c r="B54" s="5" t="s">
        <v>6</v>
      </c>
      <c r="C54" s="9">
        <v>39210</v>
      </c>
      <c r="D54" s="3">
        <v>0.4152777777777778</v>
      </c>
      <c r="E54" s="6" t="s">
        <v>5</v>
      </c>
      <c r="K54" s="21" t="s">
        <v>55</v>
      </c>
      <c r="L54" s="11" t="s">
        <v>10</v>
      </c>
      <c r="M54" s="6">
        <v>5</v>
      </c>
      <c r="N54" s="23">
        <v>353.42887499999995</v>
      </c>
      <c r="O54" s="23">
        <f t="shared" si="7"/>
        <v>1767.1443749999999</v>
      </c>
      <c r="P54" s="146">
        <f t="shared" si="8"/>
        <v>0.12146350713652479</v>
      </c>
    </row>
    <row r="55" spans="1:16" ht="12.75">
      <c r="A55" s="10" t="s">
        <v>7</v>
      </c>
      <c r="B55" s="5" t="s">
        <v>6</v>
      </c>
      <c r="C55" s="9">
        <v>39210</v>
      </c>
      <c r="D55" s="3">
        <v>0.4152777777777778</v>
      </c>
      <c r="E55" s="6" t="s">
        <v>5</v>
      </c>
      <c r="K55" s="21" t="s">
        <v>54</v>
      </c>
      <c r="L55" s="11" t="s">
        <v>10</v>
      </c>
      <c r="M55" s="6">
        <v>1</v>
      </c>
      <c r="N55" s="23">
        <v>9600</v>
      </c>
      <c r="O55" s="23">
        <f t="shared" si="7"/>
        <v>9600</v>
      </c>
      <c r="P55" s="146">
        <f t="shared" si="8"/>
        <v>0.6598496902725551</v>
      </c>
    </row>
    <row r="56" spans="1:15" ht="12.75">
      <c r="A56" s="1"/>
      <c r="B56" s="1"/>
      <c r="C56" s="1"/>
      <c r="E56" s="1"/>
      <c r="K56" t="s">
        <v>2</v>
      </c>
      <c r="L56" s="11"/>
      <c r="M56" s="1">
        <f>SUM(M28:M55)</f>
        <v>400</v>
      </c>
      <c r="N56" s="7"/>
      <c r="O56" s="7">
        <f>SUM(O28:O55)</f>
        <v>1454876.7911120271</v>
      </c>
    </row>
    <row r="57" spans="1:15" ht="12.75">
      <c r="A57" s="1"/>
      <c r="B57" s="1"/>
      <c r="C57" s="1"/>
      <c r="E57" s="1"/>
      <c r="K57" t="s">
        <v>53</v>
      </c>
      <c r="L57">
        <f>O56/M56</f>
        <v>3637.1919777800676</v>
      </c>
      <c r="M57" s="1"/>
      <c r="N57" s="1"/>
      <c r="O57" s="7"/>
    </row>
    <row r="59" spans="1:16" s="97" customFormat="1" ht="12.75">
      <c r="A59" s="91" t="s">
        <v>28</v>
      </c>
      <c r="B59" s="93" t="s">
        <v>145</v>
      </c>
      <c r="C59" s="93" t="s">
        <v>26</v>
      </c>
      <c r="D59" s="93" t="s">
        <v>25</v>
      </c>
      <c r="E59" s="94" t="s">
        <v>83</v>
      </c>
      <c r="K59" s="95" t="s">
        <v>169</v>
      </c>
      <c r="L59" s="95" t="s">
        <v>20</v>
      </c>
      <c r="M59" s="91" t="s">
        <v>19</v>
      </c>
      <c r="N59" s="91" t="s">
        <v>18</v>
      </c>
      <c r="O59" s="91" t="s">
        <v>17</v>
      </c>
      <c r="P59" s="178" t="s">
        <v>170</v>
      </c>
    </row>
    <row r="60" spans="1:16" s="106" customFormat="1" ht="14.25">
      <c r="A60" s="115"/>
      <c r="B60" s="99"/>
      <c r="C60" s="99"/>
      <c r="D60" s="99"/>
      <c r="E60" s="100" t="s">
        <v>16</v>
      </c>
      <c r="K60" s="102"/>
      <c r="L60" s="102"/>
      <c r="M60" s="101" t="s">
        <v>82</v>
      </c>
      <c r="N60" s="101" t="s">
        <v>12</v>
      </c>
      <c r="O60" s="113" t="s">
        <v>150</v>
      </c>
      <c r="P60" s="115" t="s">
        <v>171</v>
      </c>
    </row>
    <row r="61" spans="1:16" ht="12.75">
      <c r="A61" s="10" t="s">
        <v>7</v>
      </c>
      <c r="B61" s="5" t="s">
        <v>6</v>
      </c>
      <c r="C61" s="9">
        <v>39329</v>
      </c>
      <c r="D61" s="3">
        <v>0.4895833333333333</v>
      </c>
      <c r="E61" s="6" t="s">
        <v>5</v>
      </c>
      <c r="K61" s="21" t="s">
        <v>118</v>
      </c>
      <c r="L61" s="11" t="s">
        <v>10</v>
      </c>
      <c r="M61" s="6">
        <v>48</v>
      </c>
      <c r="N61" s="23">
        <v>16.52607239583333</v>
      </c>
      <c r="O61" s="23">
        <f aca="true" t="shared" si="9" ref="O61:O86">N61*M61</f>
        <v>793.2514749999999</v>
      </c>
      <c r="P61" s="146">
        <f>O61/$O$87*100</f>
        <v>0.6375202607554306</v>
      </c>
    </row>
    <row r="62" spans="1:16" ht="12.75">
      <c r="A62" s="10" t="s">
        <v>7</v>
      </c>
      <c r="B62" s="5" t="s">
        <v>6</v>
      </c>
      <c r="C62" s="9">
        <v>39329</v>
      </c>
      <c r="D62" s="3">
        <v>0.4895833333333333</v>
      </c>
      <c r="E62" s="6" t="s">
        <v>5</v>
      </c>
      <c r="K62" s="21" t="s">
        <v>80</v>
      </c>
      <c r="L62" s="11" t="s">
        <v>10</v>
      </c>
      <c r="M62" s="6">
        <v>20</v>
      </c>
      <c r="N62" s="23">
        <v>412.3336875</v>
      </c>
      <c r="O62" s="23">
        <f t="shared" si="9"/>
        <v>8246.67375</v>
      </c>
      <c r="P62" s="146">
        <f aca="true" t="shared" si="10" ref="P62:P86">O62/$O$87*100</f>
        <v>6.627685879140616</v>
      </c>
    </row>
    <row r="63" spans="1:16" ht="12.75">
      <c r="A63" s="10" t="s">
        <v>7</v>
      </c>
      <c r="B63" s="5" t="s">
        <v>6</v>
      </c>
      <c r="C63" s="9">
        <v>39329</v>
      </c>
      <c r="D63" s="3">
        <v>0.4895833333333333</v>
      </c>
      <c r="E63" s="6" t="s">
        <v>5</v>
      </c>
      <c r="K63" s="21" t="s">
        <v>117</v>
      </c>
      <c r="L63" s="11" t="s">
        <v>10</v>
      </c>
      <c r="M63" s="6">
        <v>5</v>
      </c>
      <c r="N63" s="23">
        <v>56.54861999999999</v>
      </c>
      <c r="O63" s="23">
        <f t="shared" si="9"/>
        <v>282.74309999999997</v>
      </c>
      <c r="P63" s="146">
        <f t="shared" si="10"/>
        <v>0.22723494442767825</v>
      </c>
    </row>
    <row r="64" spans="1:16" ht="12.75">
      <c r="A64" s="10" t="s">
        <v>7</v>
      </c>
      <c r="B64" s="5" t="s">
        <v>6</v>
      </c>
      <c r="C64" s="9">
        <v>39329</v>
      </c>
      <c r="D64" s="3">
        <v>0.4895833333333333</v>
      </c>
      <c r="E64" s="6" t="s">
        <v>5</v>
      </c>
      <c r="K64" s="21" t="s">
        <v>90</v>
      </c>
      <c r="L64" s="11" t="s">
        <v>10</v>
      </c>
      <c r="M64" s="6">
        <v>11</v>
      </c>
      <c r="N64" s="23">
        <v>721.402148148148</v>
      </c>
      <c r="O64" s="23">
        <f t="shared" si="9"/>
        <v>7935.423629629628</v>
      </c>
      <c r="P64" s="146">
        <f t="shared" si="10"/>
        <v>6.377540415624548</v>
      </c>
    </row>
    <row r="65" spans="1:16" ht="12.75">
      <c r="A65" s="10" t="s">
        <v>7</v>
      </c>
      <c r="B65" s="5" t="s">
        <v>6</v>
      </c>
      <c r="C65" s="9">
        <v>39329</v>
      </c>
      <c r="D65" s="3">
        <v>0.4895833333333333</v>
      </c>
      <c r="E65" s="6" t="s">
        <v>5</v>
      </c>
      <c r="K65" s="21" t="s">
        <v>75</v>
      </c>
      <c r="L65" s="11" t="s">
        <v>10</v>
      </c>
      <c r="M65" s="6">
        <v>72</v>
      </c>
      <c r="N65" s="23">
        <v>65.97339</v>
      </c>
      <c r="O65" s="23">
        <f t="shared" si="9"/>
        <v>4750.08408</v>
      </c>
      <c r="P65" s="146">
        <f t="shared" si="10"/>
        <v>3.817547066384994</v>
      </c>
    </row>
    <row r="66" spans="1:16" ht="12.75">
      <c r="A66" s="10" t="s">
        <v>7</v>
      </c>
      <c r="B66" s="5" t="s">
        <v>6</v>
      </c>
      <c r="C66" s="9">
        <v>39329</v>
      </c>
      <c r="D66" s="3">
        <v>0.4895833333333333</v>
      </c>
      <c r="E66" s="6" t="s">
        <v>5</v>
      </c>
      <c r="K66" s="21" t="s">
        <v>74</v>
      </c>
      <c r="L66" s="11" t="s">
        <v>10</v>
      </c>
      <c r="M66" s="6">
        <v>133</v>
      </c>
      <c r="N66" s="23">
        <v>70.685775</v>
      </c>
      <c r="O66" s="23">
        <f t="shared" si="9"/>
        <v>9401.208075</v>
      </c>
      <c r="P66" s="146">
        <f t="shared" si="10"/>
        <v>7.555561902220302</v>
      </c>
    </row>
    <row r="67" spans="1:16" ht="12.75">
      <c r="A67" s="10" t="s">
        <v>7</v>
      </c>
      <c r="B67" s="5" t="s">
        <v>6</v>
      </c>
      <c r="C67" s="9">
        <v>39329</v>
      </c>
      <c r="D67" s="3">
        <v>0.4895833333333333</v>
      </c>
      <c r="E67" s="6" t="s">
        <v>5</v>
      </c>
      <c r="K67" s="147" t="s">
        <v>94</v>
      </c>
      <c r="L67" s="147" t="s">
        <v>10</v>
      </c>
      <c r="M67" s="148">
        <v>23</v>
      </c>
      <c r="N67" s="149">
        <v>1272.34395</v>
      </c>
      <c r="O67" s="149">
        <f t="shared" si="9"/>
        <v>29263.91085</v>
      </c>
      <c r="P67" s="150">
        <f t="shared" si="10"/>
        <v>23.518816748264697</v>
      </c>
    </row>
    <row r="68" spans="1:16" ht="12.75">
      <c r="A68" s="10" t="s">
        <v>7</v>
      </c>
      <c r="B68" s="5" t="s">
        <v>6</v>
      </c>
      <c r="C68" s="9">
        <v>39329</v>
      </c>
      <c r="D68" s="3">
        <v>0.4895833333333333</v>
      </c>
      <c r="E68" s="6" t="s">
        <v>5</v>
      </c>
      <c r="K68" s="21" t="s">
        <v>72</v>
      </c>
      <c r="L68" s="11" t="s">
        <v>10</v>
      </c>
      <c r="M68" s="6">
        <v>3</v>
      </c>
      <c r="N68" s="23">
        <v>157.0795</v>
      </c>
      <c r="O68" s="23">
        <f t="shared" si="9"/>
        <v>471.2385</v>
      </c>
      <c r="P68" s="146">
        <f t="shared" si="10"/>
        <v>0.37872490737946374</v>
      </c>
    </row>
    <row r="69" spans="1:16" ht="12.75">
      <c r="A69" s="10" t="s">
        <v>7</v>
      </c>
      <c r="B69" s="5" t="s">
        <v>6</v>
      </c>
      <c r="C69" s="9">
        <v>39329</v>
      </c>
      <c r="D69" s="3">
        <v>0.4895833333333333</v>
      </c>
      <c r="E69" s="6" t="s">
        <v>5</v>
      </c>
      <c r="K69" s="21" t="s">
        <v>71</v>
      </c>
      <c r="L69" s="11" t="s">
        <v>10</v>
      </c>
      <c r="M69" s="6">
        <v>1</v>
      </c>
      <c r="N69" s="23">
        <v>1209.51215</v>
      </c>
      <c r="O69" s="23">
        <f t="shared" si="9"/>
        <v>1209.51215</v>
      </c>
      <c r="P69" s="146">
        <f t="shared" si="10"/>
        <v>0.9720605956072903</v>
      </c>
    </row>
    <row r="70" spans="1:16" ht="12.75">
      <c r="A70" s="10" t="s">
        <v>7</v>
      </c>
      <c r="B70" s="5" t="s">
        <v>6</v>
      </c>
      <c r="C70" s="9">
        <v>39329</v>
      </c>
      <c r="D70" s="3">
        <v>0.4895833333333333</v>
      </c>
      <c r="E70" s="6" t="s">
        <v>5</v>
      </c>
      <c r="K70" s="21" t="s">
        <v>70</v>
      </c>
      <c r="L70" s="11" t="s">
        <v>10</v>
      </c>
      <c r="M70" s="6">
        <v>2</v>
      </c>
      <c r="N70" s="23">
        <v>160.22109</v>
      </c>
      <c r="O70" s="23">
        <f t="shared" si="9"/>
        <v>320.44218</v>
      </c>
      <c r="P70" s="146">
        <f t="shared" si="10"/>
        <v>0.25753293701803537</v>
      </c>
    </row>
    <row r="71" spans="1:16" ht="12.75">
      <c r="A71" s="10" t="s">
        <v>7</v>
      </c>
      <c r="B71" s="5" t="s">
        <v>6</v>
      </c>
      <c r="C71" s="9">
        <v>39329</v>
      </c>
      <c r="D71" s="3">
        <v>0.4895833333333333</v>
      </c>
      <c r="E71" s="6" t="s">
        <v>5</v>
      </c>
      <c r="K71" s="21" t="s">
        <v>69</v>
      </c>
      <c r="L71" s="11" t="s">
        <v>10</v>
      </c>
      <c r="M71" s="6">
        <v>11</v>
      </c>
      <c r="N71" s="23">
        <v>138.22996</v>
      </c>
      <c r="O71" s="23">
        <f t="shared" si="9"/>
        <v>1520.52956</v>
      </c>
      <c r="P71" s="146">
        <f t="shared" si="10"/>
        <v>1.2220190344777364</v>
      </c>
    </row>
    <row r="72" spans="1:16" ht="12.75">
      <c r="A72" s="10" t="s">
        <v>7</v>
      </c>
      <c r="B72" s="5" t="s">
        <v>6</v>
      </c>
      <c r="C72" s="9">
        <v>39329</v>
      </c>
      <c r="D72" s="3">
        <v>0.4895833333333333</v>
      </c>
      <c r="E72" s="6" t="s">
        <v>5</v>
      </c>
      <c r="K72" s="21" t="s">
        <v>68</v>
      </c>
      <c r="L72" s="11" t="s">
        <v>10</v>
      </c>
      <c r="M72" s="6">
        <v>6</v>
      </c>
      <c r="N72" s="23">
        <v>301.59263999999996</v>
      </c>
      <c r="O72" s="23">
        <f t="shared" si="9"/>
        <v>1809.5558399999998</v>
      </c>
      <c r="P72" s="146">
        <f t="shared" si="10"/>
        <v>1.4543036443371407</v>
      </c>
    </row>
    <row r="73" spans="1:16" ht="12.75">
      <c r="A73" s="10" t="s">
        <v>7</v>
      </c>
      <c r="B73" s="5" t="s">
        <v>6</v>
      </c>
      <c r="C73" s="9">
        <v>39329</v>
      </c>
      <c r="D73" s="3">
        <v>0.4895833333333333</v>
      </c>
      <c r="E73" s="6" t="s">
        <v>5</v>
      </c>
      <c r="K73" s="21" t="s">
        <v>87</v>
      </c>
      <c r="L73" s="11" t="s">
        <v>10</v>
      </c>
      <c r="M73" s="6">
        <v>3</v>
      </c>
      <c r="N73" s="23">
        <v>2111.14848</v>
      </c>
      <c r="O73" s="23">
        <f t="shared" si="9"/>
        <v>6333.4454399999995</v>
      </c>
      <c r="P73" s="146">
        <f t="shared" si="10"/>
        <v>5.090062755179992</v>
      </c>
    </row>
    <row r="74" spans="1:16" ht="12.75">
      <c r="A74" s="10" t="s">
        <v>7</v>
      </c>
      <c r="B74" s="5" t="s">
        <v>6</v>
      </c>
      <c r="C74" s="9">
        <v>39329</v>
      </c>
      <c r="D74" s="3">
        <v>0.4895833333333333</v>
      </c>
      <c r="E74" s="6" t="s">
        <v>5</v>
      </c>
      <c r="K74" s="21" t="s">
        <v>67</v>
      </c>
      <c r="L74" s="11" t="s">
        <v>10</v>
      </c>
      <c r="M74" s="6">
        <v>1</v>
      </c>
      <c r="N74" s="23">
        <v>1127.5759625</v>
      </c>
      <c r="O74" s="23">
        <f t="shared" si="9"/>
        <v>1127.5759625</v>
      </c>
      <c r="P74" s="146">
        <f t="shared" si="10"/>
        <v>0.9062101291832526</v>
      </c>
    </row>
    <row r="75" spans="1:16" ht="12.75">
      <c r="A75" s="10" t="s">
        <v>7</v>
      </c>
      <c r="B75" s="5" t="s">
        <v>6</v>
      </c>
      <c r="C75" s="9">
        <v>39329</v>
      </c>
      <c r="D75" s="3">
        <v>0.4895833333333333</v>
      </c>
      <c r="E75" s="6" t="s">
        <v>5</v>
      </c>
      <c r="K75" s="21" t="s">
        <v>97</v>
      </c>
      <c r="L75" s="11" t="s">
        <v>10</v>
      </c>
      <c r="M75" s="6">
        <v>5</v>
      </c>
      <c r="N75" s="23">
        <v>2660.92673</v>
      </c>
      <c r="O75" s="23">
        <f t="shared" si="9"/>
        <v>13304.63365</v>
      </c>
      <c r="P75" s="146">
        <f t="shared" si="10"/>
        <v>10.692666551680192</v>
      </c>
    </row>
    <row r="76" spans="1:16" ht="12.75">
      <c r="A76" s="10" t="s">
        <v>7</v>
      </c>
      <c r="B76" s="5" t="s">
        <v>6</v>
      </c>
      <c r="C76" s="9">
        <v>39329</v>
      </c>
      <c r="D76" s="3">
        <v>0.4895833333333333</v>
      </c>
      <c r="E76" s="6" t="s">
        <v>5</v>
      </c>
      <c r="K76" s="21" t="s">
        <v>116</v>
      </c>
      <c r="L76" s="11" t="s">
        <v>10</v>
      </c>
      <c r="M76" s="6">
        <v>12</v>
      </c>
      <c r="N76" s="23">
        <v>345.5749</v>
      </c>
      <c r="O76" s="23">
        <f t="shared" si="9"/>
        <v>4146.8988</v>
      </c>
      <c r="P76" s="146">
        <f t="shared" si="10"/>
        <v>3.3327791849392807</v>
      </c>
    </row>
    <row r="77" spans="1:16" ht="12.75">
      <c r="A77" s="10" t="s">
        <v>7</v>
      </c>
      <c r="B77" s="5" t="s">
        <v>6</v>
      </c>
      <c r="C77" s="9">
        <v>39329</v>
      </c>
      <c r="D77" s="3">
        <v>0.4895833333333333</v>
      </c>
      <c r="E77" s="6" t="s">
        <v>5</v>
      </c>
      <c r="K77" s="21" t="s">
        <v>65</v>
      </c>
      <c r="L77" s="11" t="s">
        <v>10</v>
      </c>
      <c r="M77" s="6">
        <v>7</v>
      </c>
      <c r="N77" s="23">
        <v>131.94678</v>
      </c>
      <c r="O77" s="23">
        <f t="shared" si="9"/>
        <v>923.6274599999999</v>
      </c>
      <c r="P77" s="146">
        <f t="shared" si="10"/>
        <v>0.742300818463749</v>
      </c>
    </row>
    <row r="78" spans="1:16" ht="12.75">
      <c r="A78" s="10" t="s">
        <v>7</v>
      </c>
      <c r="B78" s="5" t="s">
        <v>6</v>
      </c>
      <c r="C78" s="9">
        <v>39329</v>
      </c>
      <c r="D78" s="3">
        <v>0.4895833333333333</v>
      </c>
      <c r="E78" s="6" t="s">
        <v>5</v>
      </c>
      <c r="K78" s="21" t="s">
        <v>63</v>
      </c>
      <c r="L78" s="11" t="s">
        <v>10</v>
      </c>
      <c r="M78" s="6">
        <v>3</v>
      </c>
      <c r="N78" s="23">
        <v>530.1433125</v>
      </c>
      <c r="O78" s="23">
        <f t="shared" si="9"/>
        <v>1590.4299375</v>
      </c>
      <c r="P78" s="146">
        <f t="shared" si="10"/>
        <v>1.2781965624056904</v>
      </c>
    </row>
    <row r="79" spans="1:16" ht="12.75">
      <c r="A79" s="10" t="s">
        <v>7</v>
      </c>
      <c r="B79" s="5" t="s">
        <v>6</v>
      </c>
      <c r="C79" s="9">
        <v>39329</v>
      </c>
      <c r="D79" s="3">
        <v>0.4895833333333333</v>
      </c>
      <c r="E79" s="6" t="s">
        <v>5</v>
      </c>
      <c r="K79" s="21" t="s">
        <v>59</v>
      </c>
      <c r="L79" s="11" t="s">
        <v>10</v>
      </c>
      <c r="M79" s="6">
        <v>6</v>
      </c>
      <c r="N79" s="23">
        <v>320.44218</v>
      </c>
      <c r="O79" s="23">
        <f t="shared" si="9"/>
        <v>1922.65308</v>
      </c>
      <c r="P79" s="146">
        <f t="shared" si="10"/>
        <v>1.5451976221082122</v>
      </c>
    </row>
    <row r="80" spans="1:16" ht="12.75">
      <c r="A80" s="10" t="s">
        <v>7</v>
      </c>
      <c r="B80" s="5" t="s">
        <v>6</v>
      </c>
      <c r="C80" s="9">
        <v>39329</v>
      </c>
      <c r="D80" s="3">
        <v>0.4895833333333333</v>
      </c>
      <c r="E80" s="6" t="s">
        <v>5</v>
      </c>
      <c r="K80" s="21" t="s">
        <v>115</v>
      </c>
      <c r="L80" s="11" t="s">
        <v>10</v>
      </c>
      <c r="M80" s="6">
        <v>6</v>
      </c>
      <c r="N80" s="23">
        <v>725.70729</v>
      </c>
      <c r="O80" s="23">
        <f t="shared" si="9"/>
        <v>4354.24374</v>
      </c>
      <c r="P80" s="146">
        <f t="shared" si="10"/>
        <v>3.4994181441862446</v>
      </c>
    </row>
    <row r="81" spans="1:16" ht="12.75">
      <c r="A81" s="10" t="s">
        <v>7</v>
      </c>
      <c r="B81" s="5" t="s">
        <v>6</v>
      </c>
      <c r="C81" s="9">
        <v>39329</v>
      </c>
      <c r="D81" s="3">
        <v>0.4895833333333333</v>
      </c>
      <c r="E81" s="6" t="s">
        <v>5</v>
      </c>
      <c r="K81" s="21" t="s">
        <v>57</v>
      </c>
      <c r="L81" s="11" t="s">
        <v>10</v>
      </c>
      <c r="M81" s="6">
        <v>14</v>
      </c>
      <c r="N81" s="23">
        <v>285</v>
      </c>
      <c r="O81" s="23">
        <f t="shared" si="9"/>
        <v>3990</v>
      </c>
      <c r="P81" s="146">
        <f t="shared" si="10"/>
        <v>3.2066827741028385</v>
      </c>
    </row>
    <row r="82" spans="1:16" ht="12.75">
      <c r="A82" s="10" t="s">
        <v>7</v>
      </c>
      <c r="B82" s="5" t="s">
        <v>6</v>
      </c>
      <c r="C82" s="9">
        <v>39329</v>
      </c>
      <c r="D82" s="3">
        <v>0.4895833333333333</v>
      </c>
      <c r="E82" s="6" t="s">
        <v>5</v>
      </c>
      <c r="K82" s="21" t="s">
        <v>114</v>
      </c>
      <c r="L82" s="11" t="s">
        <v>10</v>
      </c>
      <c r="M82" s="6">
        <v>1</v>
      </c>
      <c r="N82" s="23">
        <v>400</v>
      </c>
      <c r="O82" s="23">
        <f t="shared" si="9"/>
        <v>400</v>
      </c>
      <c r="P82" s="146">
        <f t="shared" si="10"/>
        <v>0.32147195730354267</v>
      </c>
    </row>
    <row r="83" spans="1:16" ht="12.75">
      <c r="A83" s="10" t="s">
        <v>7</v>
      </c>
      <c r="B83" s="5" t="s">
        <v>6</v>
      </c>
      <c r="C83" s="9">
        <v>39329</v>
      </c>
      <c r="D83" s="3">
        <v>0.4895833333333333</v>
      </c>
      <c r="E83" s="6" t="s">
        <v>5</v>
      </c>
      <c r="K83" s="21" t="s">
        <v>56</v>
      </c>
      <c r="L83" s="11" t="s">
        <v>10</v>
      </c>
      <c r="M83" s="6">
        <v>34</v>
      </c>
      <c r="N83" s="23">
        <v>232</v>
      </c>
      <c r="O83" s="23">
        <f t="shared" si="9"/>
        <v>7888</v>
      </c>
      <c r="P83" s="146">
        <f t="shared" si="10"/>
        <v>6.3394269980258615</v>
      </c>
    </row>
    <row r="84" spans="1:16" ht="12.75">
      <c r="A84" s="10" t="s">
        <v>7</v>
      </c>
      <c r="B84" s="5" t="s">
        <v>6</v>
      </c>
      <c r="C84" s="9">
        <v>39329</v>
      </c>
      <c r="D84" s="3">
        <v>0.4895833333333333</v>
      </c>
      <c r="E84" s="6" t="s">
        <v>5</v>
      </c>
      <c r="K84" s="21" t="s">
        <v>113</v>
      </c>
      <c r="L84" s="11" t="s">
        <v>10</v>
      </c>
      <c r="M84" s="6">
        <v>6</v>
      </c>
      <c r="N84" s="23">
        <v>414.68988</v>
      </c>
      <c r="O84" s="23">
        <f t="shared" si="9"/>
        <v>2488.1392800000003</v>
      </c>
      <c r="P84" s="146">
        <f t="shared" si="10"/>
        <v>1.9996675109635689</v>
      </c>
    </row>
    <row r="85" spans="1:16" ht="12.75">
      <c r="A85" s="10" t="s">
        <v>7</v>
      </c>
      <c r="B85" s="5" t="s">
        <v>6</v>
      </c>
      <c r="C85" s="9">
        <v>39329</v>
      </c>
      <c r="D85" s="3">
        <v>0.4895833333333333</v>
      </c>
      <c r="E85" s="6" t="s">
        <v>5</v>
      </c>
      <c r="K85" s="21" t="s">
        <v>55</v>
      </c>
      <c r="L85" s="11" t="s">
        <v>10</v>
      </c>
      <c r="M85" s="6">
        <v>2</v>
      </c>
      <c r="N85" s="23">
        <v>176.7144375</v>
      </c>
      <c r="O85" s="23">
        <f t="shared" si="9"/>
        <v>353.428875</v>
      </c>
      <c r="P85" s="146">
        <f t="shared" si="10"/>
        <v>0.28404368053459783</v>
      </c>
    </row>
    <row r="86" spans="1:16" ht="12.75">
      <c r="A86" s="10" t="s">
        <v>7</v>
      </c>
      <c r="B86" s="5" t="s">
        <v>6</v>
      </c>
      <c r="C86" s="9">
        <v>39329</v>
      </c>
      <c r="D86" s="3">
        <v>0.4895833333333333</v>
      </c>
      <c r="E86" s="6" t="s">
        <v>5</v>
      </c>
      <c r="K86" s="21" t="s">
        <v>54</v>
      </c>
      <c r="L86" s="11" t="s">
        <v>10</v>
      </c>
      <c r="M86" s="6">
        <v>1</v>
      </c>
      <c r="N86" s="23">
        <v>9600</v>
      </c>
      <c r="O86" s="23">
        <f t="shared" si="9"/>
        <v>9600</v>
      </c>
      <c r="P86" s="146">
        <f t="shared" si="10"/>
        <v>7.715326975285025</v>
      </c>
    </row>
    <row r="87" spans="1:15" ht="12.75">
      <c r="A87" s="1"/>
      <c r="B87" s="1"/>
      <c r="C87" s="1"/>
      <c r="E87" s="1"/>
      <c r="K87" t="s">
        <v>2</v>
      </c>
      <c r="L87" s="11"/>
      <c r="M87" s="1">
        <f>SUM(M61:M86)</f>
        <v>436</v>
      </c>
      <c r="N87" s="7"/>
      <c r="O87" s="7">
        <f>SUM(O61:O86)</f>
        <v>124427.64941462965</v>
      </c>
    </row>
    <row r="88" spans="1:15" ht="12.75">
      <c r="A88" s="26"/>
      <c r="B88" s="26"/>
      <c r="C88" s="26"/>
      <c r="D88" s="27"/>
      <c r="E88" s="26"/>
      <c r="K88" s="27" t="s">
        <v>53</v>
      </c>
      <c r="L88" s="21">
        <f>O87/M87</f>
        <v>285.3845170060313</v>
      </c>
      <c r="M88" s="26"/>
      <c r="N88" s="26"/>
      <c r="O88" s="28"/>
    </row>
  </sheetData>
  <sheetProtection/>
  <mergeCells count="2">
    <mergeCell ref="A1:S1"/>
    <mergeCell ref="A25:S25"/>
  </mergeCell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S57"/>
  <sheetViews>
    <sheetView zoomScale="85" zoomScaleNormal="85" zoomScalePageLayoutView="0" workbookViewId="0" topLeftCell="A16">
      <selection activeCell="B50" sqref="B50"/>
    </sheetView>
  </sheetViews>
  <sheetFormatPr defaultColWidth="9.140625" defaultRowHeight="12.75"/>
  <cols>
    <col min="1" max="1" width="9.00390625" style="0" bestFit="1" customWidth="1"/>
    <col min="2" max="2" width="40.140625" style="0" bestFit="1" customWidth="1"/>
    <col min="3" max="3" width="8.140625" style="0" bestFit="1" customWidth="1"/>
    <col min="4" max="4" width="5.8515625" style="0" bestFit="1" customWidth="1"/>
    <col min="5" max="5" width="9.28125" style="0" bestFit="1" customWidth="1"/>
    <col min="6" max="6" width="13.28125" style="0" customWidth="1"/>
    <col min="7" max="7" width="8.00390625" style="0" hidden="1" customWidth="1"/>
    <col min="8" max="8" width="7.421875" style="0" hidden="1" customWidth="1"/>
    <col min="9" max="9" width="9.8515625" style="0" hidden="1" customWidth="1"/>
    <col min="10" max="10" width="12.00390625" style="0" hidden="1" customWidth="1"/>
    <col min="11" max="11" width="29.140625" style="0" bestFit="1" customWidth="1"/>
    <col min="12" max="12" width="13.28125" style="0" bestFit="1" customWidth="1"/>
    <col min="13" max="13" width="6.8515625" style="0" bestFit="1" customWidth="1"/>
    <col min="14" max="14" width="18.57421875" style="0" bestFit="1" customWidth="1"/>
    <col min="15" max="15" width="21.421875" style="0" bestFit="1" customWidth="1"/>
    <col min="16" max="16" width="17.00390625" style="0" bestFit="1" customWidth="1"/>
    <col min="17" max="17" width="8.7109375" style="0" bestFit="1" customWidth="1"/>
    <col min="18" max="18" width="9.8515625" style="0" bestFit="1" customWidth="1"/>
    <col min="19" max="19" width="11.00390625" style="0" customWidth="1"/>
  </cols>
  <sheetData>
    <row r="1" spans="1:19" ht="26.25">
      <c r="A1" s="181" t="s">
        <v>1</v>
      </c>
      <c r="B1" s="181"/>
      <c r="C1" s="181"/>
      <c r="D1" s="181"/>
      <c r="E1" s="181"/>
      <c r="F1" s="181"/>
      <c r="G1" s="181"/>
      <c r="H1" s="181"/>
      <c r="I1" s="181"/>
      <c r="J1" s="181"/>
      <c r="K1" s="181"/>
      <c r="L1" s="181"/>
      <c r="M1" s="181"/>
      <c r="N1" s="181"/>
      <c r="O1" s="181"/>
      <c r="P1" s="181"/>
      <c r="Q1" s="181"/>
      <c r="R1" s="181"/>
      <c r="S1" s="181"/>
    </row>
    <row r="2" spans="1:19" s="97" customFormat="1" ht="12.75">
      <c r="A2" s="91" t="s">
        <v>28</v>
      </c>
      <c r="B2" s="91" t="s">
        <v>145</v>
      </c>
      <c r="C2" s="93" t="s">
        <v>26</v>
      </c>
      <c r="D2" s="93"/>
      <c r="E2" s="94" t="s">
        <v>24</v>
      </c>
      <c r="F2" s="91" t="s">
        <v>24</v>
      </c>
      <c r="G2" s="91" t="s">
        <v>29</v>
      </c>
      <c r="H2" s="91" t="s">
        <v>22</v>
      </c>
      <c r="I2" s="91" t="s">
        <v>14</v>
      </c>
      <c r="J2" s="91" t="s">
        <v>21</v>
      </c>
      <c r="K2" s="95" t="s">
        <v>169</v>
      </c>
      <c r="L2" s="95" t="s">
        <v>20</v>
      </c>
      <c r="M2" s="91" t="s">
        <v>19</v>
      </c>
      <c r="N2" s="96" t="s">
        <v>134</v>
      </c>
      <c r="O2" s="96" t="s">
        <v>134</v>
      </c>
      <c r="P2" s="96" t="s">
        <v>98</v>
      </c>
      <c r="Q2" s="91" t="s">
        <v>18</v>
      </c>
      <c r="R2" s="91" t="s">
        <v>17</v>
      </c>
      <c r="S2" s="91" t="s">
        <v>17</v>
      </c>
    </row>
    <row r="3" spans="1:19" s="106" customFormat="1" ht="14.25">
      <c r="A3" s="98"/>
      <c r="B3" s="98"/>
      <c r="C3" s="99"/>
      <c r="D3" s="99"/>
      <c r="E3" s="100" t="s">
        <v>16</v>
      </c>
      <c r="F3" s="101" t="s">
        <v>15</v>
      </c>
      <c r="G3" s="101" t="s">
        <v>14</v>
      </c>
      <c r="H3" s="101"/>
      <c r="I3" s="101" t="s">
        <v>13</v>
      </c>
      <c r="J3" s="101"/>
      <c r="K3" s="102"/>
      <c r="L3" s="102"/>
      <c r="M3" s="101"/>
      <c r="N3" s="103" t="s">
        <v>99</v>
      </c>
      <c r="O3" s="104" t="s">
        <v>100</v>
      </c>
      <c r="P3" s="103" t="s">
        <v>135</v>
      </c>
      <c r="Q3" s="101" t="s">
        <v>12</v>
      </c>
      <c r="R3" s="105" t="s">
        <v>136</v>
      </c>
      <c r="S3" s="105" t="s">
        <v>137</v>
      </c>
    </row>
    <row r="4" spans="1:18" ht="12.75">
      <c r="A4" s="16"/>
      <c r="B4" s="16"/>
      <c r="C4" s="16"/>
      <c r="D4" s="16"/>
      <c r="E4" s="15"/>
      <c r="F4" s="12"/>
      <c r="G4" s="12"/>
      <c r="H4" s="12"/>
      <c r="I4" s="12"/>
      <c r="J4" s="12"/>
      <c r="K4" s="14"/>
      <c r="L4" s="14"/>
      <c r="M4" s="12"/>
      <c r="N4" s="13"/>
      <c r="O4" s="13"/>
      <c r="P4" s="13"/>
      <c r="Q4" s="12"/>
      <c r="R4" s="12"/>
    </row>
    <row r="5" spans="1:19" ht="12.75">
      <c r="A5" s="10" t="s">
        <v>30</v>
      </c>
      <c r="B5" s="5" t="s">
        <v>31</v>
      </c>
      <c r="C5" s="9">
        <v>39211</v>
      </c>
      <c r="D5" s="3">
        <v>0.3541666666666667</v>
      </c>
      <c r="E5" s="1" t="s">
        <v>5</v>
      </c>
      <c r="F5" s="1">
        <v>0.3</v>
      </c>
      <c r="G5" s="1">
        <v>0.15904</v>
      </c>
      <c r="H5" s="1">
        <v>4</v>
      </c>
      <c r="I5" s="1">
        <f>G5*H5</f>
        <v>0.63616</v>
      </c>
      <c r="J5" s="1">
        <f>((201.062/I5)/F5)</f>
        <v>1053.5190308517776</v>
      </c>
      <c r="K5" t="s">
        <v>11</v>
      </c>
      <c r="L5" s="11" t="s">
        <v>10</v>
      </c>
      <c r="M5" s="1">
        <v>511</v>
      </c>
      <c r="N5" s="2">
        <f>J5*M5</f>
        <v>538348.2247652584</v>
      </c>
      <c r="O5" s="2">
        <f>N5*985</f>
        <v>530273001.3937795</v>
      </c>
      <c r="P5" s="2">
        <f>O5/2382</f>
        <v>222616.70923332474</v>
      </c>
      <c r="Q5" s="7">
        <v>6635.066879017943</v>
      </c>
      <c r="R5" s="2">
        <f>N5*Q5</f>
        <v>3571976475.518073</v>
      </c>
      <c r="S5" s="2">
        <f>P5*Q5</f>
        <v>1477076754.150001</v>
      </c>
    </row>
    <row r="6" spans="1:19" ht="12.75">
      <c r="A6" s="10" t="s">
        <v>30</v>
      </c>
      <c r="B6" s="5" t="s">
        <v>31</v>
      </c>
      <c r="C6" s="9">
        <v>39211</v>
      </c>
      <c r="D6" s="3">
        <v>0.3541666666666667</v>
      </c>
      <c r="E6" s="1" t="s">
        <v>5</v>
      </c>
      <c r="F6" s="1">
        <v>0.3</v>
      </c>
      <c r="G6" s="1">
        <v>100.53</v>
      </c>
      <c r="H6" s="1">
        <v>1</v>
      </c>
      <c r="I6" s="1">
        <f>G6*H6</f>
        <v>100.53</v>
      </c>
      <c r="J6" s="1">
        <f>((201.062/I6)/F6)</f>
        <v>6.666732981862794</v>
      </c>
      <c r="K6" t="s">
        <v>9</v>
      </c>
      <c r="L6" t="s">
        <v>8</v>
      </c>
      <c r="M6" s="1">
        <v>1</v>
      </c>
      <c r="N6" s="2">
        <f>J6*M6</f>
        <v>6.666732981862794</v>
      </c>
      <c r="O6" s="2">
        <f>N6*985</f>
        <v>6566.731987134853</v>
      </c>
      <c r="P6" s="2">
        <f>O6/2382</f>
        <v>2.7568144362446905</v>
      </c>
      <c r="Q6" s="7">
        <v>14744.529066666664</v>
      </c>
      <c r="R6" s="2">
        <f>N6*Q6</f>
        <v>98297.83823078129</v>
      </c>
      <c r="S6" s="2">
        <f>P6*Q6</f>
        <v>40647.93058661611</v>
      </c>
    </row>
    <row r="7" spans="1:19" ht="12.75">
      <c r="A7" s="10" t="s">
        <v>30</v>
      </c>
      <c r="B7" s="5" t="s">
        <v>31</v>
      </c>
      <c r="C7" s="9">
        <v>39211</v>
      </c>
      <c r="D7" s="3">
        <v>0.3541666666666667</v>
      </c>
      <c r="E7" s="1" t="s">
        <v>5</v>
      </c>
      <c r="F7" s="1">
        <v>0.3</v>
      </c>
      <c r="G7" s="1">
        <v>100.53</v>
      </c>
      <c r="H7" s="1">
        <v>1</v>
      </c>
      <c r="I7" s="1">
        <f>G7*H7</f>
        <v>100.53</v>
      </c>
      <c r="J7" s="1">
        <f>((201.062/I7)/F7)</f>
        <v>6.666732981862794</v>
      </c>
      <c r="K7" t="s">
        <v>32</v>
      </c>
      <c r="L7" t="s">
        <v>3</v>
      </c>
      <c r="M7" s="1">
        <v>61</v>
      </c>
      <c r="N7" s="2">
        <f>J7*M7</f>
        <v>406.6707118936304</v>
      </c>
      <c r="O7" s="2">
        <f>N7*985</f>
        <v>400570.651215226</v>
      </c>
      <c r="P7" s="2">
        <f>O7/2382</f>
        <v>168.1656806109261</v>
      </c>
      <c r="Q7" s="7">
        <v>301.59263999999996</v>
      </c>
      <c r="R7" s="2">
        <f>N7*Q7</f>
        <v>122648.89361067938</v>
      </c>
      <c r="S7" s="2">
        <f>P7*Q7</f>
        <v>50717.53157284601</v>
      </c>
    </row>
    <row r="8" spans="1:19" s="126" customFormat="1" ht="12.75">
      <c r="A8" s="141"/>
      <c r="B8" s="141"/>
      <c r="E8" s="141"/>
      <c r="F8" s="141"/>
      <c r="G8" s="141"/>
      <c r="H8" s="141"/>
      <c r="I8" s="141"/>
      <c r="J8" s="141"/>
      <c r="K8" s="126" t="s">
        <v>2</v>
      </c>
      <c r="M8" s="141">
        <f>SUM(M5:M7)</f>
        <v>573</v>
      </c>
      <c r="N8" s="142">
        <f>SUM(N5:N7)</f>
        <v>538761.5622101339</v>
      </c>
      <c r="O8" s="142">
        <f>SUM(O5:O7)</f>
        <v>530680138.7769819</v>
      </c>
      <c r="P8" s="142">
        <f>SUM(P5:P7)</f>
        <v>222787.6317283719</v>
      </c>
      <c r="Q8" s="141"/>
      <c r="R8" s="142">
        <f>SUM(R5:R7)</f>
        <v>3572197422.249914</v>
      </c>
      <c r="S8" s="142">
        <f>SUM(S5:S7)</f>
        <v>1477168119.6121604</v>
      </c>
    </row>
    <row r="26" s="36" customFormat="1" ht="12.75"/>
    <row r="27" spans="1:19" ht="26.25">
      <c r="A27" s="181" t="s">
        <v>0</v>
      </c>
      <c r="B27" s="181"/>
      <c r="C27" s="181"/>
      <c r="D27" s="181"/>
      <c r="E27" s="181"/>
      <c r="F27" s="181"/>
      <c r="G27" s="181"/>
      <c r="H27" s="181"/>
      <c r="I27" s="181"/>
      <c r="J27" s="181"/>
      <c r="K27" s="181"/>
      <c r="L27" s="181"/>
      <c r="M27" s="181"/>
      <c r="N27" s="181"/>
      <c r="O27" s="181"/>
      <c r="P27" s="181"/>
      <c r="Q27" s="181"/>
      <c r="R27" s="181"/>
      <c r="S27" s="181"/>
    </row>
    <row r="28" spans="1:16" s="114" customFormat="1" ht="12.75">
      <c r="A28" s="107" t="s">
        <v>28</v>
      </c>
      <c r="B28" s="93" t="s">
        <v>145</v>
      </c>
      <c r="C28" s="92" t="s">
        <v>26</v>
      </c>
      <c r="D28" s="92" t="s">
        <v>26</v>
      </c>
      <c r="E28" s="94" t="s">
        <v>83</v>
      </c>
      <c r="K28" s="95" t="s">
        <v>169</v>
      </c>
      <c r="L28" s="107" t="s">
        <v>20</v>
      </c>
      <c r="M28" s="107" t="s">
        <v>19</v>
      </c>
      <c r="N28" s="107" t="s">
        <v>18</v>
      </c>
      <c r="O28" s="107" t="s">
        <v>17</v>
      </c>
      <c r="P28" s="178" t="s">
        <v>170</v>
      </c>
    </row>
    <row r="29" spans="1:16" s="116" customFormat="1" ht="14.25">
      <c r="A29" s="117"/>
      <c r="B29" s="110"/>
      <c r="C29" s="110"/>
      <c r="D29" s="110"/>
      <c r="E29" s="100" t="s">
        <v>16</v>
      </c>
      <c r="K29" s="111"/>
      <c r="L29" s="111"/>
      <c r="M29" s="111" t="s">
        <v>82</v>
      </c>
      <c r="N29" s="111" t="s">
        <v>12</v>
      </c>
      <c r="O29" s="113" t="s">
        <v>150</v>
      </c>
      <c r="P29" s="115" t="s">
        <v>171</v>
      </c>
    </row>
    <row r="30" spans="1:15" ht="12.75">
      <c r="A30" s="6"/>
      <c r="B30" s="6"/>
      <c r="C30" s="6"/>
      <c r="D30" s="21"/>
      <c r="E30" s="6"/>
      <c r="K30" s="21"/>
      <c r="L30" s="21"/>
      <c r="M30" s="6"/>
      <c r="N30" s="6"/>
      <c r="O30" s="6"/>
    </row>
    <row r="31" spans="1:16" ht="12.75">
      <c r="A31" s="10" t="s">
        <v>30</v>
      </c>
      <c r="B31" s="5" t="s">
        <v>31</v>
      </c>
      <c r="C31" s="9">
        <v>39211</v>
      </c>
      <c r="D31" s="3">
        <v>0.3541666666666667</v>
      </c>
      <c r="E31" s="6" t="s">
        <v>5</v>
      </c>
      <c r="K31" s="21" t="s">
        <v>81</v>
      </c>
      <c r="L31" s="11" t="s">
        <v>10</v>
      </c>
      <c r="M31" s="6">
        <v>8</v>
      </c>
      <c r="N31" s="23">
        <v>13.343030861111108</v>
      </c>
      <c r="O31" s="23">
        <f aca="true" t="shared" si="0" ref="O31:O43">N31*M31</f>
        <v>106.74424688888887</v>
      </c>
      <c r="P31" s="146">
        <f>O31/$O$56*100</f>
        <v>0.0036646681399424693</v>
      </c>
    </row>
    <row r="32" spans="1:16" ht="12.75">
      <c r="A32" s="10" t="s">
        <v>30</v>
      </c>
      <c r="B32" s="5" t="s">
        <v>31</v>
      </c>
      <c r="C32" s="9">
        <v>39211</v>
      </c>
      <c r="D32" s="3">
        <v>0.3541666666666667</v>
      </c>
      <c r="E32" s="6" t="s">
        <v>5</v>
      </c>
      <c r="K32" s="21" t="s">
        <v>80</v>
      </c>
      <c r="L32" s="11" t="s">
        <v>10</v>
      </c>
      <c r="M32" s="6">
        <v>61</v>
      </c>
      <c r="N32" s="23">
        <v>412.3336875</v>
      </c>
      <c r="O32" s="23">
        <f t="shared" si="0"/>
        <v>25152.3549375</v>
      </c>
      <c r="P32" s="146">
        <f aca="true" t="shared" si="1" ref="P32:P55">O32/$O$56*100</f>
        <v>0.8635128962025167</v>
      </c>
    </row>
    <row r="33" spans="1:16" s="155" customFormat="1" ht="12.75">
      <c r="A33" s="151" t="s">
        <v>30</v>
      </c>
      <c r="B33" s="152" t="s">
        <v>31</v>
      </c>
      <c r="C33" s="153">
        <v>39211</v>
      </c>
      <c r="D33" s="154">
        <v>0.3541666666666667</v>
      </c>
      <c r="E33" s="148" t="s">
        <v>5</v>
      </c>
      <c r="K33" s="147" t="s">
        <v>79</v>
      </c>
      <c r="L33" s="147" t="s">
        <v>10</v>
      </c>
      <c r="M33" s="148">
        <v>40</v>
      </c>
      <c r="N33" s="149">
        <v>68722.28125</v>
      </c>
      <c r="O33" s="149">
        <f t="shared" si="0"/>
        <v>2748891.25</v>
      </c>
      <c r="P33" s="150">
        <f t="shared" si="1"/>
        <v>94.37299412049363</v>
      </c>
    </row>
    <row r="34" spans="1:16" ht="12.75">
      <c r="A34" s="10" t="s">
        <v>30</v>
      </c>
      <c r="B34" s="5" t="s">
        <v>31</v>
      </c>
      <c r="C34" s="9">
        <v>39211</v>
      </c>
      <c r="D34" s="3">
        <v>0.3541666666666667</v>
      </c>
      <c r="E34" s="6" t="s">
        <v>5</v>
      </c>
      <c r="K34" s="21" t="s">
        <v>78</v>
      </c>
      <c r="L34" s="11" t="s">
        <v>10</v>
      </c>
      <c r="M34" s="6">
        <v>5</v>
      </c>
      <c r="N34" s="23">
        <v>411.61810311111105</v>
      </c>
      <c r="O34" s="23">
        <f t="shared" si="0"/>
        <v>2058.090515555555</v>
      </c>
      <c r="P34" s="146">
        <f t="shared" si="1"/>
        <v>0.0706569108996102</v>
      </c>
    </row>
    <row r="35" spans="1:16" ht="12.75">
      <c r="A35" s="10" t="s">
        <v>30</v>
      </c>
      <c r="B35" s="5" t="s">
        <v>31</v>
      </c>
      <c r="C35" s="9">
        <v>39211</v>
      </c>
      <c r="D35" s="3">
        <v>0.3541666666666667</v>
      </c>
      <c r="E35" s="6" t="s">
        <v>5</v>
      </c>
      <c r="K35" s="21" t="s">
        <v>77</v>
      </c>
      <c r="L35" s="11" t="s">
        <v>10</v>
      </c>
      <c r="M35" s="6">
        <v>3</v>
      </c>
      <c r="N35" s="23">
        <v>449.0379306666667</v>
      </c>
      <c r="O35" s="23">
        <f t="shared" si="0"/>
        <v>1347.113792</v>
      </c>
      <c r="P35" s="146">
        <f t="shared" si="1"/>
        <v>0.04624815986156305</v>
      </c>
    </row>
    <row r="36" spans="1:16" ht="12.75">
      <c r="A36" s="10" t="s">
        <v>30</v>
      </c>
      <c r="B36" s="5" t="s">
        <v>31</v>
      </c>
      <c r="C36" s="9">
        <v>39211</v>
      </c>
      <c r="D36" s="3">
        <v>0.3541666666666667</v>
      </c>
      <c r="E36" s="6" t="s">
        <v>5</v>
      </c>
      <c r="K36" t="s">
        <v>84</v>
      </c>
      <c r="L36" s="11" t="s">
        <v>10</v>
      </c>
      <c r="M36" s="6">
        <v>1</v>
      </c>
      <c r="N36" s="23">
        <v>12345.527166933334</v>
      </c>
      <c r="O36" s="23">
        <f t="shared" si="0"/>
        <v>12345.527166933334</v>
      </c>
      <c r="P36" s="146">
        <f t="shared" si="1"/>
        <v>0.4238379247412548</v>
      </c>
    </row>
    <row r="37" spans="1:16" ht="12.75">
      <c r="A37" s="10" t="s">
        <v>30</v>
      </c>
      <c r="B37" s="5" t="s">
        <v>31</v>
      </c>
      <c r="C37" s="9">
        <v>39211</v>
      </c>
      <c r="D37" s="3">
        <v>0.3541666666666667</v>
      </c>
      <c r="E37" s="6" t="s">
        <v>5</v>
      </c>
      <c r="K37" s="21" t="s">
        <v>75</v>
      </c>
      <c r="L37" s="11" t="s">
        <v>10</v>
      </c>
      <c r="M37" s="6">
        <v>57</v>
      </c>
      <c r="N37" s="23">
        <v>65.97339</v>
      </c>
      <c r="O37" s="23">
        <f t="shared" si="0"/>
        <v>3760.48323</v>
      </c>
      <c r="P37" s="146">
        <f t="shared" si="1"/>
        <v>0.12910225595683528</v>
      </c>
    </row>
    <row r="38" spans="1:16" ht="12.75">
      <c r="A38" s="10" t="s">
        <v>30</v>
      </c>
      <c r="B38" s="5" t="s">
        <v>31</v>
      </c>
      <c r="C38" s="9">
        <v>39211</v>
      </c>
      <c r="D38" s="3">
        <v>0.3541666666666667</v>
      </c>
      <c r="E38" s="6" t="s">
        <v>5</v>
      </c>
      <c r="K38" s="21" t="s">
        <v>74</v>
      </c>
      <c r="L38" s="11" t="s">
        <v>10</v>
      </c>
      <c r="M38" s="6">
        <v>43</v>
      </c>
      <c r="N38" s="23">
        <v>56.54861999999999</v>
      </c>
      <c r="O38" s="23">
        <f t="shared" si="0"/>
        <v>2431.59066</v>
      </c>
      <c r="P38" s="146">
        <f t="shared" si="1"/>
        <v>0.08347965422772806</v>
      </c>
    </row>
    <row r="39" spans="1:16" ht="12.75">
      <c r="A39" s="10" t="s">
        <v>30</v>
      </c>
      <c r="B39" s="5" t="s">
        <v>31</v>
      </c>
      <c r="C39" s="9">
        <v>39211</v>
      </c>
      <c r="D39" s="3">
        <v>0.3541666666666667</v>
      </c>
      <c r="E39" s="6" t="s">
        <v>5</v>
      </c>
      <c r="K39" s="21" t="s">
        <v>73</v>
      </c>
      <c r="L39" s="11" t="s">
        <v>10</v>
      </c>
      <c r="M39" s="6">
        <v>10</v>
      </c>
      <c r="N39" s="23">
        <v>490.8734375</v>
      </c>
      <c r="O39" s="23">
        <f t="shared" si="0"/>
        <v>4908.734375</v>
      </c>
      <c r="P39" s="146">
        <f t="shared" si="1"/>
        <v>0.16852320378659577</v>
      </c>
    </row>
    <row r="40" spans="1:16" ht="12.75">
      <c r="A40" s="10" t="s">
        <v>30</v>
      </c>
      <c r="B40" s="5" t="s">
        <v>31</v>
      </c>
      <c r="C40" s="9">
        <v>39211</v>
      </c>
      <c r="D40" s="3">
        <v>0.3541666666666667</v>
      </c>
      <c r="E40" s="6" t="s">
        <v>5</v>
      </c>
      <c r="K40" s="21" t="s">
        <v>72</v>
      </c>
      <c r="L40" s="11" t="s">
        <v>10</v>
      </c>
      <c r="M40" s="6">
        <v>8</v>
      </c>
      <c r="N40" s="23">
        <v>2167.6971</v>
      </c>
      <c r="O40" s="23">
        <f t="shared" si="0"/>
        <v>17341.5768</v>
      </c>
      <c r="P40" s="146">
        <f t="shared" si="1"/>
        <v>0.5953587743372855</v>
      </c>
    </row>
    <row r="41" spans="1:16" ht="12.75">
      <c r="A41" s="10" t="s">
        <v>30</v>
      </c>
      <c r="B41" s="5" t="s">
        <v>31</v>
      </c>
      <c r="C41" s="9">
        <v>39211</v>
      </c>
      <c r="D41" s="3">
        <v>0.3541666666666667</v>
      </c>
      <c r="E41" s="6" t="s">
        <v>5</v>
      </c>
      <c r="K41" s="21" t="s">
        <v>71</v>
      </c>
      <c r="L41" s="11" t="s">
        <v>10</v>
      </c>
      <c r="M41" s="6">
        <v>2</v>
      </c>
      <c r="N41" s="23">
        <v>3337.939375</v>
      </c>
      <c r="O41" s="23">
        <f t="shared" si="0"/>
        <v>6675.87875</v>
      </c>
      <c r="P41" s="146">
        <f t="shared" si="1"/>
        <v>0.22919155714977024</v>
      </c>
    </row>
    <row r="42" spans="1:16" ht="12.75">
      <c r="A42" s="10" t="s">
        <v>30</v>
      </c>
      <c r="B42" s="5" t="s">
        <v>31</v>
      </c>
      <c r="C42" s="9">
        <v>39211</v>
      </c>
      <c r="D42" s="3">
        <v>0.3541666666666667</v>
      </c>
      <c r="E42" s="6" t="s">
        <v>5</v>
      </c>
      <c r="K42" s="21" t="s">
        <v>69</v>
      </c>
      <c r="L42" s="11" t="s">
        <v>10</v>
      </c>
      <c r="M42" s="6">
        <v>68</v>
      </c>
      <c r="N42" s="23">
        <v>138.22996</v>
      </c>
      <c r="O42" s="23">
        <f t="shared" si="0"/>
        <v>9399.63728</v>
      </c>
      <c r="P42" s="146">
        <f t="shared" si="1"/>
        <v>0.3227017124668765</v>
      </c>
    </row>
    <row r="43" spans="1:16" ht="12.75">
      <c r="A43" s="10" t="s">
        <v>30</v>
      </c>
      <c r="B43" s="5" t="s">
        <v>31</v>
      </c>
      <c r="C43" s="9">
        <v>39211</v>
      </c>
      <c r="D43" s="3">
        <v>0.3541666666666667</v>
      </c>
      <c r="E43" s="6" t="s">
        <v>5</v>
      </c>
      <c r="K43" s="21" t="s">
        <v>68</v>
      </c>
      <c r="L43" s="11" t="s">
        <v>10</v>
      </c>
      <c r="M43" s="6">
        <v>24</v>
      </c>
      <c r="N43" s="23">
        <v>414.68988</v>
      </c>
      <c r="O43" s="23">
        <f t="shared" si="0"/>
        <v>9952.557120000001</v>
      </c>
      <c r="P43" s="146">
        <f t="shared" si="1"/>
        <v>0.3416841661413987</v>
      </c>
    </row>
    <row r="44" spans="1:16" ht="12.75">
      <c r="A44" s="10" t="s">
        <v>30</v>
      </c>
      <c r="B44" s="5" t="s">
        <v>31</v>
      </c>
      <c r="C44" s="9">
        <v>39211</v>
      </c>
      <c r="D44" s="3">
        <v>0.3541666666666667</v>
      </c>
      <c r="E44" s="1" t="s">
        <v>5</v>
      </c>
      <c r="K44" t="s">
        <v>85</v>
      </c>
      <c r="L44" s="11" t="s">
        <v>10</v>
      </c>
      <c r="M44" s="1">
        <v>4</v>
      </c>
      <c r="N44" s="7">
        <v>324.38896</v>
      </c>
      <c r="O44" s="7">
        <f>M44*N44</f>
        <v>1297.55584</v>
      </c>
      <c r="P44" s="146">
        <f t="shared" si="1"/>
        <v>0.04454677123343172</v>
      </c>
    </row>
    <row r="45" spans="1:16" ht="12.75">
      <c r="A45" s="10" t="s">
        <v>30</v>
      </c>
      <c r="B45" s="5" t="s">
        <v>31</v>
      </c>
      <c r="C45" s="9">
        <v>39211</v>
      </c>
      <c r="D45" s="3">
        <v>0.3541666666666667</v>
      </c>
      <c r="E45" s="6" t="s">
        <v>5</v>
      </c>
      <c r="K45" s="21" t="s">
        <v>66</v>
      </c>
      <c r="L45" s="11" t="s">
        <v>10</v>
      </c>
      <c r="M45" s="6">
        <v>2</v>
      </c>
      <c r="N45" s="23">
        <v>628.318</v>
      </c>
      <c r="O45" s="23">
        <f aca="true" t="shared" si="2" ref="O45:O55">N45*M45</f>
        <v>1256.636</v>
      </c>
      <c r="P45" s="146">
        <f t="shared" si="1"/>
        <v>0.043141940169368516</v>
      </c>
    </row>
    <row r="46" spans="1:16" ht="12.75">
      <c r="A46" s="10" t="s">
        <v>30</v>
      </c>
      <c r="B46" s="5" t="s">
        <v>31</v>
      </c>
      <c r="C46" s="9">
        <v>39211</v>
      </c>
      <c r="D46" s="3">
        <v>0.3541666666666667</v>
      </c>
      <c r="E46" s="6" t="s">
        <v>5</v>
      </c>
      <c r="K46" s="21" t="s">
        <v>65</v>
      </c>
      <c r="L46" s="11" t="s">
        <v>10</v>
      </c>
      <c r="M46" s="6">
        <v>5</v>
      </c>
      <c r="N46" s="23">
        <v>122.52201</v>
      </c>
      <c r="O46" s="23">
        <f t="shared" si="2"/>
        <v>612.61005</v>
      </c>
      <c r="P46" s="146">
        <f t="shared" si="1"/>
        <v>0.02103169583256715</v>
      </c>
    </row>
    <row r="47" spans="1:16" ht="12.75">
      <c r="A47" s="10" t="s">
        <v>30</v>
      </c>
      <c r="B47" s="5" t="s">
        <v>31</v>
      </c>
      <c r="C47" s="9">
        <v>39211</v>
      </c>
      <c r="D47" s="3">
        <v>0.3541666666666667</v>
      </c>
      <c r="E47" s="6" t="s">
        <v>5</v>
      </c>
      <c r="K47" s="21" t="s">
        <v>63</v>
      </c>
      <c r="L47" s="11" t="s">
        <v>10</v>
      </c>
      <c r="M47" s="6">
        <v>18</v>
      </c>
      <c r="N47" s="23">
        <v>530.1433125</v>
      </c>
      <c r="O47" s="23">
        <f t="shared" si="2"/>
        <v>9542.579625</v>
      </c>
      <c r="P47" s="146">
        <f t="shared" si="1"/>
        <v>0.3276091081611422</v>
      </c>
    </row>
    <row r="48" spans="1:16" ht="12.75">
      <c r="A48" s="10" t="s">
        <v>30</v>
      </c>
      <c r="B48" s="5" t="s">
        <v>31</v>
      </c>
      <c r="C48" s="9">
        <v>39211</v>
      </c>
      <c r="D48" s="3">
        <v>0.3541666666666667</v>
      </c>
      <c r="E48" s="6" t="s">
        <v>5</v>
      </c>
      <c r="K48" s="21" t="s">
        <v>62</v>
      </c>
      <c r="L48" s="11" t="s">
        <v>10</v>
      </c>
      <c r="M48" s="6">
        <v>5</v>
      </c>
      <c r="N48" s="23">
        <v>207.34494</v>
      </c>
      <c r="O48" s="23">
        <f t="shared" si="2"/>
        <v>1036.7247</v>
      </c>
      <c r="P48" s="146">
        <f t="shared" si="1"/>
        <v>0.03559210063972902</v>
      </c>
    </row>
    <row r="49" spans="1:16" ht="12.75">
      <c r="A49" s="10" t="s">
        <v>30</v>
      </c>
      <c r="B49" s="5" t="s">
        <v>31</v>
      </c>
      <c r="C49" s="9">
        <v>39211</v>
      </c>
      <c r="D49" s="3">
        <v>0.3541666666666667</v>
      </c>
      <c r="E49" s="6" t="s">
        <v>5</v>
      </c>
      <c r="K49" s="21" t="s">
        <v>61</v>
      </c>
      <c r="L49" s="11" t="s">
        <v>10</v>
      </c>
      <c r="M49" s="6">
        <v>10</v>
      </c>
      <c r="N49" s="23">
        <v>414.68988</v>
      </c>
      <c r="O49" s="23">
        <f t="shared" si="2"/>
        <v>4146.8988</v>
      </c>
      <c r="P49" s="146">
        <f t="shared" si="1"/>
        <v>0.14236840255891609</v>
      </c>
    </row>
    <row r="50" spans="1:16" ht="12.75">
      <c r="A50" s="10" t="s">
        <v>30</v>
      </c>
      <c r="B50" s="5" t="s">
        <v>31</v>
      </c>
      <c r="C50" s="9">
        <v>39211</v>
      </c>
      <c r="D50" s="3">
        <v>0.3541666666666667</v>
      </c>
      <c r="E50" s="6" t="s">
        <v>5</v>
      </c>
      <c r="K50" s="21" t="s">
        <v>60</v>
      </c>
      <c r="L50" s="11" t="s">
        <v>10</v>
      </c>
      <c r="M50" s="6">
        <v>4</v>
      </c>
      <c r="N50" s="23">
        <v>753.9816</v>
      </c>
      <c r="O50" s="23">
        <f t="shared" si="2"/>
        <v>3015.9264</v>
      </c>
      <c r="P50" s="146">
        <f t="shared" si="1"/>
        <v>0.10354065640648444</v>
      </c>
    </row>
    <row r="51" spans="1:16" ht="12.75">
      <c r="A51" s="10" t="s">
        <v>30</v>
      </c>
      <c r="B51" s="5" t="s">
        <v>31</v>
      </c>
      <c r="C51" s="9">
        <v>39211</v>
      </c>
      <c r="D51" s="3">
        <v>0.3541666666666667</v>
      </c>
      <c r="E51" s="6" t="s">
        <v>5</v>
      </c>
      <c r="K51" s="21" t="s">
        <v>59</v>
      </c>
      <c r="L51" s="11" t="s">
        <v>10</v>
      </c>
      <c r="M51" s="6">
        <v>12</v>
      </c>
      <c r="N51" s="23">
        <v>376.99080000000004</v>
      </c>
      <c r="O51" s="23">
        <f t="shared" si="2"/>
        <v>4523.8896</v>
      </c>
      <c r="P51" s="146">
        <f t="shared" si="1"/>
        <v>0.15531098460972667</v>
      </c>
    </row>
    <row r="52" spans="1:16" ht="12.75">
      <c r="A52" s="10" t="s">
        <v>30</v>
      </c>
      <c r="B52" s="5" t="s">
        <v>31</v>
      </c>
      <c r="C52" s="9">
        <v>39211</v>
      </c>
      <c r="D52" s="3">
        <v>0.3541666666666667</v>
      </c>
      <c r="E52" s="6" t="s">
        <v>5</v>
      </c>
      <c r="K52" s="21" t="s">
        <v>58</v>
      </c>
      <c r="L52" s="11" t="s">
        <v>10</v>
      </c>
      <c r="M52" s="6">
        <v>3</v>
      </c>
      <c r="N52" s="23">
        <v>1500</v>
      </c>
      <c r="O52" s="23">
        <f t="shared" si="2"/>
        <v>4500</v>
      </c>
      <c r="P52" s="146">
        <f t="shared" si="1"/>
        <v>0.15449082372473677</v>
      </c>
    </row>
    <row r="53" spans="1:16" ht="12.75">
      <c r="A53" s="10" t="s">
        <v>30</v>
      </c>
      <c r="B53" s="5" t="s">
        <v>31</v>
      </c>
      <c r="C53" s="9">
        <v>39211</v>
      </c>
      <c r="D53" s="3">
        <v>0.3541666666666667</v>
      </c>
      <c r="E53" s="6" t="s">
        <v>5</v>
      </c>
      <c r="K53" s="21" t="s">
        <v>57</v>
      </c>
      <c r="L53" s="11" t="s">
        <v>10</v>
      </c>
      <c r="M53" s="6">
        <v>4</v>
      </c>
      <c r="N53" s="23">
        <v>322.5</v>
      </c>
      <c r="O53" s="23">
        <f t="shared" si="2"/>
        <v>1290</v>
      </c>
      <c r="P53" s="146">
        <f t="shared" si="1"/>
        <v>0.044287369467757874</v>
      </c>
    </row>
    <row r="54" spans="1:16" ht="12.75">
      <c r="A54" s="10" t="s">
        <v>30</v>
      </c>
      <c r="B54" s="5" t="s">
        <v>31</v>
      </c>
      <c r="C54" s="9">
        <v>39211</v>
      </c>
      <c r="D54" s="3">
        <v>0.3541666666666667</v>
      </c>
      <c r="E54" s="6" t="s">
        <v>5</v>
      </c>
      <c r="K54" s="21" t="s">
        <v>56</v>
      </c>
      <c r="L54" s="11" t="s">
        <v>10</v>
      </c>
      <c r="M54" s="6">
        <v>40</v>
      </c>
      <c r="N54" s="23">
        <v>450</v>
      </c>
      <c r="O54" s="23">
        <f t="shared" si="2"/>
        <v>18000</v>
      </c>
      <c r="P54" s="146">
        <f t="shared" si="1"/>
        <v>0.6179632948989471</v>
      </c>
    </row>
    <row r="55" spans="1:16" ht="12.75">
      <c r="A55" s="10" t="s">
        <v>30</v>
      </c>
      <c r="B55" s="5" t="s">
        <v>31</v>
      </c>
      <c r="C55" s="9">
        <v>39211</v>
      </c>
      <c r="D55" s="3">
        <v>0.3541666666666667</v>
      </c>
      <c r="E55" s="6" t="s">
        <v>5</v>
      </c>
      <c r="K55" s="21" t="s">
        <v>54</v>
      </c>
      <c r="L55" s="11" t="s">
        <v>10</v>
      </c>
      <c r="M55" s="6">
        <v>2</v>
      </c>
      <c r="N55" s="23">
        <v>9600</v>
      </c>
      <c r="O55" s="23">
        <f t="shared" si="2"/>
        <v>19200</v>
      </c>
      <c r="P55" s="146">
        <f t="shared" si="1"/>
        <v>0.6591608478922102</v>
      </c>
    </row>
    <row r="56" spans="1:15" ht="12.75">
      <c r="A56" s="143"/>
      <c r="B56" s="143"/>
      <c r="C56" s="143"/>
      <c r="D56" s="144"/>
      <c r="E56" s="143"/>
      <c r="F56" s="121"/>
      <c r="G56" s="121"/>
      <c r="H56" s="121"/>
      <c r="I56" s="121"/>
      <c r="J56" s="121"/>
      <c r="K56" s="144" t="s">
        <v>2</v>
      </c>
      <c r="L56" s="144"/>
      <c r="M56" s="143">
        <f>SUM(M31:M55)</f>
        <v>439</v>
      </c>
      <c r="N56" s="145"/>
      <c r="O56" s="145">
        <f>SUM(O31:O55)</f>
        <v>2912794.3598888773</v>
      </c>
    </row>
    <row r="57" spans="1:15" ht="12.75">
      <c r="A57" s="124"/>
      <c r="B57" s="124"/>
      <c r="C57" s="124"/>
      <c r="D57" s="125"/>
      <c r="E57" s="124"/>
      <c r="F57" s="126"/>
      <c r="G57" s="126"/>
      <c r="H57" s="126"/>
      <c r="I57" s="126"/>
      <c r="J57" s="126"/>
      <c r="K57" s="125" t="s">
        <v>53</v>
      </c>
      <c r="L57" s="125">
        <f>O56/M56</f>
        <v>6635.066879017943</v>
      </c>
      <c r="M57" s="124"/>
      <c r="N57" s="124"/>
      <c r="O57" s="128"/>
    </row>
  </sheetData>
  <sheetProtection/>
  <mergeCells count="2">
    <mergeCell ref="A1:S1"/>
    <mergeCell ref="A27:S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88"/>
  <sheetViews>
    <sheetView zoomScale="85" zoomScaleNormal="85" zoomScalePageLayoutView="0" workbookViewId="0" topLeftCell="A1">
      <selection activeCell="P56" sqref="P56"/>
    </sheetView>
  </sheetViews>
  <sheetFormatPr defaultColWidth="9.140625" defaultRowHeight="12.75"/>
  <cols>
    <col min="1" max="1" width="9.00390625" style="0" bestFit="1" customWidth="1"/>
    <col min="2" max="2" width="37.57421875" style="0" bestFit="1" customWidth="1"/>
    <col min="3" max="3" width="8.140625" style="0" bestFit="1" customWidth="1"/>
    <col min="4" max="4" width="5.57421875" style="0" bestFit="1" customWidth="1"/>
    <col min="5" max="5" width="9.28125" style="0" bestFit="1" customWidth="1"/>
    <col min="6" max="6" width="13.28125" style="0" customWidth="1"/>
    <col min="7" max="7" width="8.00390625" style="0" hidden="1" customWidth="1"/>
    <col min="8" max="8" width="7.421875" style="0" hidden="1" customWidth="1"/>
    <col min="9" max="9" width="9.8515625" style="0" hidden="1" customWidth="1"/>
    <col min="10" max="10" width="12.00390625" style="0" hidden="1" customWidth="1"/>
    <col min="11" max="11" width="29.140625" style="0" bestFit="1" customWidth="1"/>
    <col min="12" max="12" width="13.28125" style="0" bestFit="1" customWidth="1"/>
    <col min="13" max="13" width="6.8515625" style="0" bestFit="1" customWidth="1"/>
    <col min="14" max="14" width="18.57421875" style="0" bestFit="1" customWidth="1"/>
    <col min="15" max="15" width="21.421875" style="0" bestFit="1" customWidth="1"/>
    <col min="16" max="16" width="17.00390625" style="0" bestFit="1" customWidth="1"/>
    <col min="17" max="18" width="9.8515625" style="0" bestFit="1" customWidth="1"/>
    <col min="19" max="19" width="11.00390625" style="0" customWidth="1"/>
  </cols>
  <sheetData>
    <row r="1" spans="1:19" ht="26.25">
      <c r="A1" s="181" t="s">
        <v>1</v>
      </c>
      <c r="B1" s="181"/>
      <c r="C1" s="181"/>
      <c r="D1" s="181"/>
      <c r="E1" s="181"/>
      <c r="F1" s="181"/>
      <c r="G1" s="181"/>
      <c r="H1" s="181"/>
      <c r="I1" s="181"/>
      <c r="J1" s="181"/>
      <c r="K1" s="181"/>
      <c r="L1" s="181"/>
      <c r="M1" s="181"/>
      <c r="N1" s="181"/>
      <c r="O1" s="181"/>
      <c r="P1" s="181"/>
      <c r="Q1" s="181"/>
      <c r="R1" s="181"/>
      <c r="S1" s="181"/>
    </row>
    <row r="2" spans="1:19" s="97" customFormat="1" ht="12.75">
      <c r="A2" s="107" t="s">
        <v>28</v>
      </c>
      <c r="B2" s="107" t="s">
        <v>145</v>
      </c>
      <c r="C2" s="92" t="s">
        <v>26</v>
      </c>
      <c r="D2" s="92"/>
      <c r="E2" s="94" t="s">
        <v>24</v>
      </c>
      <c r="F2" s="107" t="s">
        <v>24</v>
      </c>
      <c r="G2" s="107" t="s">
        <v>29</v>
      </c>
      <c r="H2" s="107" t="s">
        <v>22</v>
      </c>
      <c r="I2" s="107" t="s">
        <v>14</v>
      </c>
      <c r="J2" s="107" t="s">
        <v>21</v>
      </c>
      <c r="K2" s="108" t="s">
        <v>169</v>
      </c>
      <c r="L2" s="108" t="s">
        <v>20</v>
      </c>
      <c r="M2" s="107" t="s">
        <v>19</v>
      </c>
      <c r="N2" s="109" t="s">
        <v>134</v>
      </c>
      <c r="O2" s="96" t="s">
        <v>134</v>
      </c>
      <c r="P2" s="96" t="s">
        <v>98</v>
      </c>
      <c r="Q2" s="107" t="s">
        <v>18</v>
      </c>
      <c r="R2" s="107" t="s">
        <v>17</v>
      </c>
      <c r="S2" s="107" t="s">
        <v>17</v>
      </c>
    </row>
    <row r="3" spans="1:19" s="106" customFormat="1" ht="14.25">
      <c r="A3" s="100"/>
      <c r="B3" s="100"/>
      <c r="C3" s="110"/>
      <c r="D3" s="110"/>
      <c r="E3" s="100" t="s">
        <v>16</v>
      </c>
      <c r="F3" s="111" t="s">
        <v>15</v>
      </c>
      <c r="G3" s="111" t="s">
        <v>14</v>
      </c>
      <c r="H3" s="111"/>
      <c r="I3" s="111" t="s">
        <v>13</v>
      </c>
      <c r="J3" s="111"/>
      <c r="K3" s="112"/>
      <c r="L3" s="112"/>
      <c r="M3" s="111"/>
      <c r="N3" s="103" t="s">
        <v>99</v>
      </c>
      <c r="O3" s="104" t="s">
        <v>100</v>
      </c>
      <c r="P3" s="104" t="s">
        <v>135</v>
      </c>
      <c r="Q3" s="111" t="s">
        <v>12</v>
      </c>
      <c r="R3" s="113" t="s">
        <v>136</v>
      </c>
      <c r="S3" s="113" t="s">
        <v>137</v>
      </c>
    </row>
    <row r="4" spans="1:18" ht="12.75">
      <c r="A4" s="17"/>
      <c r="B4" s="17"/>
      <c r="C4" s="17"/>
      <c r="D4" s="17"/>
      <c r="E4" s="15"/>
      <c r="F4" s="18"/>
      <c r="G4" s="18"/>
      <c r="H4" s="18"/>
      <c r="I4" s="18"/>
      <c r="J4" s="18"/>
      <c r="K4" s="19"/>
      <c r="L4" s="19"/>
      <c r="M4" s="18"/>
      <c r="N4" s="20"/>
      <c r="O4" s="20"/>
      <c r="P4" s="20"/>
      <c r="Q4" s="18"/>
      <c r="R4" s="18"/>
    </row>
    <row r="5" spans="1:19" ht="12.75">
      <c r="A5" s="10" t="s">
        <v>48</v>
      </c>
      <c r="B5" s="5" t="s">
        <v>49</v>
      </c>
      <c r="C5" s="9">
        <v>39211</v>
      </c>
      <c r="D5" s="3">
        <v>0.5208333333333334</v>
      </c>
      <c r="E5" s="6" t="s">
        <v>5</v>
      </c>
      <c r="F5" s="6">
        <v>0.3</v>
      </c>
      <c r="G5" s="6">
        <v>0.15904</v>
      </c>
      <c r="H5" s="6">
        <v>4</v>
      </c>
      <c r="I5" s="6">
        <f>G5*H5</f>
        <v>0.63616</v>
      </c>
      <c r="J5" s="6">
        <f>((201.062/I5)/F5)</f>
        <v>1053.5190308517776</v>
      </c>
      <c r="K5" s="21" t="s">
        <v>11</v>
      </c>
      <c r="L5" s="11" t="s">
        <v>10</v>
      </c>
      <c r="M5" s="6">
        <v>514</v>
      </c>
      <c r="N5" s="22">
        <f>J5*M5</f>
        <v>541508.7818578137</v>
      </c>
      <c r="O5" s="22">
        <f>N5*1030</f>
        <v>557754045.3135481</v>
      </c>
      <c r="P5" s="22">
        <f>O5/2095</f>
        <v>266231.04788236186</v>
      </c>
      <c r="Q5" s="23">
        <v>1716.4627752184454</v>
      </c>
      <c r="R5" s="22">
        <f>N5*Q5</f>
        <v>929479666.5128226</v>
      </c>
      <c r="S5" s="2">
        <f>P5*Q5</f>
        <v>456975683.29747367</v>
      </c>
    </row>
    <row r="6" spans="1:19" ht="12.75">
      <c r="A6" s="10" t="s">
        <v>48</v>
      </c>
      <c r="B6" s="5" t="s">
        <v>49</v>
      </c>
      <c r="C6" s="9">
        <v>39211</v>
      </c>
      <c r="D6" s="3">
        <v>0.5208333333333334</v>
      </c>
      <c r="E6" s="6" t="s">
        <v>5</v>
      </c>
      <c r="F6" s="6">
        <v>0.3</v>
      </c>
      <c r="G6" s="6">
        <v>0.15904</v>
      </c>
      <c r="H6" s="6">
        <v>4</v>
      </c>
      <c r="I6" s="6">
        <f>G6*H6</f>
        <v>0.63616</v>
      </c>
      <c r="J6" s="6">
        <f>((201.062/I6)/F6)</f>
        <v>1053.5190308517776</v>
      </c>
      <c r="K6" s="21" t="s">
        <v>36</v>
      </c>
      <c r="L6" s="21" t="s">
        <v>8</v>
      </c>
      <c r="M6" s="6">
        <v>13</v>
      </c>
      <c r="N6" s="22">
        <f>J6*M6</f>
        <v>13695.74740107311</v>
      </c>
      <c r="O6" s="22">
        <f>N6*1030</f>
        <v>14106619.823105302</v>
      </c>
      <c r="P6" s="22">
        <f>O6/2095</f>
        <v>6733.470082627829</v>
      </c>
      <c r="Q6" s="23">
        <v>311.01741</v>
      </c>
      <c r="R6" s="22">
        <f>N6*Q6</f>
        <v>4259615.884695989</v>
      </c>
      <c r="S6" s="2">
        <f>P6*Q6</f>
        <v>2094226.4254113932</v>
      </c>
    </row>
    <row r="7" spans="1:19" ht="12.75">
      <c r="A7" s="6"/>
      <c r="B7" s="6"/>
      <c r="C7" s="21"/>
      <c r="D7" s="21"/>
      <c r="E7" s="6"/>
      <c r="F7" s="6"/>
      <c r="G7" s="6"/>
      <c r="H7" s="6"/>
      <c r="I7" s="6"/>
      <c r="J7" s="6"/>
      <c r="K7" s="21" t="s">
        <v>2</v>
      </c>
      <c r="L7" s="21"/>
      <c r="M7" s="6">
        <f>SUM(M5:M6)</f>
        <v>527</v>
      </c>
      <c r="N7" s="22">
        <f>SUM(N5:N6)</f>
        <v>555204.5292588868</v>
      </c>
      <c r="O7" s="22">
        <f>SUM(O5:O6)</f>
        <v>571860665.1366534</v>
      </c>
      <c r="P7" s="22">
        <f>SUM(P5:P6)</f>
        <v>272964.5179649897</v>
      </c>
      <c r="Q7" s="6"/>
      <c r="R7" s="22">
        <f>SUM(R5:R6)</f>
        <v>933739282.3975186</v>
      </c>
      <c r="S7" s="22">
        <f>SUM(S5:S6)</f>
        <v>459069909.7228851</v>
      </c>
    </row>
    <row r="8" ht="12.75">
      <c r="S8" s="1"/>
    </row>
    <row r="9" spans="1:19" s="97" customFormat="1" ht="12.75">
      <c r="A9" s="91" t="s">
        <v>28</v>
      </c>
      <c r="B9" s="92" t="s">
        <v>145</v>
      </c>
      <c r="C9" s="93" t="s">
        <v>26</v>
      </c>
      <c r="D9" s="92" t="s">
        <v>25</v>
      </c>
      <c r="E9" s="94" t="s">
        <v>24</v>
      </c>
      <c r="F9" s="91" t="s">
        <v>24</v>
      </c>
      <c r="G9" s="91" t="s">
        <v>23</v>
      </c>
      <c r="H9" s="91" t="s">
        <v>22</v>
      </c>
      <c r="I9" s="91" t="s">
        <v>14</v>
      </c>
      <c r="J9" s="91" t="s">
        <v>21</v>
      </c>
      <c r="K9" s="95" t="s">
        <v>169</v>
      </c>
      <c r="L9" s="95" t="s">
        <v>20</v>
      </c>
      <c r="M9" s="91" t="s">
        <v>19</v>
      </c>
      <c r="N9" s="96" t="s">
        <v>98</v>
      </c>
      <c r="O9" s="109" t="s">
        <v>98</v>
      </c>
      <c r="P9" s="96" t="s">
        <v>98</v>
      </c>
      <c r="Q9" s="91" t="s">
        <v>18</v>
      </c>
      <c r="R9" s="91" t="s">
        <v>17</v>
      </c>
      <c r="S9" s="107" t="s">
        <v>17</v>
      </c>
    </row>
    <row r="10" spans="1:19" s="106" customFormat="1" ht="14.25">
      <c r="A10" s="98"/>
      <c r="B10" s="98"/>
      <c r="C10" s="99"/>
      <c r="D10" s="99"/>
      <c r="E10" s="100" t="s">
        <v>16</v>
      </c>
      <c r="F10" s="101" t="s">
        <v>15</v>
      </c>
      <c r="G10" s="101" t="s">
        <v>14</v>
      </c>
      <c r="H10" s="101"/>
      <c r="I10" s="101" t="s">
        <v>13</v>
      </c>
      <c r="J10" s="101"/>
      <c r="K10" s="102"/>
      <c r="L10" s="102"/>
      <c r="M10" s="101"/>
      <c r="N10" s="103" t="s">
        <v>99</v>
      </c>
      <c r="O10" s="104" t="s">
        <v>100</v>
      </c>
      <c r="P10" s="104" t="s">
        <v>135</v>
      </c>
      <c r="Q10" s="101" t="s">
        <v>12</v>
      </c>
      <c r="R10" s="105" t="s">
        <v>136</v>
      </c>
      <c r="S10" s="113" t="s">
        <v>137</v>
      </c>
    </row>
    <row r="11" ht="12.75">
      <c r="S11" s="1"/>
    </row>
    <row r="12" spans="1:19" ht="12.75">
      <c r="A12" s="10" t="s">
        <v>48</v>
      </c>
      <c r="B12" s="5" t="s">
        <v>49</v>
      </c>
      <c r="C12" s="9">
        <v>39329</v>
      </c>
      <c r="D12" s="3">
        <v>0.5555555555555556</v>
      </c>
      <c r="E12" s="6" t="s">
        <v>5</v>
      </c>
      <c r="F12" s="6">
        <v>0.3</v>
      </c>
      <c r="G12" s="6">
        <v>0.15904</v>
      </c>
      <c r="H12" s="6">
        <v>5</v>
      </c>
      <c r="I12" s="6">
        <f aca="true" t="shared" si="0" ref="I12:I18">G12*H12</f>
        <v>0.7951999999999999</v>
      </c>
      <c r="J12" s="25">
        <f aca="true" t="shared" si="1" ref="J12:J18">((201.062/I12)/F12)</f>
        <v>842.815224681422</v>
      </c>
      <c r="K12" s="21" t="s">
        <v>11</v>
      </c>
      <c r="L12" s="11" t="s">
        <v>10</v>
      </c>
      <c r="M12" s="6">
        <v>429</v>
      </c>
      <c r="N12" s="22">
        <f aca="true" t="shared" si="2" ref="N12:N18">J12*M12</f>
        <v>361567.73138833005</v>
      </c>
      <c r="O12" s="22">
        <f aca="true" t="shared" si="3" ref="O12:O18">N12*1005</f>
        <v>363375570.0452717</v>
      </c>
      <c r="P12" s="2">
        <f>O12/1170</f>
        <v>310577.410295104</v>
      </c>
      <c r="Q12" s="6">
        <v>817.6769340902727</v>
      </c>
      <c r="R12" s="22">
        <f>N12*Q12</f>
        <v>295645594.06758493</v>
      </c>
      <c r="S12" s="2">
        <f>P12*Q12</f>
        <v>253951984.64779735</v>
      </c>
    </row>
    <row r="13" spans="1:19" ht="12.75">
      <c r="A13" s="10" t="s">
        <v>48</v>
      </c>
      <c r="B13" s="5" t="s">
        <v>49</v>
      </c>
      <c r="C13" s="9">
        <v>39329</v>
      </c>
      <c r="D13" s="3">
        <v>0.5555555555555556</v>
      </c>
      <c r="E13" s="6" t="s">
        <v>5</v>
      </c>
      <c r="F13" s="6">
        <v>0.3</v>
      </c>
      <c r="G13" s="25">
        <v>7.04</v>
      </c>
      <c r="H13" s="6">
        <v>1</v>
      </c>
      <c r="I13" s="6">
        <f t="shared" si="0"/>
        <v>7.04</v>
      </c>
      <c r="J13" s="25">
        <f t="shared" si="1"/>
        <v>95.19981060606062</v>
      </c>
      <c r="K13" s="21" t="s">
        <v>107</v>
      </c>
      <c r="L13" s="21" t="s">
        <v>8</v>
      </c>
      <c r="M13" s="6">
        <v>1</v>
      </c>
      <c r="N13" s="22">
        <f t="shared" si="2"/>
        <v>95.19981060606062</v>
      </c>
      <c r="O13" s="22">
        <f t="shared" si="3"/>
        <v>95675.80965909093</v>
      </c>
      <c r="P13" s="2">
        <f aca="true" t="shared" si="4" ref="P13:P18">O13/1170</f>
        <v>81.7741962898213</v>
      </c>
      <c r="Q13" s="23">
        <v>6031.852800000001</v>
      </c>
      <c r="R13" s="22">
        <f aca="true" t="shared" si="5" ref="R13:R18">N13*Q13</f>
        <v>574231.2441636365</v>
      </c>
      <c r="S13" s="2">
        <f aca="true" t="shared" si="6" ref="S13:S18">P13*Q13</f>
        <v>493249.9148585083</v>
      </c>
    </row>
    <row r="14" spans="1:19" ht="12.75">
      <c r="A14" s="10" t="s">
        <v>48</v>
      </c>
      <c r="B14" s="5" t="s">
        <v>49</v>
      </c>
      <c r="C14" s="9">
        <v>39329</v>
      </c>
      <c r="D14" s="3">
        <v>0.5555555555555556</v>
      </c>
      <c r="E14" s="6" t="s">
        <v>5</v>
      </c>
      <c r="F14" s="6">
        <v>0.3</v>
      </c>
      <c r="G14" s="6">
        <v>0.15904</v>
      </c>
      <c r="H14" s="6">
        <v>5</v>
      </c>
      <c r="I14" s="6">
        <f t="shared" si="0"/>
        <v>0.7951999999999999</v>
      </c>
      <c r="J14" s="25">
        <f t="shared" si="1"/>
        <v>842.815224681422</v>
      </c>
      <c r="K14" s="21" t="s">
        <v>36</v>
      </c>
      <c r="L14" s="21" t="s">
        <v>8</v>
      </c>
      <c r="M14" s="6">
        <v>108</v>
      </c>
      <c r="N14" s="22">
        <f t="shared" si="2"/>
        <v>91024.04426559358</v>
      </c>
      <c r="O14" s="22">
        <f t="shared" si="3"/>
        <v>91479164.48692155</v>
      </c>
      <c r="P14" s="2">
        <f t="shared" si="4"/>
        <v>78187.32007429193</v>
      </c>
      <c r="Q14" s="23">
        <v>197.92016999999998</v>
      </c>
      <c r="R14" s="22">
        <f t="shared" si="5"/>
        <v>18015494.315133803</v>
      </c>
      <c r="S14" s="2">
        <f>P14*Q14</f>
        <v>15474847.68094827</v>
      </c>
    </row>
    <row r="15" spans="1:19" ht="12.75">
      <c r="A15" s="10" t="s">
        <v>48</v>
      </c>
      <c r="B15" s="5" t="s">
        <v>49</v>
      </c>
      <c r="C15" s="9">
        <v>39329</v>
      </c>
      <c r="D15" s="3">
        <v>0.5555555555555556</v>
      </c>
      <c r="E15" s="6" t="s">
        <v>5</v>
      </c>
      <c r="F15" s="6">
        <v>0.3</v>
      </c>
      <c r="G15" s="6">
        <v>0.15904</v>
      </c>
      <c r="H15" s="6">
        <v>5</v>
      </c>
      <c r="I15" s="6">
        <f t="shared" si="0"/>
        <v>0.7951999999999999</v>
      </c>
      <c r="J15" s="25">
        <f t="shared" si="1"/>
        <v>842.815224681422</v>
      </c>
      <c r="K15" s="21" t="s">
        <v>102</v>
      </c>
      <c r="L15" s="21" t="s">
        <v>8</v>
      </c>
      <c r="M15" s="6">
        <v>5</v>
      </c>
      <c r="N15" s="22">
        <f t="shared" si="2"/>
        <v>4214.076123407111</v>
      </c>
      <c r="O15" s="22">
        <f t="shared" si="3"/>
        <v>4235146.504024146</v>
      </c>
      <c r="P15" s="2">
        <f t="shared" si="4"/>
        <v>3619.7833367727744</v>
      </c>
      <c r="Q15" s="23">
        <v>502.65439999999995</v>
      </c>
      <c r="R15" s="22">
        <f t="shared" si="5"/>
        <v>2118223.905365527</v>
      </c>
      <c r="S15" s="2">
        <f t="shared" si="6"/>
        <v>1819500.0212755166</v>
      </c>
    </row>
    <row r="16" spans="1:19" ht="12.75">
      <c r="A16" s="10" t="s">
        <v>48</v>
      </c>
      <c r="B16" s="5" t="s">
        <v>49</v>
      </c>
      <c r="C16" s="9">
        <v>39329</v>
      </c>
      <c r="D16" s="3">
        <v>0.5555555555555556</v>
      </c>
      <c r="E16" s="6" t="s">
        <v>5</v>
      </c>
      <c r="F16" s="6">
        <v>0.3</v>
      </c>
      <c r="G16" s="6">
        <v>0.15904</v>
      </c>
      <c r="H16" s="6">
        <v>5</v>
      </c>
      <c r="I16" s="6">
        <f t="shared" si="0"/>
        <v>0.7951999999999999</v>
      </c>
      <c r="J16" s="25">
        <f t="shared" si="1"/>
        <v>842.815224681422</v>
      </c>
      <c r="K16" s="21" t="s">
        <v>106</v>
      </c>
      <c r="L16" s="21" t="s">
        <v>3</v>
      </c>
      <c r="M16" s="6">
        <v>50</v>
      </c>
      <c r="N16" s="22">
        <f t="shared" si="2"/>
        <v>42140.7612340711</v>
      </c>
      <c r="O16" s="22">
        <f t="shared" si="3"/>
        <v>42351465.04024146</v>
      </c>
      <c r="P16" s="2">
        <f t="shared" si="4"/>
        <v>36197.83336772774</v>
      </c>
      <c r="Q16" s="23">
        <v>4.188786666666666</v>
      </c>
      <c r="R16" s="22">
        <f t="shared" si="5"/>
        <v>176518.65878046054</v>
      </c>
      <c r="S16" s="2">
        <f t="shared" si="6"/>
        <v>151625.00177295972</v>
      </c>
    </row>
    <row r="17" spans="1:19" ht="12.75">
      <c r="A17" s="10" t="s">
        <v>48</v>
      </c>
      <c r="B17" s="5" t="s">
        <v>49</v>
      </c>
      <c r="C17" s="9">
        <v>39329</v>
      </c>
      <c r="D17" s="3">
        <v>0.5555555555555556</v>
      </c>
      <c r="E17" s="6" t="s">
        <v>5</v>
      </c>
      <c r="F17" s="6">
        <v>0.3</v>
      </c>
      <c r="G17" s="6">
        <v>0.15904</v>
      </c>
      <c r="H17" s="6">
        <v>5</v>
      </c>
      <c r="I17" s="6">
        <f t="shared" si="0"/>
        <v>0.7951999999999999</v>
      </c>
      <c r="J17" s="25">
        <f t="shared" si="1"/>
        <v>842.815224681422</v>
      </c>
      <c r="K17" s="21" t="s">
        <v>37</v>
      </c>
      <c r="L17" s="21" t="s">
        <v>3</v>
      </c>
      <c r="M17" s="6">
        <v>182</v>
      </c>
      <c r="N17" s="22">
        <f t="shared" si="2"/>
        <v>153392.3708920188</v>
      </c>
      <c r="O17" s="22">
        <f t="shared" si="3"/>
        <v>154159332.74647892</v>
      </c>
      <c r="P17" s="2">
        <f t="shared" si="4"/>
        <v>131760.113458529</v>
      </c>
      <c r="Q17" s="23">
        <v>1.570795</v>
      </c>
      <c r="R17" s="22">
        <f t="shared" si="5"/>
        <v>240947.96923532867</v>
      </c>
      <c r="S17" s="2">
        <f t="shared" si="6"/>
        <v>206968.12742009005</v>
      </c>
    </row>
    <row r="18" spans="1:19" ht="12.75">
      <c r="A18" s="10" t="s">
        <v>48</v>
      </c>
      <c r="B18" s="5" t="s">
        <v>49</v>
      </c>
      <c r="C18" s="9">
        <v>39329</v>
      </c>
      <c r="D18" s="3">
        <v>0.5555555555555556</v>
      </c>
      <c r="E18" s="6" t="s">
        <v>5</v>
      </c>
      <c r="F18" s="6">
        <v>0.3</v>
      </c>
      <c r="G18" s="6">
        <v>100.53</v>
      </c>
      <c r="H18" s="6">
        <v>1</v>
      </c>
      <c r="I18" s="6">
        <f t="shared" si="0"/>
        <v>100.53</v>
      </c>
      <c r="J18" s="25">
        <f t="shared" si="1"/>
        <v>6.666732981862794</v>
      </c>
      <c r="K18" s="21" t="s">
        <v>104</v>
      </c>
      <c r="L18" s="21" t="s">
        <v>103</v>
      </c>
      <c r="M18" s="6">
        <v>1</v>
      </c>
      <c r="N18" s="22">
        <f t="shared" si="2"/>
        <v>6.666732981862794</v>
      </c>
      <c r="O18" s="22">
        <f t="shared" si="3"/>
        <v>6700.0666467721085</v>
      </c>
      <c r="P18" s="2">
        <f t="shared" si="4"/>
        <v>5.726552689548811</v>
      </c>
      <c r="Q18" s="23">
        <v>14137.154999999999</v>
      </c>
      <c r="R18" s="22">
        <f t="shared" si="5"/>
        <v>94248.6375082065</v>
      </c>
      <c r="S18" s="2">
        <f t="shared" si="6"/>
        <v>80957.16298781842</v>
      </c>
    </row>
    <row r="19" spans="1:19" s="126" customFormat="1" ht="12.75">
      <c r="A19" s="129"/>
      <c r="B19" s="130"/>
      <c r="C19" s="131"/>
      <c r="D19" s="132"/>
      <c r="E19" s="129"/>
      <c r="F19" s="129"/>
      <c r="G19" s="129"/>
      <c r="H19" s="129"/>
      <c r="I19" s="129"/>
      <c r="J19" s="129"/>
      <c r="K19" s="127" t="s">
        <v>2</v>
      </c>
      <c r="L19" s="127"/>
      <c r="M19" s="129">
        <f>SUM(M12:M18)</f>
        <v>776</v>
      </c>
      <c r="N19" s="133">
        <f>SUM(N12:N18)</f>
        <v>652440.8504470086</v>
      </c>
      <c r="O19" s="133">
        <f>SUM(O12:O18)</f>
        <v>655703054.6992437</v>
      </c>
      <c r="P19" s="133">
        <f>SUM(P12:P18)</f>
        <v>560429.9612814048</v>
      </c>
      <c r="Q19" s="129"/>
      <c r="R19" s="133">
        <f>SUM(R12:R18)</f>
        <v>316865258.7977719</v>
      </c>
      <c r="S19" s="133">
        <f>SUM(S12:S18)</f>
        <v>272179132.5570605</v>
      </c>
    </row>
    <row r="26" s="36" customFormat="1" ht="12.75"/>
    <row r="27" spans="1:19" ht="26.25">
      <c r="A27" s="181" t="s">
        <v>0</v>
      </c>
      <c r="B27" s="181"/>
      <c r="C27" s="181"/>
      <c r="D27" s="181"/>
      <c r="E27" s="181"/>
      <c r="F27" s="181"/>
      <c r="G27" s="181"/>
      <c r="H27" s="181"/>
      <c r="I27" s="181"/>
      <c r="J27" s="181"/>
      <c r="K27" s="181"/>
      <c r="L27" s="181"/>
      <c r="M27" s="181"/>
      <c r="N27" s="181"/>
      <c r="O27" s="181"/>
      <c r="P27" s="181"/>
      <c r="Q27" s="181"/>
      <c r="R27" s="181"/>
      <c r="S27" s="181"/>
    </row>
    <row r="28" spans="1:16" s="114" customFormat="1" ht="12.75">
      <c r="A28" s="107" t="s">
        <v>28</v>
      </c>
      <c r="B28" s="92" t="s">
        <v>145</v>
      </c>
      <c r="C28" s="92" t="s">
        <v>26</v>
      </c>
      <c r="D28" s="92" t="s">
        <v>25</v>
      </c>
      <c r="E28" s="94" t="s">
        <v>83</v>
      </c>
      <c r="K28" s="95" t="s">
        <v>169</v>
      </c>
      <c r="L28" s="107" t="s">
        <v>20</v>
      </c>
      <c r="M28" s="107" t="s">
        <v>19</v>
      </c>
      <c r="N28" s="107" t="s">
        <v>18</v>
      </c>
      <c r="O28" s="107" t="s">
        <v>17</v>
      </c>
      <c r="P28" s="178" t="s">
        <v>170</v>
      </c>
    </row>
    <row r="29" spans="1:16" s="116" customFormat="1" ht="14.25">
      <c r="A29" s="117"/>
      <c r="B29" s="110"/>
      <c r="C29" s="110"/>
      <c r="D29" s="110"/>
      <c r="E29" s="100" t="s">
        <v>16</v>
      </c>
      <c r="K29" s="111"/>
      <c r="L29" s="111"/>
      <c r="M29" s="111" t="s">
        <v>82</v>
      </c>
      <c r="N29" s="111" t="s">
        <v>12</v>
      </c>
      <c r="O29" s="113" t="s">
        <v>150</v>
      </c>
      <c r="P29" s="115" t="s">
        <v>171</v>
      </c>
    </row>
    <row r="30" spans="1:15" ht="12.75">
      <c r="A30" s="6"/>
      <c r="B30" s="6"/>
      <c r="C30" s="6"/>
      <c r="D30" s="21"/>
      <c r="E30" s="6"/>
      <c r="K30" s="21"/>
      <c r="L30" s="21"/>
      <c r="M30" s="6"/>
      <c r="N30" s="6"/>
      <c r="O30" s="6"/>
    </row>
    <row r="31" spans="1:16" ht="12.75">
      <c r="A31" s="10" t="s">
        <v>48</v>
      </c>
      <c r="B31" s="5" t="s">
        <v>49</v>
      </c>
      <c r="C31" s="9">
        <v>39211</v>
      </c>
      <c r="D31" s="3">
        <v>0.5208333333333334</v>
      </c>
      <c r="E31" s="6" t="s">
        <v>5</v>
      </c>
      <c r="K31" s="21" t="s">
        <v>81</v>
      </c>
      <c r="L31" s="11" t="s">
        <v>10</v>
      </c>
      <c r="M31" s="6">
        <v>10</v>
      </c>
      <c r="N31" s="23">
        <v>13.343030861111108</v>
      </c>
      <c r="O31" s="23">
        <f aca="true" t="shared" si="7" ref="O31:O52">N31*M31</f>
        <v>133.4303086111111</v>
      </c>
      <c r="P31" s="146">
        <f>O31/$O$53*100</f>
        <v>0.017047286438490947</v>
      </c>
    </row>
    <row r="32" spans="1:16" ht="12.75">
      <c r="A32" s="10" t="s">
        <v>48</v>
      </c>
      <c r="B32" s="5" t="s">
        <v>49</v>
      </c>
      <c r="C32" s="9">
        <v>39211</v>
      </c>
      <c r="D32" s="3">
        <v>0.5208333333333334</v>
      </c>
      <c r="E32" s="6" t="s">
        <v>5</v>
      </c>
      <c r="K32" s="21" t="s">
        <v>80</v>
      </c>
      <c r="L32" s="11" t="s">
        <v>10</v>
      </c>
      <c r="M32" s="6">
        <v>182</v>
      </c>
      <c r="N32" s="23">
        <v>412.3336875</v>
      </c>
      <c r="O32" s="23">
        <f t="shared" si="7"/>
        <v>75044.731125</v>
      </c>
      <c r="P32" s="146">
        <f aca="true" t="shared" si="8" ref="P32:P52">O32/$O$53*100</f>
        <v>9.58784432490536</v>
      </c>
    </row>
    <row r="33" spans="1:16" s="155" customFormat="1" ht="12.75">
      <c r="A33" s="151" t="s">
        <v>48</v>
      </c>
      <c r="B33" s="152" t="s">
        <v>49</v>
      </c>
      <c r="C33" s="153">
        <v>39211</v>
      </c>
      <c r="D33" s="154">
        <v>0.5208333333333334</v>
      </c>
      <c r="E33" s="148" t="s">
        <v>5</v>
      </c>
      <c r="K33" s="147" t="s">
        <v>79</v>
      </c>
      <c r="L33" s="147" t="s">
        <v>10</v>
      </c>
      <c r="M33" s="148">
        <v>9</v>
      </c>
      <c r="N33" s="149">
        <v>68722.28125</v>
      </c>
      <c r="O33" s="149">
        <f t="shared" si="7"/>
        <v>618500.53125</v>
      </c>
      <c r="P33" s="150">
        <f t="shared" si="8"/>
        <v>79.02069498548373</v>
      </c>
    </row>
    <row r="34" spans="1:16" ht="12.75">
      <c r="A34" s="10" t="s">
        <v>48</v>
      </c>
      <c r="B34" s="5" t="s">
        <v>49</v>
      </c>
      <c r="C34" s="9">
        <v>39211</v>
      </c>
      <c r="D34" s="3">
        <v>0.5208333333333334</v>
      </c>
      <c r="E34" s="6" t="s">
        <v>5</v>
      </c>
      <c r="K34" s="21" t="s">
        <v>78</v>
      </c>
      <c r="L34" s="11" t="s">
        <v>10</v>
      </c>
      <c r="M34" s="6">
        <v>3</v>
      </c>
      <c r="N34" s="23">
        <v>411.61810311111105</v>
      </c>
      <c r="O34" s="23">
        <f t="shared" si="7"/>
        <v>1234.8543093333333</v>
      </c>
      <c r="P34" s="146">
        <f t="shared" si="8"/>
        <v>0.15776711708255223</v>
      </c>
    </row>
    <row r="35" spans="1:16" ht="12.75">
      <c r="A35" s="10" t="s">
        <v>48</v>
      </c>
      <c r="B35" s="5" t="s">
        <v>49</v>
      </c>
      <c r="C35" s="9">
        <v>39211</v>
      </c>
      <c r="D35" s="3">
        <v>0.5208333333333334</v>
      </c>
      <c r="E35" s="6" t="s">
        <v>5</v>
      </c>
      <c r="K35" s="21" t="s">
        <v>75</v>
      </c>
      <c r="L35" s="11" t="s">
        <v>10</v>
      </c>
      <c r="M35" s="6">
        <v>97</v>
      </c>
      <c r="N35" s="23">
        <v>65.97339</v>
      </c>
      <c r="O35" s="23">
        <f t="shared" si="7"/>
        <v>6399.41883</v>
      </c>
      <c r="P35" s="146">
        <f t="shared" si="8"/>
        <v>0.8176007907831382</v>
      </c>
    </row>
    <row r="36" spans="1:16" ht="12.75">
      <c r="A36" s="10" t="s">
        <v>48</v>
      </c>
      <c r="B36" s="5" t="s">
        <v>49</v>
      </c>
      <c r="C36" s="9">
        <v>39211</v>
      </c>
      <c r="D36" s="3">
        <v>0.5208333333333334</v>
      </c>
      <c r="E36" s="6" t="s">
        <v>5</v>
      </c>
      <c r="K36" s="21" t="s">
        <v>74</v>
      </c>
      <c r="L36" s="11" t="s">
        <v>10</v>
      </c>
      <c r="M36" s="6">
        <v>28</v>
      </c>
      <c r="N36" s="23">
        <v>56.54861999999999</v>
      </c>
      <c r="O36" s="23">
        <f t="shared" si="7"/>
        <v>1583.3613599999999</v>
      </c>
      <c r="P36" s="146">
        <f t="shared" si="8"/>
        <v>0.2022929791628383</v>
      </c>
    </row>
    <row r="37" spans="1:16" ht="12.75">
      <c r="A37" s="10" t="s">
        <v>48</v>
      </c>
      <c r="B37" s="5" t="s">
        <v>49</v>
      </c>
      <c r="C37" s="9">
        <v>39211</v>
      </c>
      <c r="D37" s="3">
        <v>0.5208333333333334</v>
      </c>
      <c r="E37" s="6" t="s">
        <v>5</v>
      </c>
      <c r="K37" s="21" t="s">
        <v>73</v>
      </c>
      <c r="L37" s="11" t="s">
        <v>10</v>
      </c>
      <c r="M37" s="6">
        <v>15</v>
      </c>
      <c r="N37" s="23">
        <v>490.8734375</v>
      </c>
      <c r="O37" s="23">
        <f t="shared" si="7"/>
        <v>7363.1015625</v>
      </c>
      <c r="P37" s="146">
        <f t="shared" si="8"/>
        <v>0.9407225593509969</v>
      </c>
    </row>
    <row r="38" spans="1:16" ht="12.75">
      <c r="A38" s="10" t="s">
        <v>48</v>
      </c>
      <c r="B38" s="5" t="s">
        <v>49</v>
      </c>
      <c r="C38" s="9">
        <v>39211</v>
      </c>
      <c r="D38" s="3">
        <v>0.5208333333333334</v>
      </c>
      <c r="E38" s="6" t="s">
        <v>5</v>
      </c>
      <c r="K38" t="s">
        <v>94</v>
      </c>
      <c r="L38" s="11" t="s">
        <v>10</v>
      </c>
      <c r="M38" s="6">
        <v>3</v>
      </c>
      <c r="N38" s="23">
        <v>706.85775</v>
      </c>
      <c r="O38" s="23">
        <f t="shared" si="7"/>
        <v>2120.57325</v>
      </c>
      <c r="P38" s="146">
        <f t="shared" si="8"/>
        <v>0.2709280970930871</v>
      </c>
    </row>
    <row r="39" spans="1:16" ht="12.75">
      <c r="A39" s="10" t="s">
        <v>48</v>
      </c>
      <c r="B39" s="5" t="s">
        <v>49</v>
      </c>
      <c r="C39" s="9">
        <v>39211</v>
      </c>
      <c r="D39" s="3">
        <v>0.5208333333333334</v>
      </c>
      <c r="E39" s="6" t="s">
        <v>5</v>
      </c>
      <c r="K39" s="21" t="s">
        <v>72</v>
      </c>
      <c r="L39" s="11" t="s">
        <v>10</v>
      </c>
      <c r="M39" s="6">
        <v>4</v>
      </c>
      <c r="N39" s="23">
        <v>2167.6971</v>
      </c>
      <c r="O39" s="23">
        <f t="shared" si="7"/>
        <v>8670.7884</v>
      </c>
      <c r="P39" s="146">
        <f t="shared" si="8"/>
        <v>1.1077948858917337</v>
      </c>
    </row>
    <row r="40" spans="1:16" ht="12.75">
      <c r="A40" s="10" t="s">
        <v>48</v>
      </c>
      <c r="B40" s="5" t="s">
        <v>49</v>
      </c>
      <c r="C40" s="9">
        <v>39211</v>
      </c>
      <c r="D40" s="3">
        <v>0.5208333333333334</v>
      </c>
      <c r="E40" s="6" t="s">
        <v>5</v>
      </c>
      <c r="K40" s="21" t="s">
        <v>70</v>
      </c>
      <c r="L40" s="11" t="s">
        <v>10</v>
      </c>
      <c r="M40" s="6">
        <v>4</v>
      </c>
      <c r="N40" s="23">
        <v>141.37154999999996</v>
      </c>
      <c r="O40" s="23">
        <f t="shared" si="7"/>
        <v>565.4861999999998</v>
      </c>
      <c r="P40" s="146">
        <f t="shared" si="8"/>
        <v>0.07224749255815653</v>
      </c>
    </row>
    <row r="41" spans="1:16" ht="12.75">
      <c r="A41" s="10" t="s">
        <v>48</v>
      </c>
      <c r="B41" s="5" t="s">
        <v>49</v>
      </c>
      <c r="C41" s="9">
        <v>39211</v>
      </c>
      <c r="D41" s="3">
        <v>0.5208333333333334</v>
      </c>
      <c r="E41" s="6" t="s">
        <v>5</v>
      </c>
      <c r="K41" s="21" t="s">
        <v>69</v>
      </c>
      <c r="L41" s="11" t="s">
        <v>10</v>
      </c>
      <c r="M41" s="6">
        <v>43</v>
      </c>
      <c r="N41" s="23">
        <v>138.22996</v>
      </c>
      <c r="O41" s="23">
        <f t="shared" si="7"/>
        <v>5943.88828</v>
      </c>
      <c r="P41" s="146">
        <f t="shared" si="8"/>
        <v>0.7594014217779567</v>
      </c>
    </row>
    <row r="42" spans="1:16" ht="12.75">
      <c r="A42" s="10" t="s">
        <v>48</v>
      </c>
      <c r="B42" s="5" t="s">
        <v>49</v>
      </c>
      <c r="C42" s="9">
        <v>39211</v>
      </c>
      <c r="D42" s="3">
        <v>0.5208333333333334</v>
      </c>
      <c r="E42" s="6" t="s">
        <v>5</v>
      </c>
      <c r="K42" s="21" t="s">
        <v>68</v>
      </c>
      <c r="L42" s="11" t="s">
        <v>10</v>
      </c>
      <c r="M42" s="6">
        <v>13</v>
      </c>
      <c r="N42" s="23">
        <v>301.59263999999996</v>
      </c>
      <c r="O42" s="23">
        <f t="shared" si="7"/>
        <v>3920.7043199999994</v>
      </c>
      <c r="P42" s="146">
        <f t="shared" si="8"/>
        <v>0.5009159484032186</v>
      </c>
    </row>
    <row r="43" spans="1:16" ht="12.75">
      <c r="A43" s="10" t="s">
        <v>48</v>
      </c>
      <c r="B43" s="5" t="s">
        <v>49</v>
      </c>
      <c r="C43" s="9">
        <v>39211</v>
      </c>
      <c r="D43" s="3">
        <v>0.5208333333333334</v>
      </c>
      <c r="E43" s="6" t="s">
        <v>5</v>
      </c>
      <c r="K43" s="21" t="s">
        <v>95</v>
      </c>
      <c r="L43" s="11" t="s">
        <v>10</v>
      </c>
      <c r="M43" s="6">
        <v>1</v>
      </c>
      <c r="N43" s="23">
        <v>1755.9796200000003</v>
      </c>
      <c r="O43" s="23">
        <f t="shared" si="7"/>
        <v>1755.9796200000003</v>
      </c>
      <c r="P43" s="146">
        <f t="shared" si="8"/>
        <v>0.22434698588263444</v>
      </c>
    </row>
    <row r="44" spans="1:16" ht="12.75">
      <c r="A44" s="10" t="s">
        <v>48</v>
      </c>
      <c r="B44" s="5" t="s">
        <v>49</v>
      </c>
      <c r="C44" s="9">
        <v>39211</v>
      </c>
      <c r="D44" s="3">
        <v>0.5208333333333334</v>
      </c>
      <c r="E44" s="6" t="s">
        <v>5</v>
      </c>
      <c r="K44" s="21" t="s">
        <v>67</v>
      </c>
      <c r="L44" s="11" t="s">
        <v>10</v>
      </c>
      <c r="M44" s="6">
        <v>1</v>
      </c>
      <c r="N44" s="23">
        <v>5466.991041666665</v>
      </c>
      <c r="O44" s="23">
        <f t="shared" si="7"/>
        <v>5466.991041666665</v>
      </c>
      <c r="P44" s="146">
        <f t="shared" si="8"/>
        <v>0.6984722078068766</v>
      </c>
    </row>
    <row r="45" spans="1:16" ht="12.75">
      <c r="A45" s="10" t="s">
        <v>48</v>
      </c>
      <c r="B45" s="5" t="s">
        <v>49</v>
      </c>
      <c r="C45" s="9">
        <v>39211</v>
      </c>
      <c r="D45" s="3">
        <v>0.5208333333333334</v>
      </c>
      <c r="E45" s="6" t="s">
        <v>5</v>
      </c>
      <c r="K45" s="21" t="s">
        <v>65</v>
      </c>
      <c r="L45" s="11" t="s">
        <v>10</v>
      </c>
      <c r="M45" s="6">
        <v>3</v>
      </c>
      <c r="N45" s="23">
        <v>122.52201</v>
      </c>
      <c r="O45" s="23">
        <f t="shared" si="7"/>
        <v>367.56602999999996</v>
      </c>
      <c r="P45" s="146">
        <f t="shared" si="8"/>
        <v>0.04696087016280175</v>
      </c>
    </row>
    <row r="46" spans="1:16" ht="12.75">
      <c r="A46" s="10" t="s">
        <v>48</v>
      </c>
      <c r="B46" s="5" t="s">
        <v>49</v>
      </c>
      <c r="C46" s="9">
        <v>39211</v>
      </c>
      <c r="D46" s="3">
        <v>0.5208333333333334</v>
      </c>
      <c r="E46" s="6" t="s">
        <v>5</v>
      </c>
      <c r="K46" s="21" t="s">
        <v>63</v>
      </c>
      <c r="L46" s="11" t="s">
        <v>10</v>
      </c>
      <c r="M46" s="6">
        <v>13</v>
      </c>
      <c r="N46" s="23">
        <v>530.1433125</v>
      </c>
      <c r="O46" s="23">
        <f t="shared" si="7"/>
        <v>6891.8630625</v>
      </c>
      <c r="P46" s="146">
        <f t="shared" si="8"/>
        <v>0.880516315552533</v>
      </c>
    </row>
    <row r="47" spans="1:16" ht="12.75">
      <c r="A47" s="10" t="s">
        <v>48</v>
      </c>
      <c r="B47" s="5" t="s">
        <v>49</v>
      </c>
      <c r="C47" s="9">
        <v>39211</v>
      </c>
      <c r="D47" s="3">
        <v>0.5208333333333334</v>
      </c>
      <c r="E47" s="6" t="s">
        <v>5</v>
      </c>
      <c r="K47" s="21" t="s">
        <v>62</v>
      </c>
      <c r="L47" s="11" t="s">
        <v>10</v>
      </c>
      <c r="M47" s="6">
        <v>8</v>
      </c>
      <c r="N47" s="23">
        <v>207.34494</v>
      </c>
      <c r="O47" s="23">
        <f t="shared" si="7"/>
        <v>1658.75952</v>
      </c>
      <c r="P47" s="146">
        <f t="shared" si="8"/>
        <v>0.21192597817059258</v>
      </c>
    </row>
    <row r="48" spans="1:16" ht="12.75">
      <c r="A48" s="10" t="s">
        <v>48</v>
      </c>
      <c r="B48" s="5" t="s">
        <v>49</v>
      </c>
      <c r="C48" s="9">
        <v>39211</v>
      </c>
      <c r="D48" s="3">
        <v>0.5208333333333334</v>
      </c>
      <c r="E48" s="6" t="s">
        <v>5</v>
      </c>
      <c r="K48" s="21" t="s">
        <v>61</v>
      </c>
      <c r="L48" s="11" t="s">
        <v>10</v>
      </c>
      <c r="M48" s="6">
        <v>6</v>
      </c>
      <c r="N48" s="23">
        <v>414.68988</v>
      </c>
      <c r="O48" s="23">
        <f t="shared" si="7"/>
        <v>2488.1392800000003</v>
      </c>
      <c r="P48" s="146">
        <f t="shared" si="8"/>
        <v>0.3178889672558889</v>
      </c>
    </row>
    <row r="49" spans="1:16" ht="12.75">
      <c r="A49" s="10" t="s">
        <v>48</v>
      </c>
      <c r="B49" s="5" t="s">
        <v>49</v>
      </c>
      <c r="C49" s="9">
        <v>39211</v>
      </c>
      <c r="D49" s="3">
        <v>0.5208333333333334</v>
      </c>
      <c r="E49" s="6" t="s">
        <v>5</v>
      </c>
      <c r="K49" s="21" t="s">
        <v>57</v>
      </c>
      <c r="L49" s="11" t="s">
        <v>10</v>
      </c>
      <c r="M49" s="6">
        <v>4</v>
      </c>
      <c r="N49" s="23">
        <v>322.5</v>
      </c>
      <c r="O49" s="23">
        <f t="shared" si="7"/>
        <v>1290</v>
      </c>
      <c r="P49" s="146">
        <f t="shared" si="8"/>
        <v>0.16481262566623545</v>
      </c>
    </row>
    <row r="50" spans="1:16" ht="12.75">
      <c r="A50" s="10" t="s">
        <v>48</v>
      </c>
      <c r="B50" s="5" t="s">
        <v>49</v>
      </c>
      <c r="C50" s="9">
        <v>39211</v>
      </c>
      <c r="D50" s="3">
        <v>0.5208333333333334</v>
      </c>
      <c r="E50" s="6" t="s">
        <v>5</v>
      </c>
      <c r="K50" s="21" t="s">
        <v>56</v>
      </c>
      <c r="L50" s="11" t="s">
        <v>10</v>
      </c>
      <c r="M50" s="6">
        <v>4</v>
      </c>
      <c r="N50" s="23">
        <v>450</v>
      </c>
      <c r="O50" s="23">
        <f t="shared" si="7"/>
        <v>1800</v>
      </c>
      <c r="P50" s="146">
        <f t="shared" si="8"/>
        <v>0.22997110558079367</v>
      </c>
    </row>
    <row r="51" spans="1:16" ht="12.75">
      <c r="A51" s="10" t="s">
        <v>48</v>
      </c>
      <c r="B51" s="5" t="s">
        <v>49</v>
      </c>
      <c r="C51" s="9">
        <v>39211</v>
      </c>
      <c r="D51" s="3">
        <v>0.5208333333333334</v>
      </c>
      <c r="E51" s="6" t="s">
        <v>5</v>
      </c>
      <c r="K51" s="21" t="s">
        <v>55</v>
      </c>
      <c r="L51" s="11" t="s">
        <v>10</v>
      </c>
      <c r="M51" s="6">
        <v>2</v>
      </c>
      <c r="N51" s="23">
        <v>353.42887499999995</v>
      </c>
      <c r="O51" s="23">
        <f t="shared" si="7"/>
        <v>706.8577499999999</v>
      </c>
      <c r="P51" s="146">
        <f t="shared" si="8"/>
        <v>0.09030936569769568</v>
      </c>
    </row>
    <row r="52" spans="1:16" ht="12.75">
      <c r="A52" s="10" t="s">
        <v>48</v>
      </c>
      <c r="B52" s="5" t="s">
        <v>49</v>
      </c>
      <c r="C52" s="9">
        <v>39211</v>
      </c>
      <c r="D52" s="3">
        <v>0.5208333333333334</v>
      </c>
      <c r="E52" s="6" t="s">
        <v>5</v>
      </c>
      <c r="K52" s="21" t="s">
        <v>54</v>
      </c>
      <c r="L52" s="11" t="s">
        <v>10</v>
      </c>
      <c r="M52" s="6">
        <v>3</v>
      </c>
      <c r="N52" s="23">
        <v>9600</v>
      </c>
      <c r="O52" s="23">
        <f t="shared" si="7"/>
        <v>28800</v>
      </c>
      <c r="P52" s="146">
        <f t="shared" si="8"/>
        <v>3.6795376892926988</v>
      </c>
    </row>
    <row r="53" spans="1:15" ht="12.75">
      <c r="A53" s="6"/>
      <c r="B53" s="6"/>
      <c r="C53" s="6"/>
      <c r="D53" s="21"/>
      <c r="E53" s="6"/>
      <c r="K53" s="21" t="s">
        <v>2</v>
      </c>
      <c r="L53" s="11"/>
      <c r="M53" s="6">
        <f>SUM(M31:M52)</f>
        <v>456</v>
      </c>
      <c r="N53" s="23"/>
      <c r="O53" s="23">
        <f>SUM(O31:O52)</f>
        <v>782707.025499611</v>
      </c>
    </row>
    <row r="54" spans="1:15" s="126" customFormat="1" ht="12.75">
      <c r="A54" s="129"/>
      <c r="B54" s="129"/>
      <c r="C54" s="129"/>
      <c r="D54" s="127"/>
      <c r="E54" s="129"/>
      <c r="K54" s="127" t="s">
        <v>53</v>
      </c>
      <c r="L54" s="127">
        <f>O53/M53</f>
        <v>1716.4627752184454</v>
      </c>
      <c r="M54" s="129"/>
      <c r="N54" s="129"/>
      <c r="O54" s="138"/>
    </row>
    <row r="56" spans="1:16" s="42" customFormat="1" ht="12.75">
      <c r="A56" s="91" t="s">
        <v>28</v>
      </c>
      <c r="B56" s="92" t="s">
        <v>145</v>
      </c>
      <c r="C56" s="93" t="s">
        <v>26</v>
      </c>
      <c r="D56" s="93" t="s">
        <v>25</v>
      </c>
      <c r="E56" s="94" t="s">
        <v>83</v>
      </c>
      <c r="F56" s="97"/>
      <c r="G56" s="97"/>
      <c r="H56" s="97"/>
      <c r="I56" s="97"/>
      <c r="J56" s="97"/>
      <c r="K56" s="95" t="s">
        <v>169</v>
      </c>
      <c r="L56" s="95" t="s">
        <v>20</v>
      </c>
      <c r="M56" s="91" t="s">
        <v>19</v>
      </c>
      <c r="N56" s="91" t="s">
        <v>18</v>
      </c>
      <c r="O56" s="91" t="s">
        <v>17</v>
      </c>
      <c r="P56" s="178" t="s">
        <v>170</v>
      </c>
    </row>
    <row r="57" spans="1:16" s="42" customFormat="1" ht="14.25">
      <c r="A57" s="115"/>
      <c r="B57" s="99"/>
      <c r="C57" s="99"/>
      <c r="D57" s="99"/>
      <c r="E57" s="100" t="s">
        <v>16</v>
      </c>
      <c r="F57" s="106"/>
      <c r="G57" s="106"/>
      <c r="H57" s="106"/>
      <c r="I57" s="106"/>
      <c r="J57" s="106"/>
      <c r="K57" s="102"/>
      <c r="L57" s="102"/>
      <c r="M57" s="101" t="s">
        <v>82</v>
      </c>
      <c r="N57" s="101" t="s">
        <v>12</v>
      </c>
      <c r="O57" s="113" t="s">
        <v>150</v>
      </c>
      <c r="P57" s="115" t="s">
        <v>171</v>
      </c>
    </row>
    <row r="59" spans="1:16" ht="12.75">
      <c r="A59" s="10" t="s">
        <v>48</v>
      </c>
      <c r="B59" s="9" t="s">
        <v>105</v>
      </c>
      <c r="C59" s="9">
        <v>39329</v>
      </c>
      <c r="D59" s="3">
        <v>0.5555555555555556</v>
      </c>
      <c r="E59" s="6" t="s">
        <v>5</v>
      </c>
      <c r="K59" s="21" t="s">
        <v>118</v>
      </c>
      <c r="L59" s="11" t="s">
        <v>10</v>
      </c>
      <c r="M59" s="6">
        <v>66</v>
      </c>
      <c r="N59" s="23">
        <v>16.52607239583333</v>
      </c>
      <c r="O59" s="23">
        <f aca="true" t="shared" si="9" ref="O59:O86">N59*M59</f>
        <v>1090.720778125</v>
      </c>
      <c r="P59" s="146">
        <f>O59/$O$87*100</f>
        <v>0.3123949211370914</v>
      </c>
    </row>
    <row r="60" spans="1:16" ht="12.75">
      <c r="A60" s="10" t="s">
        <v>48</v>
      </c>
      <c r="B60" s="9" t="s">
        <v>105</v>
      </c>
      <c r="C60" s="9">
        <v>39329</v>
      </c>
      <c r="D60" s="3">
        <v>0.5555555555555556</v>
      </c>
      <c r="E60" s="6" t="s">
        <v>5</v>
      </c>
      <c r="K60" s="21" t="s">
        <v>80</v>
      </c>
      <c r="L60" s="11" t="s">
        <v>10</v>
      </c>
      <c r="M60" s="6">
        <v>38</v>
      </c>
      <c r="N60" s="23">
        <v>412.3336875</v>
      </c>
      <c r="O60" s="23">
        <f t="shared" si="9"/>
        <v>15668.680124999999</v>
      </c>
      <c r="P60" s="146">
        <f aca="true" t="shared" si="10" ref="P60:P86">O60/$O$87*100</f>
        <v>4.4876894161547956</v>
      </c>
    </row>
    <row r="61" spans="1:16" s="155" customFormat="1" ht="12.75">
      <c r="A61" s="151" t="s">
        <v>48</v>
      </c>
      <c r="B61" s="153" t="s">
        <v>105</v>
      </c>
      <c r="C61" s="153">
        <v>39329</v>
      </c>
      <c r="D61" s="154">
        <v>0.5555555555555556</v>
      </c>
      <c r="E61" s="148" t="s">
        <v>5</v>
      </c>
      <c r="K61" s="147" t="s">
        <v>79</v>
      </c>
      <c r="L61" s="147" t="s">
        <v>10</v>
      </c>
      <c r="M61" s="148">
        <v>4</v>
      </c>
      <c r="N61" s="149">
        <v>68722.28125</v>
      </c>
      <c r="O61" s="149">
        <f t="shared" si="9"/>
        <v>274889.125</v>
      </c>
      <c r="P61" s="150">
        <f t="shared" si="10"/>
        <v>78.73139326587362</v>
      </c>
    </row>
    <row r="62" spans="1:16" ht="12.75">
      <c r="A62" s="10" t="s">
        <v>48</v>
      </c>
      <c r="B62" s="9" t="s">
        <v>105</v>
      </c>
      <c r="C62" s="9">
        <v>39329</v>
      </c>
      <c r="D62" s="3">
        <v>0.5555555555555556</v>
      </c>
      <c r="E62" s="6" t="s">
        <v>5</v>
      </c>
      <c r="K62" s="21" t="s">
        <v>117</v>
      </c>
      <c r="L62" s="11" t="s">
        <v>10</v>
      </c>
      <c r="M62" s="6">
        <v>29</v>
      </c>
      <c r="N62" s="23">
        <v>56.54861999999999</v>
      </c>
      <c r="O62" s="23">
        <f t="shared" si="9"/>
        <v>1639.9099799999997</v>
      </c>
      <c r="P62" s="146">
        <f t="shared" si="10"/>
        <v>0.4696889975404117</v>
      </c>
    </row>
    <row r="63" spans="1:16" ht="12.75">
      <c r="A63" s="10" t="s">
        <v>48</v>
      </c>
      <c r="B63" s="9" t="s">
        <v>105</v>
      </c>
      <c r="C63" s="9">
        <v>39329</v>
      </c>
      <c r="D63" s="3">
        <v>0.5555555555555556</v>
      </c>
      <c r="E63" s="6" t="s">
        <v>5</v>
      </c>
      <c r="K63" s="21" t="s">
        <v>78</v>
      </c>
      <c r="L63" s="11" t="s">
        <v>10</v>
      </c>
      <c r="M63" s="6">
        <v>1</v>
      </c>
      <c r="N63" s="23">
        <v>169.54951790666664</v>
      </c>
      <c r="O63" s="23">
        <f t="shared" si="9"/>
        <v>169.54951790666664</v>
      </c>
      <c r="P63" s="146">
        <f t="shared" si="10"/>
        <v>0.04856092350815643</v>
      </c>
    </row>
    <row r="64" spans="1:16" ht="12.75">
      <c r="A64" s="10" t="s">
        <v>48</v>
      </c>
      <c r="B64" s="9" t="s">
        <v>105</v>
      </c>
      <c r="C64" s="9">
        <v>39329</v>
      </c>
      <c r="D64" s="3">
        <v>0.5555555555555556</v>
      </c>
      <c r="E64" s="6" t="s">
        <v>5</v>
      </c>
      <c r="K64" s="21" t="s">
        <v>90</v>
      </c>
      <c r="L64" s="11" t="s">
        <v>10</v>
      </c>
      <c r="M64" s="6">
        <v>4</v>
      </c>
      <c r="N64" s="23">
        <v>721.402148148148</v>
      </c>
      <c r="O64" s="23">
        <f t="shared" si="9"/>
        <v>2885.608592592592</v>
      </c>
      <c r="P64" s="146">
        <f t="shared" si="10"/>
        <v>0.8264713451825038</v>
      </c>
    </row>
    <row r="65" spans="1:16" ht="12.75">
      <c r="A65" s="10" t="s">
        <v>48</v>
      </c>
      <c r="B65" s="9" t="s">
        <v>105</v>
      </c>
      <c r="C65" s="9">
        <v>39329</v>
      </c>
      <c r="D65" s="3">
        <v>0.5555555555555556</v>
      </c>
      <c r="E65" s="6" t="s">
        <v>5</v>
      </c>
      <c r="K65" s="21" t="s">
        <v>119</v>
      </c>
      <c r="L65" s="11" t="s">
        <v>10</v>
      </c>
      <c r="M65" s="6">
        <v>2</v>
      </c>
      <c r="N65" s="23">
        <v>2340.805690311111</v>
      </c>
      <c r="O65" s="23">
        <f t="shared" si="9"/>
        <v>4681.611380622222</v>
      </c>
      <c r="P65" s="146">
        <f t="shared" si="10"/>
        <v>1.3408671104240943</v>
      </c>
    </row>
    <row r="66" spans="1:16" ht="12.75">
      <c r="A66" s="10" t="s">
        <v>48</v>
      </c>
      <c r="B66" s="9" t="s">
        <v>105</v>
      </c>
      <c r="C66" s="9">
        <v>39329</v>
      </c>
      <c r="D66" s="3">
        <v>0.5555555555555556</v>
      </c>
      <c r="E66" s="6" t="s">
        <v>5</v>
      </c>
      <c r="K66" s="21" t="s">
        <v>77</v>
      </c>
      <c r="L66" s="11" t="s">
        <v>10</v>
      </c>
      <c r="M66" s="6">
        <v>7</v>
      </c>
      <c r="N66" s="23">
        <v>160.09542639999998</v>
      </c>
      <c r="O66" s="23">
        <f t="shared" si="9"/>
        <v>1120.6679847999999</v>
      </c>
      <c r="P66" s="146">
        <f t="shared" si="10"/>
        <v>0.3209721440663135</v>
      </c>
    </row>
    <row r="67" spans="1:16" ht="12.75">
      <c r="A67" s="10" t="s">
        <v>48</v>
      </c>
      <c r="B67" s="9" t="s">
        <v>105</v>
      </c>
      <c r="C67" s="9">
        <v>39329</v>
      </c>
      <c r="D67" s="3">
        <v>0.5555555555555556</v>
      </c>
      <c r="E67" s="6" t="s">
        <v>5</v>
      </c>
      <c r="K67" s="21" t="s">
        <v>75</v>
      </c>
      <c r="L67" s="11" t="s">
        <v>10</v>
      </c>
      <c r="M67" s="6">
        <v>87</v>
      </c>
      <c r="N67" s="23">
        <v>65.97339</v>
      </c>
      <c r="O67" s="23">
        <f t="shared" si="9"/>
        <v>5739.684929999999</v>
      </c>
      <c r="P67" s="146">
        <f t="shared" si="10"/>
        <v>1.643911491391441</v>
      </c>
    </row>
    <row r="68" spans="1:16" ht="12.75">
      <c r="A68" s="10" t="s">
        <v>48</v>
      </c>
      <c r="B68" s="9" t="s">
        <v>105</v>
      </c>
      <c r="C68" s="9">
        <v>39329</v>
      </c>
      <c r="D68" s="3">
        <v>0.5555555555555556</v>
      </c>
      <c r="E68" s="6" t="s">
        <v>5</v>
      </c>
      <c r="K68" s="21" t="s">
        <v>74</v>
      </c>
      <c r="L68" s="11" t="s">
        <v>10</v>
      </c>
      <c r="M68" s="6">
        <v>110</v>
      </c>
      <c r="N68" s="23">
        <v>70.685775</v>
      </c>
      <c r="O68" s="23">
        <f t="shared" si="9"/>
        <v>7775.43525</v>
      </c>
      <c r="P68" s="146">
        <f t="shared" si="10"/>
        <v>2.226973695234711</v>
      </c>
    </row>
    <row r="69" spans="1:16" ht="12.75">
      <c r="A69" s="10" t="s">
        <v>48</v>
      </c>
      <c r="B69" s="9" t="s">
        <v>105</v>
      </c>
      <c r="C69" s="9">
        <v>39329</v>
      </c>
      <c r="D69" s="3">
        <v>0.5555555555555556</v>
      </c>
      <c r="E69" s="6" t="s">
        <v>5</v>
      </c>
      <c r="K69" s="21" t="s">
        <v>94</v>
      </c>
      <c r="L69" s="11" t="s">
        <v>10</v>
      </c>
      <c r="M69" s="6">
        <v>5</v>
      </c>
      <c r="N69" s="23">
        <v>1272.34395</v>
      </c>
      <c r="O69" s="23">
        <f t="shared" si="9"/>
        <v>6361.71975</v>
      </c>
      <c r="P69" s="146">
        <f t="shared" si="10"/>
        <v>1.822069387010218</v>
      </c>
    </row>
    <row r="70" spans="1:16" ht="12.75">
      <c r="A70" s="10" t="s">
        <v>48</v>
      </c>
      <c r="B70" s="9" t="s">
        <v>105</v>
      </c>
      <c r="C70" s="9">
        <v>39329</v>
      </c>
      <c r="D70" s="3">
        <v>0.5555555555555556</v>
      </c>
      <c r="E70" s="6" t="s">
        <v>5</v>
      </c>
      <c r="K70" s="21" t="s">
        <v>72</v>
      </c>
      <c r="L70" s="11" t="s">
        <v>10</v>
      </c>
      <c r="M70" s="6">
        <v>1</v>
      </c>
      <c r="N70" s="23">
        <v>157.0795</v>
      </c>
      <c r="O70" s="23">
        <f t="shared" si="9"/>
        <v>157.0795</v>
      </c>
      <c r="P70" s="146">
        <f t="shared" si="10"/>
        <v>0.04498936758049921</v>
      </c>
    </row>
    <row r="71" spans="1:16" ht="12.75">
      <c r="A71" s="10" t="s">
        <v>48</v>
      </c>
      <c r="B71" s="9" t="s">
        <v>105</v>
      </c>
      <c r="C71" s="9">
        <v>39329</v>
      </c>
      <c r="D71" s="3">
        <v>0.5555555555555556</v>
      </c>
      <c r="E71" s="6" t="s">
        <v>5</v>
      </c>
      <c r="K71" s="21" t="s">
        <v>71</v>
      </c>
      <c r="L71" s="11" t="s">
        <v>10</v>
      </c>
      <c r="M71" s="6">
        <v>1</v>
      </c>
      <c r="N71" s="23">
        <v>1209.51215</v>
      </c>
      <c r="O71" s="23">
        <f t="shared" si="9"/>
        <v>1209.51215</v>
      </c>
      <c r="P71" s="146">
        <f t="shared" si="10"/>
        <v>0.3464181303698439</v>
      </c>
    </row>
    <row r="72" spans="1:16" ht="12.75">
      <c r="A72" s="10" t="s">
        <v>48</v>
      </c>
      <c r="B72" s="9" t="s">
        <v>105</v>
      </c>
      <c r="C72" s="9">
        <v>39329</v>
      </c>
      <c r="D72" s="3">
        <v>0.5555555555555556</v>
      </c>
      <c r="E72" s="6" t="s">
        <v>5</v>
      </c>
      <c r="K72" s="21" t="s">
        <v>70</v>
      </c>
      <c r="L72" s="11" t="s">
        <v>10</v>
      </c>
      <c r="M72" s="6">
        <v>3</v>
      </c>
      <c r="N72" s="23">
        <v>160.22109</v>
      </c>
      <c r="O72" s="23">
        <f t="shared" si="9"/>
        <v>480.66327</v>
      </c>
      <c r="P72" s="146">
        <f t="shared" si="10"/>
        <v>0.1376674647963276</v>
      </c>
    </row>
    <row r="73" spans="1:16" ht="12.75">
      <c r="A73" s="10" t="s">
        <v>48</v>
      </c>
      <c r="B73" s="9" t="s">
        <v>105</v>
      </c>
      <c r="C73" s="9">
        <v>39329</v>
      </c>
      <c r="D73" s="3">
        <v>0.5555555555555556</v>
      </c>
      <c r="E73" s="6" t="s">
        <v>5</v>
      </c>
      <c r="K73" s="21" t="s">
        <v>69</v>
      </c>
      <c r="L73" s="11" t="s">
        <v>10</v>
      </c>
      <c r="M73" s="6">
        <v>12</v>
      </c>
      <c r="N73" s="23">
        <v>75.39815999999999</v>
      </c>
      <c r="O73" s="23">
        <f t="shared" si="9"/>
        <v>904.7779199999999</v>
      </c>
      <c r="P73" s="146">
        <f t="shared" si="10"/>
        <v>0.2591387572636754</v>
      </c>
    </row>
    <row r="74" spans="1:16" ht="12.75">
      <c r="A74" s="10" t="s">
        <v>48</v>
      </c>
      <c r="B74" s="9" t="s">
        <v>105</v>
      </c>
      <c r="C74" s="9">
        <v>39329</v>
      </c>
      <c r="D74" s="3">
        <v>0.5555555555555556</v>
      </c>
      <c r="E74" s="6" t="s">
        <v>5</v>
      </c>
      <c r="K74" s="21" t="s">
        <v>68</v>
      </c>
      <c r="L74" s="11" t="s">
        <v>10</v>
      </c>
      <c r="M74" s="6">
        <v>5</v>
      </c>
      <c r="N74" s="23">
        <v>301.59263999999996</v>
      </c>
      <c r="O74" s="23">
        <f t="shared" si="9"/>
        <v>1507.9631999999997</v>
      </c>
      <c r="P74" s="146">
        <f t="shared" si="10"/>
        <v>0.43189792877279237</v>
      </c>
    </row>
    <row r="75" spans="1:16" ht="12.75">
      <c r="A75" s="10" t="s">
        <v>48</v>
      </c>
      <c r="B75" s="9" t="s">
        <v>105</v>
      </c>
      <c r="C75" s="9">
        <v>39329</v>
      </c>
      <c r="D75" s="3">
        <v>0.5555555555555556</v>
      </c>
      <c r="E75" s="6" t="s">
        <v>5</v>
      </c>
      <c r="K75" s="21" t="s">
        <v>116</v>
      </c>
      <c r="L75" s="11" t="s">
        <v>10</v>
      </c>
      <c r="M75" s="6">
        <v>16</v>
      </c>
      <c r="N75" s="23">
        <v>345.5749</v>
      </c>
      <c r="O75" s="23">
        <f t="shared" si="9"/>
        <v>5529.1984</v>
      </c>
      <c r="P75" s="146">
        <f t="shared" si="10"/>
        <v>1.5836257388335724</v>
      </c>
    </row>
    <row r="76" spans="1:16" ht="12.75">
      <c r="A76" s="10" t="s">
        <v>48</v>
      </c>
      <c r="B76" s="9" t="s">
        <v>105</v>
      </c>
      <c r="C76" s="9">
        <v>39329</v>
      </c>
      <c r="D76" s="3">
        <v>0.5555555555555556</v>
      </c>
      <c r="E76" s="6" t="s">
        <v>5</v>
      </c>
      <c r="K76" s="21" t="s">
        <v>66</v>
      </c>
      <c r="L76" s="11" t="s">
        <v>10</v>
      </c>
      <c r="M76" s="6">
        <v>1</v>
      </c>
      <c r="N76" s="23">
        <v>628.318</v>
      </c>
      <c r="O76" s="23">
        <f t="shared" si="9"/>
        <v>628.318</v>
      </c>
      <c r="P76" s="146">
        <f t="shared" si="10"/>
        <v>0.17995747032199683</v>
      </c>
    </row>
    <row r="77" spans="1:16" ht="12.75">
      <c r="A77" s="10" t="s">
        <v>48</v>
      </c>
      <c r="B77" s="9" t="s">
        <v>105</v>
      </c>
      <c r="C77" s="9">
        <v>39329</v>
      </c>
      <c r="D77" s="3">
        <v>0.5555555555555556</v>
      </c>
      <c r="E77" s="6" t="s">
        <v>5</v>
      </c>
      <c r="K77" s="21" t="s">
        <v>65</v>
      </c>
      <c r="L77" s="11" t="s">
        <v>10</v>
      </c>
      <c r="M77" s="6">
        <v>11</v>
      </c>
      <c r="N77" s="23">
        <v>131.94678</v>
      </c>
      <c r="O77" s="23">
        <f t="shared" si="9"/>
        <v>1451.41458</v>
      </c>
      <c r="P77" s="146">
        <f t="shared" si="10"/>
        <v>0.4157017564438127</v>
      </c>
    </row>
    <row r="78" spans="1:16" ht="12.75">
      <c r="A78" s="10" t="s">
        <v>48</v>
      </c>
      <c r="B78" s="9" t="s">
        <v>105</v>
      </c>
      <c r="C78" s="9">
        <v>39329</v>
      </c>
      <c r="D78" s="3">
        <v>0.5555555555555556</v>
      </c>
      <c r="E78" s="6" t="s">
        <v>5</v>
      </c>
      <c r="K78" s="21" t="s">
        <v>63</v>
      </c>
      <c r="L78" s="11" t="s">
        <v>10</v>
      </c>
      <c r="M78" s="6">
        <v>1</v>
      </c>
      <c r="N78" s="23">
        <v>530.1433125</v>
      </c>
      <c r="O78" s="23">
        <f t="shared" si="9"/>
        <v>530.1433125</v>
      </c>
      <c r="P78" s="146">
        <f t="shared" si="10"/>
        <v>0.15183911558418484</v>
      </c>
    </row>
    <row r="79" spans="1:16" ht="12.75">
      <c r="A79" s="10" t="s">
        <v>48</v>
      </c>
      <c r="B79" s="9" t="s">
        <v>105</v>
      </c>
      <c r="C79" s="9">
        <v>39329</v>
      </c>
      <c r="D79" s="3">
        <v>0.5555555555555556</v>
      </c>
      <c r="E79" s="6" t="s">
        <v>5</v>
      </c>
      <c r="K79" s="21" t="s">
        <v>62</v>
      </c>
      <c r="L79" s="11" t="s">
        <v>10</v>
      </c>
      <c r="M79" s="6">
        <v>1</v>
      </c>
      <c r="N79" s="23">
        <v>207.34494</v>
      </c>
      <c r="O79" s="23">
        <f t="shared" si="9"/>
        <v>207.34494</v>
      </c>
      <c r="P79" s="146">
        <f t="shared" si="10"/>
        <v>0.05938596520625897</v>
      </c>
    </row>
    <row r="80" spans="1:16" ht="12.75">
      <c r="A80" s="10" t="s">
        <v>48</v>
      </c>
      <c r="B80" s="9" t="s">
        <v>105</v>
      </c>
      <c r="C80" s="9">
        <v>39329</v>
      </c>
      <c r="D80" s="3">
        <v>0.5555555555555556</v>
      </c>
      <c r="E80" s="6" t="s">
        <v>5</v>
      </c>
      <c r="K80" s="21" t="s">
        <v>61</v>
      </c>
      <c r="L80" s="11" t="s">
        <v>10</v>
      </c>
      <c r="M80" s="6">
        <v>9</v>
      </c>
      <c r="N80" s="23">
        <v>141.37154999999998</v>
      </c>
      <c r="O80" s="23">
        <f t="shared" si="9"/>
        <v>1272.34395</v>
      </c>
      <c r="P80" s="146">
        <f t="shared" si="10"/>
        <v>0.36441387740204356</v>
      </c>
    </row>
    <row r="81" spans="1:16" ht="12.75">
      <c r="A81" s="10" t="s">
        <v>48</v>
      </c>
      <c r="B81" s="9" t="s">
        <v>105</v>
      </c>
      <c r="C81" s="9">
        <v>39329</v>
      </c>
      <c r="D81" s="3">
        <v>0.5555555555555556</v>
      </c>
      <c r="E81" s="6" t="s">
        <v>5</v>
      </c>
      <c r="K81" s="21" t="s">
        <v>59</v>
      </c>
      <c r="L81" s="11" t="s">
        <v>10</v>
      </c>
      <c r="M81" s="6">
        <v>1</v>
      </c>
      <c r="N81" s="23">
        <v>320.44218</v>
      </c>
      <c r="O81" s="23">
        <f t="shared" si="9"/>
        <v>320.44218</v>
      </c>
      <c r="P81" s="146">
        <f t="shared" si="10"/>
        <v>0.09177830986421838</v>
      </c>
    </row>
    <row r="82" spans="1:16" ht="12.75">
      <c r="A82" s="10" t="s">
        <v>48</v>
      </c>
      <c r="B82" s="9" t="s">
        <v>105</v>
      </c>
      <c r="C82" s="9">
        <v>39329</v>
      </c>
      <c r="D82" s="3">
        <v>0.5555555555555556</v>
      </c>
      <c r="E82" s="6" t="s">
        <v>5</v>
      </c>
      <c r="K82" s="21" t="s">
        <v>115</v>
      </c>
      <c r="L82" s="11" t="s">
        <v>10</v>
      </c>
      <c r="M82" s="6">
        <v>1</v>
      </c>
      <c r="N82" s="23">
        <v>725.70729</v>
      </c>
      <c r="O82" s="23">
        <f t="shared" si="9"/>
        <v>725.70729</v>
      </c>
      <c r="P82" s="146">
        <f t="shared" si="10"/>
        <v>0.20785087822190634</v>
      </c>
    </row>
    <row r="83" spans="1:16" ht="12.75">
      <c r="A83" s="10" t="s">
        <v>48</v>
      </c>
      <c r="B83" s="9" t="s">
        <v>105</v>
      </c>
      <c r="C83" s="9">
        <v>39329</v>
      </c>
      <c r="D83" s="3">
        <v>0.5555555555555556</v>
      </c>
      <c r="E83" s="6" t="s">
        <v>5</v>
      </c>
      <c r="K83" s="21" t="s">
        <v>57</v>
      </c>
      <c r="L83" s="11" t="s">
        <v>10</v>
      </c>
      <c r="M83" s="6">
        <v>3</v>
      </c>
      <c r="N83" s="23">
        <v>285</v>
      </c>
      <c r="O83" s="23">
        <f t="shared" si="9"/>
        <v>855</v>
      </c>
      <c r="P83" s="146">
        <f t="shared" si="10"/>
        <v>0.2448817909487032</v>
      </c>
    </row>
    <row r="84" spans="1:16" ht="12.75">
      <c r="A84" s="10" t="s">
        <v>48</v>
      </c>
      <c r="B84" s="9" t="s">
        <v>105</v>
      </c>
      <c r="C84" s="9">
        <v>39329</v>
      </c>
      <c r="D84" s="3">
        <v>0.5555555555555556</v>
      </c>
      <c r="E84" s="6" t="s">
        <v>5</v>
      </c>
      <c r="K84" s="21" t="s">
        <v>56</v>
      </c>
      <c r="L84" s="11" t="s">
        <v>10</v>
      </c>
      <c r="M84" s="6">
        <v>6</v>
      </c>
      <c r="N84" s="23">
        <v>232</v>
      </c>
      <c r="O84" s="23">
        <f t="shared" si="9"/>
        <v>1392</v>
      </c>
      <c r="P84" s="146">
        <f t="shared" si="10"/>
        <v>0.398684740351573</v>
      </c>
    </row>
    <row r="85" spans="1:16" ht="12.75">
      <c r="A85" s="10" t="s">
        <v>48</v>
      </c>
      <c r="B85" s="9" t="s">
        <v>105</v>
      </c>
      <c r="C85" s="9">
        <v>39329</v>
      </c>
      <c r="D85" s="3">
        <v>0.5555555555555556</v>
      </c>
      <c r="E85" s="6" t="s">
        <v>5</v>
      </c>
      <c r="K85" s="21" t="s">
        <v>55</v>
      </c>
      <c r="L85" s="11" t="s">
        <v>10</v>
      </c>
      <c r="M85" s="6">
        <v>1</v>
      </c>
      <c r="N85" s="23">
        <v>353.42887499999995</v>
      </c>
      <c r="O85" s="23">
        <f t="shared" si="9"/>
        <v>353.42887499999995</v>
      </c>
      <c r="P85" s="146">
        <f t="shared" si="10"/>
        <v>0.10122607705612321</v>
      </c>
    </row>
    <row r="86" spans="1:16" ht="12.75">
      <c r="A86" s="134" t="s">
        <v>48</v>
      </c>
      <c r="B86" s="136" t="s">
        <v>105</v>
      </c>
      <c r="C86" s="136">
        <v>39329</v>
      </c>
      <c r="D86" s="137">
        <v>0.5555555555555556</v>
      </c>
      <c r="E86" s="119" t="s">
        <v>5</v>
      </c>
      <c r="F86" s="121"/>
      <c r="G86" s="121"/>
      <c r="H86" s="121"/>
      <c r="I86" s="121"/>
      <c r="J86" s="121"/>
      <c r="K86" s="120" t="s">
        <v>54</v>
      </c>
      <c r="L86" s="122" t="s">
        <v>10</v>
      </c>
      <c r="M86" s="119">
        <v>1</v>
      </c>
      <c r="N86" s="123">
        <v>9600</v>
      </c>
      <c r="O86" s="123">
        <f t="shared" si="9"/>
        <v>9600</v>
      </c>
      <c r="P86" s="146">
        <f t="shared" si="10"/>
        <v>2.749549933459124</v>
      </c>
    </row>
    <row r="87" spans="1:15" ht="12.75">
      <c r="A87" s="139"/>
      <c r="B87" s="139"/>
      <c r="C87" s="139"/>
      <c r="D87" s="121"/>
      <c r="E87" s="139"/>
      <c r="F87" s="121"/>
      <c r="G87" s="121"/>
      <c r="H87" s="121"/>
      <c r="I87" s="121"/>
      <c r="J87" s="121"/>
      <c r="K87" s="121" t="s">
        <v>2</v>
      </c>
      <c r="L87" s="122"/>
      <c r="M87" s="139">
        <f>SUM(M59:M86)</f>
        <v>427</v>
      </c>
      <c r="N87" s="140"/>
      <c r="O87" s="140">
        <f>SUM(O59:O86)</f>
        <v>349148.05085654644</v>
      </c>
    </row>
    <row r="88" spans="1:15" ht="12.75">
      <c r="A88" s="124"/>
      <c r="B88" s="124"/>
      <c r="C88" s="124"/>
      <c r="D88" s="125"/>
      <c r="E88" s="124"/>
      <c r="F88" s="126"/>
      <c r="G88" s="126"/>
      <c r="H88" s="126"/>
      <c r="I88" s="126"/>
      <c r="J88" s="126"/>
      <c r="K88" s="125" t="s">
        <v>53</v>
      </c>
      <c r="L88" s="127">
        <f>O87/M87</f>
        <v>817.6769340902727</v>
      </c>
      <c r="M88" s="124"/>
      <c r="N88" s="124"/>
      <c r="O88" s="128"/>
    </row>
  </sheetData>
  <sheetProtection/>
  <mergeCells count="2">
    <mergeCell ref="A1:S1"/>
    <mergeCell ref="A27:S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59"/>
  <sheetViews>
    <sheetView zoomScale="85" zoomScaleNormal="85" zoomScalePageLayoutView="0" workbookViewId="0" topLeftCell="A1">
      <selection activeCell="P28" sqref="P28:P29"/>
    </sheetView>
  </sheetViews>
  <sheetFormatPr defaultColWidth="9.140625" defaultRowHeight="12.75"/>
  <cols>
    <col min="1" max="1" width="9.00390625" style="0" bestFit="1" customWidth="1"/>
    <col min="2" max="2" width="43.28125" style="0" bestFit="1" customWidth="1"/>
    <col min="3" max="3" width="8.140625" style="0" bestFit="1" customWidth="1"/>
    <col min="4" max="4" width="5.57421875" style="0" bestFit="1" customWidth="1"/>
    <col min="5" max="5" width="9.28125" style="0" bestFit="1" customWidth="1"/>
    <col min="6" max="6" width="13.28125" style="0" customWidth="1"/>
    <col min="7" max="7" width="8.00390625" style="0" hidden="1" customWidth="1"/>
    <col min="8" max="8" width="7.421875" style="0" hidden="1" customWidth="1"/>
    <col min="9" max="9" width="9.8515625" style="0" hidden="1" customWidth="1"/>
    <col min="10" max="10" width="12.00390625" style="0" hidden="1" customWidth="1"/>
    <col min="11" max="11" width="29.140625" style="0" bestFit="1" customWidth="1"/>
    <col min="12" max="12" width="13.28125" style="0" bestFit="1" customWidth="1"/>
    <col min="13" max="13" width="6.8515625" style="0" bestFit="1" customWidth="1"/>
    <col min="14" max="14" width="18.57421875" style="0" bestFit="1" customWidth="1"/>
    <col min="15" max="15" width="21.421875" style="0" bestFit="1" customWidth="1"/>
    <col min="16" max="16" width="17.00390625" style="0" bestFit="1" customWidth="1"/>
    <col min="17" max="17" width="8.7109375" style="0" bestFit="1" customWidth="1"/>
    <col min="18" max="18" width="9.8515625" style="0" bestFit="1" customWidth="1"/>
    <col min="19" max="19" width="11.00390625" style="0" customWidth="1"/>
  </cols>
  <sheetData>
    <row r="1" spans="1:19" ht="26.25">
      <c r="A1" s="181" t="s">
        <v>1</v>
      </c>
      <c r="B1" s="181"/>
      <c r="C1" s="181"/>
      <c r="D1" s="181"/>
      <c r="E1" s="181"/>
      <c r="F1" s="181"/>
      <c r="G1" s="181"/>
      <c r="H1" s="181"/>
      <c r="I1" s="181"/>
      <c r="J1" s="181"/>
      <c r="K1" s="181"/>
      <c r="L1" s="181"/>
      <c r="M1" s="181"/>
      <c r="N1" s="181"/>
      <c r="O1" s="181"/>
      <c r="P1" s="181"/>
      <c r="Q1" s="181"/>
      <c r="R1" s="181"/>
      <c r="S1" s="181"/>
    </row>
    <row r="2" spans="1:19" s="97" customFormat="1" ht="12.75">
      <c r="A2" s="107" t="s">
        <v>28</v>
      </c>
      <c r="B2" s="107" t="s">
        <v>145</v>
      </c>
      <c r="C2" s="92" t="s">
        <v>26</v>
      </c>
      <c r="D2" s="92"/>
      <c r="E2" s="94" t="s">
        <v>24</v>
      </c>
      <c r="F2" s="107" t="s">
        <v>24</v>
      </c>
      <c r="G2" s="107" t="s">
        <v>29</v>
      </c>
      <c r="H2" s="107" t="s">
        <v>22</v>
      </c>
      <c r="I2" s="107" t="s">
        <v>14</v>
      </c>
      <c r="J2" s="107" t="s">
        <v>21</v>
      </c>
      <c r="K2" s="108" t="s">
        <v>169</v>
      </c>
      <c r="L2" s="108" t="s">
        <v>20</v>
      </c>
      <c r="M2" s="107" t="s">
        <v>19</v>
      </c>
      <c r="N2" s="109" t="s">
        <v>134</v>
      </c>
      <c r="O2" s="96" t="s">
        <v>134</v>
      </c>
      <c r="P2" s="96" t="s">
        <v>98</v>
      </c>
      <c r="Q2" s="107" t="s">
        <v>18</v>
      </c>
      <c r="R2" s="107" t="s">
        <v>17</v>
      </c>
      <c r="S2" s="107" t="s">
        <v>17</v>
      </c>
    </row>
    <row r="3" spans="1:19" s="106" customFormat="1" ht="14.25">
      <c r="A3" s="100"/>
      <c r="B3" s="100"/>
      <c r="C3" s="110"/>
      <c r="D3" s="110"/>
      <c r="E3" s="100" t="s">
        <v>16</v>
      </c>
      <c r="F3" s="111" t="s">
        <v>15</v>
      </c>
      <c r="G3" s="111" t="s">
        <v>14</v>
      </c>
      <c r="H3" s="111"/>
      <c r="I3" s="111" t="s">
        <v>13</v>
      </c>
      <c r="J3" s="111"/>
      <c r="K3" s="112"/>
      <c r="L3" s="112"/>
      <c r="M3" s="111"/>
      <c r="N3" s="103" t="s">
        <v>99</v>
      </c>
      <c r="O3" s="104" t="s">
        <v>100</v>
      </c>
      <c r="P3" s="104" t="s">
        <v>135</v>
      </c>
      <c r="Q3" s="111" t="s">
        <v>12</v>
      </c>
      <c r="R3" s="113" t="s">
        <v>136</v>
      </c>
      <c r="S3" s="113" t="s">
        <v>137</v>
      </c>
    </row>
    <row r="4" spans="1:18" ht="12.75">
      <c r="A4" s="17"/>
      <c r="B4" s="17"/>
      <c r="C4" s="17"/>
      <c r="D4" s="17"/>
      <c r="E4" s="15"/>
      <c r="F4" s="18"/>
      <c r="G4" s="18"/>
      <c r="H4" s="18"/>
      <c r="I4" s="18"/>
      <c r="J4" s="18"/>
      <c r="K4" s="19"/>
      <c r="L4" s="19"/>
      <c r="M4" s="18"/>
      <c r="N4" s="20"/>
      <c r="O4" s="20"/>
      <c r="P4" s="20"/>
      <c r="Q4" s="18"/>
      <c r="R4" s="18"/>
    </row>
    <row r="5" spans="1:19" ht="12.75">
      <c r="A5" s="10" t="s">
        <v>50</v>
      </c>
      <c r="B5" s="5" t="s">
        <v>51</v>
      </c>
      <c r="C5" s="9">
        <v>39211</v>
      </c>
      <c r="D5" s="3">
        <v>0.4305555555555556</v>
      </c>
      <c r="E5" s="6" t="s">
        <v>5</v>
      </c>
      <c r="F5" s="6">
        <v>0.3</v>
      </c>
      <c r="G5" s="6">
        <v>0.15904</v>
      </c>
      <c r="H5" s="6">
        <v>4</v>
      </c>
      <c r="I5" s="6">
        <f>G5*H5</f>
        <v>0.63616</v>
      </c>
      <c r="J5" s="6">
        <f>((201.062/I5)/F5)</f>
        <v>1053.5190308517776</v>
      </c>
      <c r="K5" s="21" t="s">
        <v>11</v>
      </c>
      <c r="L5" s="11" t="s">
        <v>10</v>
      </c>
      <c r="M5" s="6">
        <v>541</v>
      </c>
      <c r="N5" s="22">
        <f>J5*M5</f>
        <v>569953.7956908117</v>
      </c>
      <c r="O5" s="22">
        <f>N5*955</f>
        <v>544305874.8847252</v>
      </c>
      <c r="P5" s="22">
        <f>O5/2170</f>
        <v>250832.20040770748</v>
      </c>
      <c r="Q5" s="23">
        <v>1117.0315092202359</v>
      </c>
      <c r="R5" s="22">
        <f>N5*Q5</f>
        <v>636656348.5863093</v>
      </c>
      <c r="S5" s="2">
        <f>P5*Q5</f>
        <v>280187471.38245416</v>
      </c>
    </row>
    <row r="6" spans="1:19" ht="12.75">
      <c r="A6" s="10" t="s">
        <v>50</v>
      </c>
      <c r="B6" s="5" t="s">
        <v>51</v>
      </c>
      <c r="C6" s="9">
        <v>39211</v>
      </c>
      <c r="D6" s="3">
        <v>0.4305555555555556</v>
      </c>
      <c r="E6" s="6" t="s">
        <v>5</v>
      </c>
      <c r="F6" s="6">
        <v>0.3</v>
      </c>
      <c r="G6" s="6">
        <v>7.04</v>
      </c>
      <c r="H6" s="6">
        <v>1</v>
      </c>
      <c r="I6" s="6">
        <f>G6*H6</f>
        <v>7.04</v>
      </c>
      <c r="J6" s="6">
        <f>((201.062/I6)/F6)</f>
        <v>95.19981060606062</v>
      </c>
      <c r="K6" s="21" t="s">
        <v>35</v>
      </c>
      <c r="L6" s="21" t="s">
        <v>8</v>
      </c>
      <c r="M6" s="6">
        <v>1</v>
      </c>
      <c r="N6" s="22">
        <f>J6*M6</f>
        <v>95.19981060606062</v>
      </c>
      <c r="O6" s="22">
        <f>N6*955</f>
        <v>90915.8191287879</v>
      </c>
      <c r="P6" s="22">
        <f>O6/2170</f>
        <v>41.896690842759405</v>
      </c>
      <c r="Q6" s="23">
        <v>30787.582</v>
      </c>
      <c r="R6" s="22">
        <f>N6*Q6</f>
        <v>2930971.975418561</v>
      </c>
      <c r="S6" s="2">
        <f>P6*Q6</f>
        <v>1289897.8048501043</v>
      </c>
    </row>
    <row r="7" spans="1:19" ht="12.75">
      <c r="A7" s="10" t="s">
        <v>50</v>
      </c>
      <c r="B7" s="5" t="s">
        <v>51</v>
      </c>
      <c r="C7" s="9">
        <v>39211</v>
      </c>
      <c r="D7" s="3">
        <v>0.4305555555555556</v>
      </c>
      <c r="E7" s="6" t="s">
        <v>5</v>
      </c>
      <c r="F7" s="6">
        <v>0.3</v>
      </c>
      <c r="G7" s="6">
        <v>0.15904</v>
      </c>
      <c r="H7" s="6">
        <v>4</v>
      </c>
      <c r="I7" s="6">
        <f>G7*H7</f>
        <v>0.63616</v>
      </c>
      <c r="J7" s="6">
        <f>((201.062/I7)/F7)</f>
        <v>1053.5190308517776</v>
      </c>
      <c r="K7" s="21" t="s">
        <v>36</v>
      </c>
      <c r="L7" s="21" t="s">
        <v>8</v>
      </c>
      <c r="M7" s="6">
        <v>35</v>
      </c>
      <c r="N7" s="22">
        <f>J7*M7</f>
        <v>36873.16607981222</v>
      </c>
      <c r="O7" s="22">
        <f>N7*955</f>
        <v>35213873.60622067</v>
      </c>
      <c r="P7" s="22">
        <f>O7/2170</f>
        <v>16227.591523603995</v>
      </c>
      <c r="Q7" s="23">
        <v>311.01741</v>
      </c>
      <c r="R7" s="22">
        <f>N7*Q7</f>
        <v>11468196.612643048</v>
      </c>
      <c r="S7" s="2">
        <f>P7*Q7</f>
        <v>5047063.486209268</v>
      </c>
    </row>
    <row r="8" spans="1:19" ht="12.75">
      <c r="A8" s="10" t="s">
        <v>50</v>
      </c>
      <c r="B8" s="5" t="s">
        <v>51</v>
      </c>
      <c r="C8" s="9">
        <v>39211</v>
      </c>
      <c r="D8" s="3">
        <v>0.4305555555555556</v>
      </c>
      <c r="E8" s="6" t="s">
        <v>5</v>
      </c>
      <c r="F8" s="6">
        <v>0.3</v>
      </c>
      <c r="G8" s="6">
        <v>100.53</v>
      </c>
      <c r="H8" s="6">
        <v>1</v>
      </c>
      <c r="I8" s="6">
        <f>G8*H8</f>
        <v>100.53</v>
      </c>
      <c r="J8" s="6">
        <f>((201.062/I8)/F8)</f>
        <v>6.666732981862794</v>
      </c>
      <c r="K8" t="s">
        <v>45</v>
      </c>
      <c r="L8" s="21" t="s">
        <v>8</v>
      </c>
      <c r="M8" s="6">
        <v>125</v>
      </c>
      <c r="N8" s="22">
        <f>J8*M8</f>
        <v>833.3416227328493</v>
      </c>
      <c r="O8" s="22">
        <f>N8*955</f>
        <v>795841.249709871</v>
      </c>
      <c r="P8" s="22">
        <f>O8/2170</f>
        <v>366.74711968196823</v>
      </c>
      <c r="Q8" s="23">
        <v>1734.1576799999998</v>
      </c>
      <c r="R8" s="22">
        <f>N8*Q8</f>
        <v>1445145.775125833</v>
      </c>
      <c r="S8" s="2">
        <f>P8*Q8</f>
        <v>635997.3342143643</v>
      </c>
    </row>
    <row r="9" spans="1:19" ht="12.75">
      <c r="A9" s="10" t="s">
        <v>50</v>
      </c>
      <c r="B9" s="5" t="s">
        <v>51</v>
      </c>
      <c r="C9" s="9">
        <v>39211</v>
      </c>
      <c r="D9" s="3">
        <v>0.4305555555555556</v>
      </c>
      <c r="E9" s="6" t="s">
        <v>5</v>
      </c>
      <c r="F9" s="6">
        <v>0.3</v>
      </c>
      <c r="G9" s="6">
        <v>0.15904</v>
      </c>
      <c r="H9" s="6">
        <v>4</v>
      </c>
      <c r="I9" s="6">
        <f>G9*H9</f>
        <v>0.63616</v>
      </c>
      <c r="J9" s="6">
        <f>((201.062/I9)/F9)</f>
        <v>1053.5190308517776</v>
      </c>
      <c r="K9" t="s">
        <v>52</v>
      </c>
      <c r="L9" t="s">
        <v>3</v>
      </c>
      <c r="M9" s="6">
        <v>48</v>
      </c>
      <c r="N9" s="22">
        <f>J9*M9</f>
        <v>50568.91348088533</v>
      </c>
      <c r="O9" s="22">
        <f>N9*955</f>
        <v>48293312.37424549</v>
      </c>
      <c r="P9" s="22">
        <f>O9/2170</f>
        <v>22254.98266094262</v>
      </c>
      <c r="Q9" s="23">
        <v>28.274309999999996</v>
      </c>
      <c r="R9" s="22">
        <f>N9*Q9</f>
        <v>1429801.1361217306</v>
      </c>
      <c r="S9" s="2">
        <f>P9*Q9</f>
        <v>629244.2788001165</v>
      </c>
    </row>
    <row r="10" spans="1:19" s="126" customFormat="1" ht="12.75">
      <c r="A10" s="129"/>
      <c r="B10" s="129"/>
      <c r="C10" s="127"/>
      <c r="D10" s="127"/>
      <c r="E10" s="129"/>
      <c r="F10" s="129"/>
      <c r="G10" s="129"/>
      <c r="H10" s="129"/>
      <c r="I10" s="129"/>
      <c r="J10" s="129"/>
      <c r="K10" s="127" t="s">
        <v>2</v>
      </c>
      <c r="L10" s="127"/>
      <c r="M10" s="129">
        <f>SUM(M5:M9)</f>
        <v>750</v>
      </c>
      <c r="N10" s="133">
        <f>SUM(N5:N9)</f>
        <v>658324.4166848481</v>
      </c>
      <c r="O10" s="133">
        <f>SUM(O5:O9)</f>
        <v>628699817.93403</v>
      </c>
      <c r="P10" s="133">
        <f>SUM(P5:P9)</f>
        <v>289723.4184027788</v>
      </c>
      <c r="Q10" s="129"/>
      <c r="R10" s="133">
        <f>SUM(R5:R9)</f>
        <v>653930464.0856185</v>
      </c>
      <c r="S10" s="133">
        <f>SUM(S5:S9)</f>
        <v>287789674.28652805</v>
      </c>
    </row>
    <row r="26" s="36" customFormat="1" ht="12.75"/>
    <row r="27" spans="1:19" ht="26.25">
      <c r="A27" s="181" t="s">
        <v>0</v>
      </c>
      <c r="B27" s="181"/>
      <c r="C27" s="181"/>
      <c r="D27" s="181"/>
      <c r="E27" s="181"/>
      <c r="F27" s="181"/>
      <c r="G27" s="181"/>
      <c r="H27" s="181"/>
      <c r="I27" s="181"/>
      <c r="J27" s="181"/>
      <c r="K27" s="181"/>
      <c r="L27" s="181"/>
      <c r="M27" s="181"/>
      <c r="N27" s="181"/>
      <c r="O27" s="181"/>
      <c r="P27" s="181"/>
      <c r="Q27" s="181"/>
      <c r="R27" s="181"/>
      <c r="S27" s="181"/>
    </row>
    <row r="28" spans="1:16" s="114" customFormat="1" ht="12.75">
      <c r="A28" s="107" t="s">
        <v>28</v>
      </c>
      <c r="B28" s="92" t="s">
        <v>145</v>
      </c>
      <c r="C28" s="92" t="s">
        <v>26</v>
      </c>
      <c r="D28" s="92" t="s">
        <v>25</v>
      </c>
      <c r="E28" s="94" t="s">
        <v>83</v>
      </c>
      <c r="K28" s="95" t="s">
        <v>169</v>
      </c>
      <c r="L28" s="107" t="s">
        <v>20</v>
      </c>
      <c r="M28" s="107" t="s">
        <v>19</v>
      </c>
      <c r="N28" s="107" t="s">
        <v>18</v>
      </c>
      <c r="O28" s="107" t="s">
        <v>17</v>
      </c>
      <c r="P28" s="178" t="s">
        <v>170</v>
      </c>
    </row>
    <row r="29" spans="1:16" s="116" customFormat="1" ht="14.25">
      <c r="A29" s="117"/>
      <c r="B29" s="110"/>
      <c r="C29" s="110"/>
      <c r="D29" s="110"/>
      <c r="E29" s="100" t="s">
        <v>16</v>
      </c>
      <c r="K29" s="111"/>
      <c r="L29" s="111"/>
      <c r="M29" s="111" t="s">
        <v>82</v>
      </c>
      <c r="N29" s="111" t="s">
        <v>12</v>
      </c>
      <c r="O29" s="113" t="s">
        <v>150</v>
      </c>
      <c r="P29" s="115" t="s">
        <v>171</v>
      </c>
    </row>
    <row r="30" spans="1:15" ht="12.75">
      <c r="A30" s="6"/>
      <c r="B30" s="6"/>
      <c r="C30" s="6"/>
      <c r="D30" s="21"/>
      <c r="E30" s="6"/>
      <c r="K30" s="21"/>
      <c r="L30" s="21"/>
      <c r="M30" s="6"/>
      <c r="N30" s="6"/>
      <c r="O30" s="6"/>
    </row>
    <row r="31" spans="1:16" ht="12.75">
      <c r="A31" s="10" t="s">
        <v>50</v>
      </c>
      <c r="B31" s="5" t="s">
        <v>51</v>
      </c>
      <c r="C31" s="9">
        <v>39211</v>
      </c>
      <c r="D31" s="3">
        <v>0.4305555555555556</v>
      </c>
      <c r="E31" s="6" t="s">
        <v>5</v>
      </c>
      <c r="K31" s="21" t="s">
        <v>81</v>
      </c>
      <c r="L31" s="11" t="s">
        <v>10</v>
      </c>
      <c r="M31" s="6">
        <v>15</v>
      </c>
      <c r="N31" s="23">
        <v>13.343030861111108</v>
      </c>
      <c r="O31" s="23">
        <f aca="true" t="shared" si="0" ref="O31:O57">N31*M31</f>
        <v>200.14546291666662</v>
      </c>
      <c r="P31" s="146">
        <f>O31/$O$58*100</f>
        <v>0.03311944577157733</v>
      </c>
    </row>
    <row r="32" spans="1:16" ht="12.75">
      <c r="A32" s="10" t="s">
        <v>50</v>
      </c>
      <c r="B32" s="5" t="s">
        <v>51</v>
      </c>
      <c r="C32" s="9">
        <v>39211</v>
      </c>
      <c r="D32" s="3">
        <v>0.4305555555555556</v>
      </c>
      <c r="E32" s="6" t="s">
        <v>5</v>
      </c>
      <c r="K32" s="21" t="s">
        <v>80</v>
      </c>
      <c r="L32" s="11" t="s">
        <v>10</v>
      </c>
      <c r="M32" s="6">
        <v>34</v>
      </c>
      <c r="N32" s="23">
        <v>412.3336875</v>
      </c>
      <c r="O32" s="23">
        <f t="shared" si="0"/>
        <v>14019.345375</v>
      </c>
      <c r="P32" s="146">
        <f aca="true" t="shared" si="1" ref="P32:P57">O32/$O$58*100</f>
        <v>2.319877463790669</v>
      </c>
    </row>
    <row r="33" spans="1:16" s="155" customFormat="1" ht="12.75">
      <c r="A33" s="151" t="s">
        <v>50</v>
      </c>
      <c r="B33" s="152" t="s">
        <v>51</v>
      </c>
      <c r="C33" s="153">
        <v>39211</v>
      </c>
      <c r="D33" s="154">
        <v>0.4305555555555556</v>
      </c>
      <c r="E33" s="148" t="s">
        <v>5</v>
      </c>
      <c r="K33" s="147" t="s">
        <v>96</v>
      </c>
      <c r="L33" s="147" t="s">
        <v>10</v>
      </c>
      <c r="M33" s="148">
        <v>8</v>
      </c>
      <c r="N33" s="149">
        <v>43429.34015999999</v>
      </c>
      <c r="O33" s="149">
        <f t="shared" si="0"/>
        <v>347434.72127999994</v>
      </c>
      <c r="P33" s="150">
        <f t="shared" si="1"/>
        <v>57.492411983313744</v>
      </c>
    </row>
    <row r="34" spans="1:16" ht="12.75">
      <c r="A34" s="10" t="s">
        <v>50</v>
      </c>
      <c r="B34" s="5" t="s">
        <v>51</v>
      </c>
      <c r="C34" s="9">
        <v>39211</v>
      </c>
      <c r="D34" s="3">
        <v>0.4305555555555556</v>
      </c>
      <c r="E34" s="6" t="s">
        <v>5</v>
      </c>
      <c r="K34" s="21" t="s">
        <v>78</v>
      </c>
      <c r="L34" s="11" t="s">
        <v>10</v>
      </c>
      <c r="M34" s="6">
        <v>16</v>
      </c>
      <c r="N34" s="23">
        <v>411.61810311111105</v>
      </c>
      <c r="O34" s="23">
        <f t="shared" si="0"/>
        <v>6585.889649777777</v>
      </c>
      <c r="P34" s="146">
        <f t="shared" si="1"/>
        <v>1.0898124390869914</v>
      </c>
    </row>
    <row r="35" spans="1:16" ht="12.75">
      <c r="A35" s="10" t="s">
        <v>50</v>
      </c>
      <c r="B35" s="5" t="s">
        <v>51</v>
      </c>
      <c r="C35" s="9">
        <v>39211</v>
      </c>
      <c r="D35" s="3">
        <v>0.4305555555555556</v>
      </c>
      <c r="E35" s="6" t="s">
        <v>5</v>
      </c>
      <c r="K35" s="21" t="s">
        <v>90</v>
      </c>
      <c r="L35" s="11" t="s">
        <v>10</v>
      </c>
      <c r="M35" s="6">
        <v>1</v>
      </c>
      <c r="N35" s="23">
        <v>17012.23763712</v>
      </c>
      <c r="O35" s="23">
        <f t="shared" si="0"/>
        <v>17012.23763712</v>
      </c>
      <c r="P35" s="146">
        <f t="shared" si="1"/>
        <v>2.815131922877398</v>
      </c>
    </row>
    <row r="36" spans="1:16" ht="12.75">
      <c r="A36" s="10" t="s">
        <v>50</v>
      </c>
      <c r="B36" s="5" t="s">
        <v>51</v>
      </c>
      <c r="C36" s="9">
        <v>39211</v>
      </c>
      <c r="D36" s="3">
        <v>0.4305555555555556</v>
      </c>
      <c r="E36" s="6" t="s">
        <v>5</v>
      </c>
      <c r="K36" s="21" t="s">
        <v>76</v>
      </c>
      <c r="L36" s="11" t="s">
        <v>10</v>
      </c>
      <c r="M36" s="6">
        <v>1</v>
      </c>
      <c r="N36" s="23">
        <v>31667.227199999994</v>
      </c>
      <c r="O36" s="23">
        <f t="shared" si="0"/>
        <v>31667.227199999994</v>
      </c>
      <c r="P36" s="146">
        <f t="shared" si="1"/>
        <v>5.240193800562451</v>
      </c>
    </row>
    <row r="37" spans="1:16" ht="12.75">
      <c r="A37" s="10" t="s">
        <v>50</v>
      </c>
      <c r="B37" s="5" t="s">
        <v>51</v>
      </c>
      <c r="C37" s="9">
        <v>39211</v>
      </c>
      <c r="D37" s="3">
        <v>0.4305555555555556</v>
      </c>
      <c r="E37" s="6" t="s">
        <v>5</v>
      </c>
      <c r="K37" s="21" t="s">
        <v>77</v>
      </c>
      <c r="L37" s="11" t="s">
        <v>10</v>
      </c>
      <c r="M37" s="6">
        <v>5</v>
      </c>
      <c r="N37" s="23">
        <v>449.0379306666667</v>
      </c>
      <c r="O37" s="23">
        <f t="shared" si="0"/>
        <v>2245.1896533333334</v>
      </c>
      <c r="P37" s="146">
        <f t="shared" si="1"/>
        <v>0.37152696787056533</v>
      </c>
    </row>
    <row r="38" spans="1:16" ht="12.75">
      <c r="A38" s="10" t="s">
        <v>50</v>
      </c>
      <c r="B38" s="5" t="s">
        <v>51</v>
      </c>
      <c r="C38" s="9">
        <v>39211</v>
      </c>
      <c r="D38" s="3">
        <v>0.4305555555555556</v>
      </c>
      <c r="E38" s="6" t="s">
        <v>5</v>
      </c>
      <c r="K38" s="21" t="s">
        <v>75</v>
      </c>
      <c r="L38" s="11" t="s">
        <v>10</v>
      </c>
      <c r="M38" s="6">
        <v>94</v>
      </c>
      <c r="N38" s="23">
        <v>65.97339</v>
      </c>
      <c r="O38" s="23">
        <f t="shared" si="0"/>
        <v>6201.498659999999</v>
      </c>
      <c r="P38" s="146">
        <f t="shared" si="1"/>
        <v>1.0262046192768133</v>
      </c>
    </row>
    <row r="39" spans="1:16" ht="12.75">
      <c r="A39" s="10" t="s">
        <v>50</v>
      </c>
      <c r="B39" s="5" t="s">
        <v>51</v>
      </c>
      <c r="C39" s="9">
        <v>39211</v>
      </c>
      <c r="D39" s="3">
        <v>0.4305555555555556</v>
      </c>
      <c r="E39" s="6" t="s">
        <v>5</v>
      </c>
      <c r="K39" s="21" t="s">
        <v>74</v>
      </c>
      <c r="L39" s="11" t="s">
        <v>10</v>
      </c>
      <c r="M39" s="6">
        <v>48</v>
      </c>
      <c r="N39" s="23">
        <v>56.54861999999999</v>
      </c>
      <c r="O39" s="23">
        <f t="shared" si="0"/>
        <v>2714.3337599999995</v>
      </c>
      <c r="P39" s="146">
        <f t="shared" si="1"/>
        <v>0.4491594686196386</v>
      </c>
    </row>
    <row r="40" spans="1:16" ht="12.75">
      <c r="A40" s="10" t="s">
        <v>50</v>
      </c>
      <c r="B40" s="5" t="s">
        <v>51</v>
      </c>
      <c r="C40" s="9">
        <v>39211</v>
      </c>
      <c r="D40" s="3">
        <v>0.4305555555555556</v>
      </c>
      <c r="E40" s="6" t="s">
        <v>5</v>
      </c>
      <c r="K40" s="21" t="s">
        <v>73</v>
      </c>
      <c r="L40" s="11" t="s">
        <v>10</v>
      </c>
      <c r="M40" s="6">
        <v>3</v>
      </c>
      <c r="N40" s="23">
        <v>490.8734375</v>
      </c>
      <c r="O40" s="23">
        <f t="shared" si="0"/>
        <v>1472.6203125000002</v>
      </c>
      <c r="P40" s="146">
        <f t="shared" si="1"/>
        <v>0.24368460754103666</v>
      </c>
    </row>
    <row r="41" spans="1:16" ht="12.75">
      <c r="A41" s="10" t="s">
        <v>50</v>
      </c>
      <c r="B41" s="5" t="s">
        <v>51</v>
      </c>
      <c r="C41" s="9">
        <v>39211</v>
      </c>
      <c r="D41" s="3">
        <v>0.4305555555555556</v>
      </c>
      <c r="E41" s="6" t="s">
        <v>5</v>
      </c>
      <c r="K41" s="21" t="s">
        <v>94</v>
      </c>
      <c r="L41" s="11" t="s">
        <v>10</v>
      </c>
      <c r="M41" s="6">
        <v>16</v>
      </c>
      <c r="N41" s="23">
        <v>706.85775</v>
      </c>
      <c r="O41" s="23">
        <f t="shared" si="0"/>
        <v>11309.724</v>
      </c>
      <c r="P41" s="146">
        <f t="shared" si="1"/>
        <v>1.8714977859151611</v>
      </c>
    </row>
    <row r="42" spans="1:16" ht="12.75">
      <c r="A42" s="10" t="s">
        <v>50</v>
      </c>
      <c r="B42" s="5" t="s">
        <v>51</v>
      </c>
      <c r="C42" s="9">
        <v>39211</v>
      </c>
      <c r="D42" s="3">
        <v>0.4305555555555556</v>
      </c>
      <c r="E42" s="6" t="s">
        <v>5</v>
      </c>
      <c r="K42" s="21" t="s">
        <v>72</v>
      </c>
      <c r="L42" s="11" t="s">
        <v>10</v>
      </c>
      <c r="M42" s="6">
        <v>9</v>
      </c>
      <c r="N42" s="23">
        <v>2167.6971</v>
      </c>
      <c r="O42" s="23">
        <f t="shared" si="0"/>
        <v>19509.2739</v>
      </c>
      <c r="P42" s="146">
        <f t="shared" si="1"/>
        <v>3.228333680703653</v>
      </c>
    </row>
    <row r="43" spans="1:16" ht="12.75">
      <c r="A43" s="10" t="s">
        <v>50</v>
      </c>
      <c r="B43" s="5" t="s">
        <v>51</v>
      </c>
      <c r="C43" s="9">
        <v>39211</v>
      </c>
      <c r="D43" s="3">
        <v>0.4305555555555556</v>
      </c>
      <c r="E43" s="6" t="s">
        <v>5</v>
      </c>
      <c r="K43" s="21" t="s">
        <v>70</v>
      </c>
      <c r="L43" s="11" t="s">
        <v>10</v>
      </c>
      <c r="M43" s="6">
        <v>2</v>
      </c>
      <c r="N43" s="23">
        <v>141.37154999999996</v>
      </c>
      <c r="O43" s="23">
        <f t="shared" si="0"/>
        <v>282.7430999999999</v>
      </c>
      <c r="P43" s="146">
        <f t="shared" si="1"/>
        <v>0.04678744464787901</v>
      </c>
    </row>
    <row r="44" spans="1:16" ht="12.75">
      <c r="A44" s="10" t="s">
        <v>50</v>
      </c>
      <c r="B44" s="5" t="s">
        <v>51</v>
      </c>
      <c r="C44" s="9">
        <v>39211</v>
      </c>
      <c r="D44" s="3">
        <v>0.4305555555555556</v>
      </c>
      <c r="E44" s="6" t="s">
        <v>5</v>
      </c>
      <c r="K44" s="21" t="s">
        <v>69</v>
      </c>
      <c r="L44" s="11" t="s">
        <v>10</v>
      </c>
      <c r="M44" s="6">
        <v>31</v>
      </c>
      <c r="N44" s="23">
        <v>138.22996</v>
      </c>
      <c r="O44" s="23">
        <f t="shared" si="0"/>
        <v>4285.1287600000005</v>
      </c>
      <c r="P44" s="146">
        <f t="shared" si="1"/>
        <v>0.7090897166634111</v>
      </c>
    </row>
    <row r="45" spans="1:16" ht="12.75">
      <c r="A45" s="10" t="s">
        <v>50</v>
      </c>
      <c r="B45" s="5" t="s">
        <v>51</v>
      </c>
      <c r="C45" s="9">
        <v>39211</v>
      </c>
      <c r="D45" s="3">
        <v>0.4305555555555556</v>
      </c>
      <c r="E45" s="6" t="s">
        <v>5</v>
      </c>
      <c r="K45" s="21" t="s">
        <v>68</v>
      </c>
      <c r="L45" s="11" t="s">
        <v>10</v>
      </c>
      <c r="M45" s="6">
        <v>75</v>
      </c>
      <c r="N45" s="23">
        <v>301.59263999999996</v>
      </c>
      <c r="O45" s="23">
        <f t="shared" si="0"/>
        <v>22619.447999999997</v>
      </c>
      <c r="P45" s="146">
        <f t="shared" si="1"/>
        <v>3.742995571830322</v>
      </c>
    </row>
    <row r="46" spans="1:16" ht="12.75">
      <c r="A46" s="10" t="s">
        <v>50</v>
      </c>
      <c r="B46" s="5" t="s">
        <v>51</v>
      </c>
      <c r="C46" s="9">
        <v>39211</v>
      </c>
      <c r="D46" s="3">
        <v>0.4305555555555556</v>
      </c>
      <c r="E46" s="6" t="s">
        <v>5</v>
      </c>
      <c r="K46" s="21" t="s">
        <v>97</v>
      </c>
      <c r="L46" s="11" t="s">
        <v>10</v>
      </c>
      <c r="M46" s="6">
        <v>4</v>
      </c>
      <c r="N46" s="23">
        <v>8482.293</v>
      </c>
      <c r="O46" s="23">
        <f t="shared" si="0"/>
        <v>33929.172</v>
      </c>
      <c r="P46" s="146">
        <f t="shared" si="1"/>
        <v>5.614493357745483</v>
      </c>
    </row>
    <row r="47" spans="1:16" ht="12.75">
      <c r="A47" s="10" t="s">
        <v>50</v>
      </c>
      <c r="B47" s="5" t="s">
        <v>51</v>
      </c>
      <c r="C47" s="9">
        <v>39211</v>
      </c>
      <c r="D47" s="3">
        <v>0.4305555555555556</v>
      </c>
      <c r="E47" s="6" t="s">
        <v>5</v>
      </c>
      <c r="K47" s="21" t="s">
        <v>66</v>
      </c>
      <c r="L47" s="11" t="s">
        <v>10</v>
      </c>
      <c r="M47" s="6">
        <v>1</v>
      </c>
      <c r="N47" s="23">
        <v>628.318</v>
      </c>
      <c r="O47" s="23">
        <f t="shared" si="0"/>
        <v>628.318</v>
      </c>
      <c r="P47" s="146">
        <f t="shared" si="1"/>
        <v>0.10397209921750895</v>
      </c>
    </row>
    <row r="48" spans="1:16" ht="12.75">
      <c r="A48" s="10" t="s">
        <v>50</v>
      </c>
      <c r="B48" s="5" t="s">
        <v>51</v>
      </c>
      <c r="C48" s="9">
        <v>39211</v>
      </c>
      <c r="D48" s="3">
        <v>0.4305555555555556</v>
      </c>
      <c r="E48" s="6" t="s">
        <v>5</v>
      </c>
      <c r="K48" s="21" t="s">
        <v>65</v>
      </c>
      <c r="L48" s="11" t="s">
        <v>10</v>
      </c>
      <c r="M48" s="6">
        <v>7</v>
      </c>
      <c r="N48" s="23">
        <v>122.52201</v>
      </c>
      <c r="O48" s="23">
        <f t="shared" si="0"/>
        <v>857.6540699999999</v>
      </c>
      <c r="P48" s="146">
        <f t="shared" si="1"/>
        <v>0.14192191543189972</v>
      </c>
    </row>
    <row r="49" spans="1:16" ht="12.75">
      <c r="A49" s="10" t="s">
        <v>50</v>
      </c>
      <c r="B49" s="5" t="s">
        <v>51</v>
      </c>
      <c r="C49" s="9">
        <v>39211</v>
      </c>
      <c r="D49" s="3">
        <v>0.4305555555555556</v>
      </c>
      <c r="E49" s="6" t="s">
        <v>5</v>
      </c>
      <c r="K49" s="21" t="s">
        <v>64</v>
      </c>
      <c r="L49" s="11" t="s">
        <v>10</v>
      </c>
      <c r="M49" s="6">
        <v>30</v>
      </c>
      <c r="N49" s="23">
        <v>47.123850000000004</v>
      </c>
      <c r="O49" s="23">
        <f t="shared" si="0"/>
        <v>1413.7155000000002</v>
      </c>
      <c r="P49" s="146">
        <f t="shared" si="1"/>
        <v>0.2339372232393952</v>
      </c>
    </row>
    <row r="50" spans="1:16" ht="12.75">
      <c r="A50" s="10" t="s">
        <v>50</v>
      </c>
      <c r="B50" s="5" t="s">
        <v>51</v>
      </c>
      <c r="C50" s="9">
        <v>39211</v>
      </c>
      <c r="D50" s="3">
        <v>0.4305555555555556</v>
      </c>
      <c r="E50" s="6" t="s">
        <v>5</v>
      </c>
      <c r="K50" s="21" t="s">
        <v>63</v>
      </c>
      <c r="L50" s="11" t="s">
        <v>10</v>
      </c>
      <c r="M50" s="6">
        <v>11</v>
      </c>
      <c r="N50" s="23">
        <v>530.1433125</v>
      </c>
      <c r="O50" s="23">
        <f t="shared" si="0"/>
        <v>5831.5764375</v>
      </c>
      <c r="P50" s="146">
        <f t="shared" si="1"/>
        <v>0.9649910458625051</v>
      </c>
    </row>
    <row r="51" spans="1:16" ht="12.75">
      <c r="A51" s="10" t="s">
        <v>50</v>
      </c>
      <c r="B51" s="5" t="s">
        <v>51</v>
      </c>
      <c r="C51" s="9">
        <v>39211</v>
      </c>
      <c r="D51" s="3">
        <v>0.4305555555555556</v>
      </c>
      <c r="E51" s="6" t="s">
        <v>5</v>
      </c>
      <c r="K51" s="21" t="s">
        <v>62</v>
      </c>
      <c r="L51" s="11" t="s">
        <v>10</v>
      </c>
      <c r="M51" s="6">
        <v>3</v>
      </c>
      <c r="N51" s="23">
        <v>207.34494</v>
      </c>
      <c r="O51" s="23">
        <f t="shared" si="0"/>
        <v>622.0348200000001</v>
      </c>
      <c r="P51" s="146">
        <f t="shared" si="1"/>
        <v>0.10293237822533388</v>
      </c>
    </row>
    <row r="52" spans="1:16" ht="12.75">
      <c r="A52" s="10" t="s">
        <v>50</v>
      </c>
      <c r="B52" s="5" t="s">
        <v>51</v>
      </c>
      <c r="C52" s="9">
        <v>39211</v>
      </c>
      <c r="D52" s="3">
        <v>0.4305555555555556</v>
      </c>
      <c r="E52" s="6" t="s">
        <v>5</v>
      </c>
      <c r="K52" s="21" t="s">
        <v>61</v>
      </c>
      <c r="L52" s="11" t="s">
        <v>10</v>
      </c>
      <c r="M52" s="6">
        <v>17</v>
      </c>
      <c r="N52" s="23">
        <v>414.68988</v>
      </c>
      <c r="O52" s="23">
        <f t="shared" si="0"/>
        <v>7049.72796</v>
      </c>
      <c r="P52" s="146">
        <f t="shared" si="1"/>
        <v>1.1665669532204503</v>
      </c>
    </row>
    <row r="53" spans="1:16" ht="12.75">
      <c r="A53" s="10" t="s">
        <v>50</v>
      </c>
      <c r="B53" s="5" t="s">
        <v>51</v>
      </c>
      <c r="C53" s="9">
        <v>39211</v>
      </c>
      <c r="D53" s="3">
        <v>0.4305555555555556</v>
      </c>
      <c r="E53" s="6" t="s">
        <v>5</v>
      </c>
      <c r="K53" s="21" t="s">
        <v>59</v>
      </c>
      <c r="L53" s="11" t="s">
        <v>10</v>
      </c>
      <c r="M53" s="6">
        <v>4</v>
      </c>
      <c r="N53" s="23">
        <v>376.99080000000004</v>
      </c>
      <c r="O53" s="23">
        <f t="shared" si="0"/>
        <v>1507.9632000000001</v>
      </c>
      <c r="P53" s="146">
        <f t="shared" si="1"/>
        <v>0.24953303812202152</v>
      </c>
    </row>
    <row r="54" spans="1:16" ht="12.75">
      <c r="A54" s="10" t="s">
        <v>50</v>
      </c>
      <c r="B54" s="5" t="s">
        <v>51</v>
      </c>
      <c r="C54" s="9">
        <v>39211</v>
      </c>
      <c r="D54" s="3">
        <v>0.4305555555555556</v>
      </c>
      <c r="E54" s="6" t="s">
        <v>5</v>
      </c>
      <c r="K54" s="21" t="s">
        <v>57</v>
      </c>
      <c r="L54" s="11" t="s">
        <v>10</v>
      </c>
      <c r="M54" s="6">
        <v>7</v>
      </c>
      <c r="N54" s="23">
        <v>322.5</v>
      </c>
      <c r="O54" s="23">
        <f t="shared" si="0"/>
        <v>2257.5</v>
      </c>
      <c r="P54" s="146">
        <f t="shared" si="1"/>
        <v>0.3735640455685281</v>
      </c>
    </row>
    <row r="55" spans="1:16" ht="12.75">
      <c r="A55" s="10" t="s">
        <v>50</v>
      </c>
      <c r="B55" s="5" t="s">
        <v>51</v>
      </c>
      <c r="C55" s="9">
        <v>39211</v>
      </c>
      <c r="D55" s="3">
        <v>0.4305555555555556</v>
      </c>
      <c r="E55" s="6" t="s">
        <v>5</v>
      </c>
      <c r="K55" s="21" t="s">
        <v>56</v>
      </c>
      <c r="L55" s="11" t="s">
        <v>10</v>
      </c>
      <c r="M55" s="6">
        <v>95</v>
      </c>
      <c r="N55" s="23">
        <v>450</v>
      </c>
      <c r="O55" s="23">
        <f t="shared" si="0"/>
        <v>42750</v>
      </c>
      <c r="P55" s="146">
        <f t="shared" si="1"/>
        <v>7.074136411098373</v>
      </c>
    </row>
    <row r="56" spans="1:16" ht="12.75">
      <c r="A56" s="10" t="s">
        <v>50</v>
      </c>
      <c r="B56" s="5" t="s">
        <v>51</v>
      </c>
      <c r="C56" s="9">
        <v>39211</v>
      </c>
      <c r="D56" s="3">
        <v>0.4305555555555556</v>
      </c>
      <c r="E56" s="6" t="s">
        <v>5</v>
      </c>
      <c r="K56" s="21" t="s">
        <v>55</v>
      </c>
      <c r="L56" s="11" t="s">
        <v>10</v>
      </c>
      <c r="M56" s="6">
        <v>2</v>
      </c>
      <c r="N56" s="23">
        <v>353.42887499999995</v>
      </c>
      <c r="O56" s="23">
        <f t="shared" si="0"/>
        <v>706.8577499999999</v>
      </c>
      <c r="P56" s="146">
        <f t="shared" si="1"/>
        <v>0.11696861161969756</v>
      </c>
    </row>
    <row r="57" spans="1:16" ht="12.75">
      <c r="A57" s="134" t="s">
        <v>50</v>
      </c>
      <c r="B57" s="135" t="s">
        <v>51</v>
      </c>
      <c r="C57" s="136">
        <v>39211</v>
      </c>
      <c r="D57" s="137">
        <v>0.4305555555555556</v>
      </c>
      <c r="E57" s="119" t="s">
        <v>5</v>
      </c>
      <c r="F57" s="121"/>
      <c r="G57" s="121"/>
      <c r="H57" s="121"/>
      <c r="I57" s="121"/>
      <c r="J57" s="121"/>
      <c r="K57" s="120" t="s">
        <v>54</v>
      </c>
      <c r="L57" s="122" t="s">
        <v>10</v>
      </c>
      <c r="M57" s="119">
        <v>2</v>
      </c>
      <c r="N57" s="123">
        <v>9600</v>
      </c>
      <c r="O57" s="123">
        <f t="shared" si="0"/>
        <v>19200</v>
      </c>
      <c r="P57" s="146">
        <f t="shared" si="1"/>
        <v>3.1771560021775147</v>
      </c>
    </row>
    <row r="58" spans="1:15" ht="12.75">
      <c r="A58" s="119"/>
      <c r="B58" s="119"/>
      <c r="C58" s="120"/>
      <c r="D58" s="120"/>
      <c r="E58" s="119"/>
      <c r="F58" s="121"/>
      <c r="G58" s="121"/>
      <c r="H58" s="121"/>
      <c r="I58" s="121"/>
      <c r="J58" s="121"/>
      <c r="K58" s="120" t="s">
        <v>2</v>
      </c>
      <c r="L58" s="122"/>
      <c r="M58" s="119">
        <f>SUM(M31:M57)</f>
        <v>541</v>
      </c>
      <c r="N58" s="123"/>
      <c r="O58" s="123">
        <f>SUM(O31:O57)</f>
        <v>604314.0464881476</v>
      </c>
    </row>
    <row r="59" spans="1:15" ht="12.75">
      <c r="A59" s="129"/>
      <c r="B59" s="129"/>
      <c r="C59" s="127"/>
      <c r="D59" s="127"/>
      <c r="E59" s="129"/>
      <c r="F59" s="126"/>
      <c r="G59" s="126"/>
      <c r="H59" s="126"/>
      <c r="I59" s="126"/>
      <c r="J59" s="126"/>
      <c r="K59" s="127" t="s">
        <v>53</v>
      </c>
      <c r="L59" s="127">
        <f>O58/M58</f>
        <v>1117.0315092202359</v>
      </c>
      <c r="M59" s="129"/>
      <c r="N59" s="129"/>
      <c r="O59" s="138"/>
    </row>
  </sheetData>
  <sheetProtection/>
  <mergeCells count="2">
    <mergeCell ref="A1:S1"/>
    <mergeCell ref="A27:S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80"/>
  <sheetViews>
    <sheetView zoomScale="85" zoomScaleNormal="85" zoomScalePageLayoutView="0" workbookViewId="0" topLeftCell="A1">
      <selection activeCell="P54" sqref="P54"/>
    </sheetView>
  </sheetViews>
  <sheetFormatPr defaultColWidth="9.140625" defaultRowHeight="12.75"/>
  <cols>
    <col min="1" max="1" width="16.140625" style="0" bestFit="1" customWidth="1"/>
    <col min="2" max="2" width="40.57421875" style="0" bestFit="1" customWidth="1"/>
    <col min="4" max="4" width="5.57421875" style="0" bestFit="1" customWidth="1"/>
    <col min="5" max="5" width="9.28125" style="0" bestFit="1" customWidth="1"/>
    <col min="6" max="6" width="13.28125" style="0" customWidth="1"/>
    <col min="7" max="7" width="8.00390625" style="0" hidden="1" customWidth="1"/>
    <col min="8" max="8" width="7.421875" style="0" hidden="1" customWidth="1"/>
    <col min="9" max="9" width="9.8515625" style="0" hidden="1" customWidth="1"/>
    <col min="10" max="10" width="12.00390625" style="0" hidden="1" customWidth="1"/>
    <col min="11" max="11" width="29.140625" style="0" bestFit="1" customWidth="1"/>
    <col min="12" max="12" width="13.28125" style="0" bestFit="1" customWidth="1"/>
    <col min="13" max="13" width="6.8515625" style="0" bestFit="1" customWidth="1"/>
    <col min="14" max="14" width="18.57421875" style="0" bestFit="1" customWidth="1"/>
    <col min="15" max="15" width="21.421875" style="0" bestFit="1" customWidth="1"/>
    <col min="16" max="16" width="17.00390625" style="0" bestFit="1" customWidth="1"/>
    <col min="17" max="18" width="9.8515625" style="0" bestFit="1" customWidth="1"/>
    <col min="19" max="19" width="11.00390625" style="0" customWidth="1"/>
  </cols>
  <sheetData>
    <row r="1" spans="1:19" ht="26.25">
      <c r="A1" s="181" t="s">
        <v>1</v>
      </c>
      <c r="B1" s="181"/>
      <c r="C1" s="181"/>
      <c r="D1" s="181"/>
      <c r="E1" s="181"/>
      <c r="F1" s="181"/>
      <c r="G1" s="181"/>
      <c r="H1" s="181"/>
      <c r="I1" s="181"/>
      <c r="J1" s="181"/>
      <c r="K1" s="181"/>
      <c r="L1" s="181"/>
      <c r="M1" s="181"/>
      <c r="N1" s="181"/>
      <c r="O1" s="181"/>
      <c r="P1" s="181"/>
      <c r="Q1" s="181"/>
      <c r="R1" s="181"/>
      <c r="S1" s="181"/>
    </row>
    <row r="2" spans="1:19" s="97" customFormat="1" ht="12.75">
      <c r="A2" s="107" t="s">
        <v>28</v>
      </c>
      <c r="B2" s="107" t="s">
        <v>145</v>
      </c>
      <c r="C2" s="92" t="s">
        <v>26</v>
      </c>
      <c r="D2" s="92"/>
      <c r="E2" s="94" t="s">
        <v>24</v>
      </c>
      <c r="F2" s="107" t="s">
        <v>24</v>
      </c>
      <c r="G2" s="107" t="s">
        <v>29</v>
      </c>
      <c r="H2" s="107" t="s">
        <v>22</v>
      </c>
      <c r="I2" s="107" t="s">
        <v>14</v>
      </c>
      <c r="J2" s="107" t="s">
        <v>21</v>
      </c>
      <c r="K2" s="108" t="s">
        <v>169</v>
      </c>
      <c r="L2" s="108" t="s">
        <v>20</v>
      </c>
      <c r="M2" s="107" t="s">
        <v>19</v>
      </c>
      <c r="N2" s="109" t="s">
        <v>134</v>
      </c>
      <c r="O2" s="96" t="s">
        <v>134</v>
      </c>
      <c r="P2" s="96" t="s">
        <v>98</v>
      </c>
      <c r="Q2" s="107" t="s">
        <v>18</v>
      </c>
      <c r="R2" s="107" t="s">
        <v>17</v>
      </c>
      <c r="S2" s="107" t="s">
        <v>17</v>
      </c>
    </row>
    <row r="3" spans="1:19" s="106" customFormat="1" ht="14.25">
      <c r="A3" s="100"/>
      <c r="B3" s="100"/>
      <c r="C3" s="110"/>
      <c r="D3" s="110"/>
      <c r="E3" s="100" t="s">
        <v>16</v>
      </c>
      <c r="F3" s="111" t="s">
        <v>15</v>
      </c>
      <c r="G3" s="111" t="s">
        <v>14</v>
      </c>
      <c r="H3" s="111"/>
      <c r="I3" s="111" t="s">
        <v>13</v>
      </c>
      <c r="J3" s="111"/>
      <c r="K3" s="112"/>
      <c r="L3" s="112"/>
      <c r="M3" s="111"/>
      <c r="N3" s="103" t="s">
        <v>99</v>
      </c>
      <c r="O3" s="104" t="s">
        <v>100</v>
      </c>
      <c r="P3" s="104" t="s">
        <v>135</v>
      </c>
      <c r="Q3" s="111" t="s">
        <v>12</v>
      </c>
      <c r="R3" s="113" t="s">
        <v>136</v>
      </c>
      <c r="S3" s="113" t="s">
        <v>137</v>
      </c>
    </row>
    <row r="4" spans="1:18" ht="12.75">
      <c r="A4" s="17"/>
      <c r="B4" s="17"/>
      <c r="C4" s="17"/>
      <c r="D4" s="17"/>
      <c r="E4" s="15"/>
      <c r="F4" s="18"/>
      <c r="G4" s="18"/>
      <c r="H4" s="18"/>
      <c r="I4" s="18"/>
      <c r="J4" s="18"/>
      <c r="K4" s="19"/>
      <c r="L4" s="19"/>
      <c r="M4" s="18"/>
      <c r="N4" s="20"/>
      <c r="O4" s="20"/>
      <c r="P4" s="20"/>
      <c r="Q4" s="18"/>
      <c r="R4" s="18"/>
    </row>
    <row r="5" spans="1:19" ht="12.75">
      <c r="A5" s="24">
        <v>440321103181101</v>
      </c>
      <c r="B5" s="5" t="s">
        <v>38</v>
      </c>
      <c r="C5" s="9">
        <v>39212</v>
      </c>
      <c r="D5" s="3">
        <v>0.3229166666666667</v>
      </c>
      <c r="E5" s="6" t="s">
        <v>5</v>
      </c>
      <c r="F5" s="6">
        <v>0.3</v>
      </c>
      <c r="G5" s="6">
        <v>0.15904</v>
      </c>
      <c r="H5" s="6">
        <v>2</v>
      </c>
      <c r="I5" s="6">
        <f>G5*H5</f>
        <v>0.31808</v>
      </c>
      <c r="J5" s="6">
        <f>((201.062/I5)/F5)</f>
        <v>2107.0380617035553</v>
      </c>
      <c r="K5" s="21" t="s">
        <v>11</v>
      </c>
      <c r="L5" s="11" t="s">
        <v>10</v>
      </c>
      <c r="M5" s="6">
        <v>530</v>
      </c>
      <c r="N5" s="22">
        <f>J5*M5</f>
        <v>1116730.1727028843</v>
      </c>
      <c r="O5" s="22">
        <f>N5*1040</f>
        <v>1161399379.6109996</v>
      </c>
      <c r="P5" s="22">
        <f>O5/1039</f>
        <v>1117804.9851886425</v>
      </c>
      <c r="Q5" s="23">
        <v>489.66054139374575</v>
      </c>
      <c r="R5" s="22">
        <f>N5*Q5</f>
        <v>546818700.9564255</v>
      </c>
      <c r="S5" s="2">
        <f>P5*Q5</f>
        <v>547344994.2200986</v>
      </c>
    </row>
    <row r="6" spans="1:19" ht="12.75">
      <c r="A6" s="24">
        <v>440321103181101</v>
      </c>
      <c r="B6" s="5" t="s">
        <v>38</v>
      </c>
      <c r="C6" s="9">
        <v>39212</v>
      </c>
      <c r="D6" s="3">
        <v>0.3229166666666667</v>
      </c>
      <c r="E6" s="6" t="s">
        <v>5</v>
      </c>
      <c r="F6" s="6">
        <v>0.3</v>
      </c>
      <c r="G6" s="6">
        <v>7.04</v>
      </c>
      <c r="H6" s="6">
        <v>1</v>
      </c>
      <c r="I6" s="6">
        <f>G6*H6</f>
        <v>7.04</v>
      </c>
      <c r="J6" s="6">
        <f>((201.062/I6)/F6)</f>
        <v>95.19981060606062</v>
      </c>
      <c r="K6" s="21" t="s">
        <v>39</v>
      </c>
      <c r="L6" s="21" t="s">
        <v>8</v>
      </c>
      <c r="M6" s="6">
        <v>88</v>
      </c>
      <c r="N6" s="22">
        <f>J6*M6</f>
        <v>8377.583333333336</v>
      </c>
      <c r="O6" s="22">
        <f>N6*1040</f>
        <v>8712686.66666667</v>
      </c>
      <c r="P6" s="22">
        <f>O6/1039</f>
        <v>8385.64645492461</v>
      </c>
      <c r="Q6" s="23">
        <v>2256.4470174999997</v>
      </c>
      <c r="R6" s="22">
        <f>N6*Q6</f>
        <v>18903572.926357713</v>
      </c>
      <c r="S6" s="2">
        <f>P6*Q6</f>
        <v>18921766.933024082</v>
      </c>
    </row>
    <row r="7" spans="1:19" ht="12.75">
      <c r="A7" s="24">
        <v>440321103181101</v>
      </c>
      <c r="B7" s="5" t="s">
        <v>38</v>
      </c>
      <c r="C7" s="9">
        <v>39212</v>
      </c>
      <c r="D7" s="3">
        <v>0.3229166666666667</v>
      </c>
      <c r="E7" s="6" t="s">
        <v>5</v>
      </c>
      <c r="F7" s="6">
        <v>0.3</v>
      </c>
      <c r="G7" s="6">
        <v>7.04</v>
      </c>
      <c r="H7" s="6">
        <v>1</v>
      </c>
      <c r="I7" s="6">
        <f>G7*H7</f>
        <v>7.04</v>
      </c>
      <c r="J7" s="6">
        <f>((201.062/I7)/F7)</f>
        <v>95.19981060606062</v>
      </c>
      <c r="K7" s="21" t="s">
        <v>36</v>
      </c>
      <c r="L7" s="21" t="s">
        <v>8</v>
      </c>
      <c r="M7" s="6">
        <v>35</v>
      </c>
      <c r="N7" s="22">
        <f>J7*M7</f>
        <v>3331.993371212122</v>
      </c>
      <c r="O7" s="22">
        <f>N7*1040</f>
        <v>3465273.106060607</v>
      </c>
      <c r="P7" s="22">
        <f>O7/1039</f>
        <v>3335.2002945722875</v>
      </c>
      <c r="Q7" s="23">
        <v>311.01741</v>
      </c>
      <c r="R7" s="22">
        <f>N7*Q7</f>
        <v>1036307.9484515627</v>
      </c>
      <c r="S7" s="2">
        <f>P7*Q7</f>
        <v>1037305.3574491099</v>
      </c>
    </row>
    <row r="8" spans="1:19" ht="12.75">
      <c r="A8" s="24">
        <v>440321103181101</v>
      </c>
      <c r="B8" s="5" t="s">
        <v>38</v>
      </c>
      <c r="C8" s="9">
        <v>39212</v>
      </c>
      <c r="D8" s="3">
        <v>0.3229166666666667</v>
      </c>
      <c r="E8" s="6" t="s">
        <v>5</v>
      </c>
      <c r="F8" s="6">
        <v>0.3</v>
      </c>
      <c r="G8" s="25">
        <v>7.04</v>
      </c>
      <c r="H8" s="6">
        <v>1</v>
      </c>
      <c r="I8" s="6">
        <f>G8*H8</f>
        <v>7.04</v>
      </c>
      <c r="J8" s="25">
        <f>((201.062/I8)/F8)</f>
        <v>95.19981060606062</v>
      </c>
      <c r="K8" s="21" t="s">
        <v>40</v>
      </c>
      <c r="L8" s="21" t="s">
        <v>3</v>
      </c>
      <c r="M8" s="6">
        <v>93</v>
      </c>
      <c r="N8" s="22">
        <f>J8*M8</f>
        <v>8853.582386363638</v>
      </c>
      <c r="O8" s="22">
        <f>N8*1040</f>
        <v>9207725.681818184</v>
      </c>
      <c r="P8" s="22">
        <f>O8/1039</f>
        <v>8862.103639863506</v>
      </c>
      <c r="Q8" s="23">
        <v>100.53088</v>
      </c>
      <c r="R8" s="22">
        <f>N8*Q8</f>
        <v>890058.4284536365</v>
      </c>
      <c r="S8" s="2">
        <f>P8*Q8</f>
        <v>890915.0775666813</v>
      </c>
    </row>
    <row r="9" spans="1:19" ht="12.75">
      <c r="A9" s="24">
        <v>440321103181101</v>
      </c>
      <c r="B9" s="5" t="s">
        <v>38</v>
      </c>
      <c r="C9" s="9">
        <v>39212</v>
      </c>
      <c r="D9" s="3">
        <v>0.3229166666666667</v>
      </c>
      <c r="E9" s="6" t="s">
        <v>5</v>
      </c>
      <c r="F9" s="6">
        <v>0.3</v>
      </c>
      <c r="G9" s="25">
        <v>7.04</v>
      </c>
      <c r="H9" s="6">
        <v>1</v>
      </c>
      <c r="I9" s="6">
        <f>G9*H9</f>
        <v>7.04</v>
      </c>
      <c r="J9" s="25">
        <f>((201.062/I9)/F9)</f>
        <v>95.19981060606062</v>
      </c>
      <c r="K9" s="21" t="s">
        <v>4</v>
      </c>
      <c r="L9" s="21" t="s">
        <v>3</v>
      </c>
      <c r="M9" s="6">
        <v>149</v>
      </c>
      <c r="N9" s="22">
        <f>J9*M9</f>
        <v>14184.771780303034</v>
      </c>
      <c r="O9" s="22">
        <f>N9*1040</f>
        <v>14752162.651515154</v>
      </c>
      <c r="P9" s="22">
        <f>O9/1039</f>
        <v>14198.424111179167</v>
      </c>
      <c r="Q9" s="23">
        <v>37.699079999999995</v>
      </c>
      <c r="R9" s="22">
        <f>N9*Q9</f>
        <v>534752.8461273864</v>
      </c>
      <c r="S9" s="2">
        <f>P9*Q9</f>
        <v>535267.5264412722</v>
      </c>
    </row>
    <row r="10" spans="1:19" s="126" customFormat="1" ht="12.75">
      <c r="A10" s="129"/>
      <c r="B10" s="129"/>
      <c r="C10" s="127"/>
      <c r="D10" s="127"/>
      <c r="E10" s="129"/>
      <c r="F10" s="129"/>
      <c r="G10" s="129"/>
      <c r="H10" s="129"/>
      <c r="I10" s="129"/>
      <c r="J10" s="129"/>
      <c r="K10" s="127" t="s">
        <v>2</v>
      </c>
      <c r="L10" s="127"/>
      <c r="M10" s="129">
        <f>SUM(M5:M9)</f>
        <v>895</v>
      </c>
      <c r="N10" s="133">
        <f>SUM(N5:N9)</f>
        <v>1151478.1035740962</v>
      </c>
      <c r="O10" s="133">
        <f>SUM(O5:O9)</f>
        <v>1197537227.7170603</v>
      </c>
      <c r="P10" s="133">
        <f>SUM(P5:P9)</f>
        <v>1152586.3596891821</v>
      </c>
      <c r="Q10" s="129"/>
      <c r="R10" s="133">
        <f>SUM(R5:R9)</f>
        <v>568183393.1058159</v>
      </c>
      <c r="S10" s="133">
        <f>SUM(S5:S9)</f>
        <v>568730249.1145796</v>
      </c>
    </row>
    <row r="11" ht="12.75">
      <c r="S11" s="1"/>
    </row>
    <row r="12" spans="1:19" s="97" customFormat="1" ht="12.75">
      <c r="A12" s="91" t="s">
        <v>28</v>
      </c>
      <c r="B12" s="92" t="s">
        <v>145</v>
      </c>
      <c r="C12" s="93" t="s">
        <v>26</v>
      </c>
      <c r="D12" s="92" t="s">
        <v>25</v>
      </c>
      <c r="E12" s="94" t="s">
        <v>24</v>
      </c>
      <c r="F12" s="91" t="s">
        <v>24</v>
      </c>
      <c r="G12" s="91" t="s">
        <v>23</v>
      </c>
      <c r="H12" s="91" t="s">
        <v>22</v>
      </c>
      <c r="I12" s="91" t="s">
        <v>14</v>
      </c>
      <c r="J12" s="91" t="s">
        <v>21</v>
      </c>
      <c r="K12" s="95" t="s">
        <v>169</v>
      </c>
      <c r="L12" s="95" t="s">
        <v>20</v>
      </c>
      <c r="M12" s="91" t="s">
        <v>19</v>
      </c>
      <c r="N12" s="96" t="s">
        <v>98</v>
      </c>
      <c r="O12" s="109" t="s">
        <v>98</v>
      </c>
      <c r="P12" s="96" t="s">
        <v>98</v>
      </c>
      <c r="Q12" s="91" t="s">
        <v>18</v>
      </c>
      <c r="R12" s="91" t="s">
        <v>17</v>
      </c>
      <c r="S12" s="107" t="s">
        <v>17</v>
      </c>
    </row>
    <row r="13" spans="1:19" s="106" customFormat="1" ht="14.25">
      <c r="A13" s="98"/>
      <c r="B13" s="98"/>
      <c r="C13" s="99"/>
      <c r="D13" s="99"/>
      <c r="E13" s="100" t="s">
        <v>16</v>
      </c>
      <c r="F13" s="101" t="s">
        <v>15</v>
      </c>
      <c r="G13" s="101" t="s">
        <v>14</v>
      </c>
      <c r="H13" s="101"/>
      <c r="I13" s="101" t="s">
        <v>13</v>
      </c>
      <c r="J13" s="101"/>
      <c r="K13" s="102"/>
      <c r="L13" s="102"/>
      <c r="M13" s="101"/>
      <c r="N13" s="103" t="s">
        <v>99</v>
      </c>
      <c r="O13" s="104" t="s">
        <v>100</v>
      </c>
      <c r="P13" s="104" t="s">
        <v>135</v>
      </c>
      <c r="Q13" s="101" t="s">
        <v>12</v>
      </c>
      <c r="R13" s="105" t="s">
        <v>136</v>
      </c>
      <c r="S13" s="113" t="s">
        <v>137</v>
      </c>
    </row>
    <row r="14" ht="12.75">
      <c r="S14" s="1"/>
    </row>
    <row r="15" spans="1:19" ht="12.75">
      <c r="A15" s="29">
        <v>440321103181101</v>
      </c>
      <c r="B15" s="5" t="s">
        <v>38</v>
      </c>
      <c r="C15" s="9">
        <v>39329</v>
      </c>
      <c r="D15" s="3">
        <v>0.6041666666666666</v>
      </c>
      <c r="E15" s="6" t="s">
        <v>5</v>
      </c>
      <c r="F15" s="6">
        <v>0.2</v>
      </c>
      <c r="G15" s="6">
        <v>0.15904</v>
      </c>
      <c r="H15" s="6">
        <v>20</v>
      </c>
      <c r="I15" s="6">
        <f aca="true" t="shared" si="0" ref="I15:I23">G15*H15</f>
        <v>3.1807999999999996</v>
      </c>
      <c r="J15" s="25">
        <f aca="true" t="shared" si="1" ref="J15:J23">((201.062/I15)/F15)</f>
        <v>316.05570925553326</v>
      </c>
      <c r="K15" s="21" t="s">
        <v>11</v>
      </c>
      <c r="L15" s="11" t="s">
        <v>10</v>
      </c>
      <c r="M15" s="6">
        <v>415</v>
      </c>
      <c r="N15" s="22">
        <f aca="true" t="shared" si="2" ref="N15:N23">J15*M15</f>
        <v>131163.11934104632</v>
      </c>
      <c r="O15" s="22">
        <f aca="true" t="shared" si="3" ref="O15:O23">N15*1030</f>
        <v>135098012.9212777</v>
      </c>
      <c r="P15" s="2">
        <f>O15/624</f>
        <v>216503.22583538093</v>
      </c>
      <c r="Q15" s="6">
        <v>239.68120016295052</v>
      </c>
      <c r="R15" s="22">
        <f aca="true" t="shared" si="4" ref="R15:R23">N15*Q15</f>
        <v>31437333.860778287</v>
      </c>
      <c r="S15" s="2">
        <f>P15*Q15</f>
        <v>51891753.00737441</v>
      </c>
    </row>
    <row r="16" spans="1:19" ht="12.75">
      <c r="A16" s="29">
        <v>440321103181101</v>
      </c>
      <c r="B16" s="5" t="s">
        <v>38</v>
      </c>
      <c r="C16" s="9">
        <v>39329</v>
      </c>
      <c r="D16" s="3">
        <v>0.6041666666666666</v>
      </c>
      <c r="E16" s="6" t="s">
        <v>5</v>
      </c>
      <c r="F16" s="6">
        <v>0.2</v>
      </c>
      <c r="G16" s="25">
        <v>100.53</v>
      </c>
      <c r="H16" s="6">
        <v>1</v>
      </c>
      <c r="I16" s="6">
        <f t="shared" si="0"/>
        <v>100.53</v>
      </c>
      <c r="J16" s="25">
        <f t="shared" si="1"/>
        <v>10.00009947279419</v>
      </c>
      <c r="K16" t="s">
        <v>9</v>
      </c>
      <c r="L16" s="21" t="s">
        <v>8</v>
      </c>
      <c r="M16" s="6">
        <v>3</v>
      </c>
      <c r="N16" s="22">
        <f t="shared" si="2"/>
        <v>30.00029841838257</v>
      </c>
      <c r="O16" s="22">
        <f t="shared" si="3"/>
        <v>30900.307370934046</v>
      </c>
      <c r="P16" s="2">
        <f aca="true" t="shared" si="5" ref="P16:P23">O16/624</f>
        <v>49.51972335085584</v>
      </c>
      <c r="Q16" s="23">
        <v>13546.536079999998</v>
      </c>
      <c r="R16" s="22">
        <f t="shared" si="4"/>
        <v>406400.12493538635</v>
      </c>
      <c r="S16" s="2">
        <f aca="true" t="shared" si="6" ref="S16:S23">P16*Q16</f>
        <v>670820.7190439871</v>
      </c>
    </row>
    <row r="17" spans="1:19" ht="12.75">
      <c r="A17" s="29">
        <v>440321103181101</v>
      </c>
      <c r="B17" s="5" t="s">
        <v>38</v>
      </c>
      <c r="C17" s="9">
        <v>39329</v>
      </c>
      <c r="D17" s="3">
        <v>0.6041666666666666</v>
      </c>
      <c r="E17" s="6" t="s">
        <v>5</v>
      </c>
      <c r="F17" s="6">
        <v>0.2</v>
      </c>
      <c r="G17" s="6">
        <v>7.04</v>
      </c>
      <c r="H17" s="6">
        <v>1</v>
      </c>
      <c r="I17" s="6">
        <f t="shared" si="0"/>
        <v>7.04</v>
      </c>
      <c r="J17" s="25">
        <f t="shared" si="1"/>
        <v>142.7997159090909</v>
      </c>
      <c r="K17" s="21" t="s">
        <v>35</v>
      </c>
      <c r="L17" s="21" t="s">
        <v>8</v>
      </c>
      <c r="M17" s="6">
        <v>16</v>
      </c>
      <c r="N17" s="22">
        <f t="shared" si="2"/>
        <v>2284.7954545454545</v>
      </c>
      <c r="O17" s="22">
        <f t="shared" si="3"/>
        <v>2353339.3181818184</v>
      </c>
      <c r="P17" s="2">
        <f t="shared" si="5"/>
        <v>3771.377112470863</v>
      </c>
      <c r="Q17" s="23">
        <v>47.51655</v>
      </c>
      <c r="R17" s="22">
        <f t="shared" si="4"/>
        <v>108565.59745568183</v>
      </c>
      <c r="S17" s="2">
        <f t="shared" si="6"/>
        <v>179202.82913357738</v>
      </c>
    </row>
    <row r="18" spans="1:19" ht="12.75">
      <c r="A18" s="29">
        <v>440321103181101</v>
      </c>
      <c r="B18" s="5" t="s">
        <v>38</v>
      </c>
      <c r="C18" s="9">
        <v>39329</v>
      </c>
      <c r="D18" s="3">
        <v>0.6041666666666666</v>
      </c>
      <c r="E18" s="6" t="s">
        <v>5</v>
      </c>
      <c r="F18" s="6">
        <v>0.2</v>
      </c>
      <c r="G18" s="6">
        <v>100.53</v>
      </c>
      <c r="H18" s="6">
        <v>1</v>
      </c>
      <c r="I18" s="6">
        <f t="shared" si="0"/>
        <v>100.53</v>
      </c>
      <c r="J18" s="6">
        <f t="shared" si="1"/>
        <v>10.00009947279419</v>
      </c>
      <c r="K18" t="s">
        <v>44</v>
      </c>
      <c r="L18" s="21" t="s">
        <v>8</v>
      </c>
      <c r="M18" s="6">
        <v>4</v>
      </c>
      <c r="N18" s="22">
        <f t="shared" si="2"/>
        <v>40.00039789117676</v>
      </c>
      <c r="O18" s="22">
        <f t="shared" si="3"/>
        <v>41200.409827912066</v>
      </c>
      <c r="P18" s="2">
        <f t="shared" si="5"/>
        <v>66.02629780114113</v>
      </c>
      <c r="Q18" s="23">
        <v>75.39816</v>
      </c>
      <c r="R18" s="22">
        <f t="shared" si="4"/>
        <v>3015.956400262608</v>
      </c>
      <c r="S18" s="2">
        <f>P18*Q18</f>
        <v>4978.261365818087</v>
      </c>
    </row>
    <row r="19" spans="1:19" ht="12.75">
      <c r="A19" s="29">
        <v>440321103181101</v>
      </c>
      <c r="B19" s="5" t="s">
        <v>38</v>
      </c>
      <c r="C19" s="9">
        <v>39329</v>
      </c>
      <c r="D19" s="3">
        <v>0.6041666666666666</v>
      </c>
      <c r="E19" s="6" t="s">
        <v>5</v>
      </c>
      <c r="F19" s="6">
        <v>0.2</v>
      </c>
      <c r="G19" s="6">
        <v>100.53</v>
      </c>
      <c r="H19" s="6">
        <v>1</v>
      </c>
      <c r="I19" s="6">
        <f t="shared" si="0"/>
        <v>100.53</v>
      </c>
      <c r="J19" s="25">
        <f t="shared" si="1"/>
        <v>10.00009947279419</v>
      </c>
      <c r="K19" s="21" t="s">
        <v>36</v>
      </c>
      <c r="L19" s="21" t="s">
        <v>8</v>
      </c>
      <c r="M19" s="6">
        <v>62</v>
      </c>
      <c r="N19" s="22">
        <f t="shared" si="2"/>
        <v>620.0061673132398</v>
      </c>
      <c r="O19" s="22">
        <f t="shared" si="3"/>
        <v>638606.352332637</v>
      </c>
      <c r="P19" s="2">
        <f t="shared" si="5"/>
        <v>1023.4076159176874</v>
      </c>
      <c r="Q19" s="23">
        <v>197.92016999999998</v>
      </c>
      <c r="R19" s="22">
        <f t="shared" si="4"/>
        <v>122711.72603568484</v>
      </c>
      <c r="S19" s="2">
        <f t="shared" si="6"/>
        <v>202553.00932172337</v>
      </c>
    </row>
    <row r="20" spans="1:19" ht="12.75">
      <c r="A20" s="29">
        <v>440321103181101</v>
      </c>
      <c r="B20" s="5" t="s">
        <v>38</v>
      </c>
      <c r="C20" s="9">
        <v>39329</v>
      </c>
      <c r="D20" s="3">
        <v>0.6041666666666666</v>
      </c>
      <c r="E20" s="6" t="s">
        <v>5</v>
      </c>
      <c r="F20" s="6">
        <v>0.2</v>
      </c>
      <c r="G20" s="6">
        <v>100.53</v>
      </c>
      <c r="H20" s="6">
        <v>1</v>
      </c>
      <c r="I20" s="6">
        <f t="shared" si="0"/>
        <v>100.53</v>
      </c>
      <c r="J20" s="25">
        <f t="shared" si="1"/>
        <v>10.00009947279419</v>
      </c>
      <c r="K20" s="21" t="s">
        <v>109</v>
      </c>
      <c r="L20" s="21" t="s">
        <v>3</v>
      </c>
      <c r="M20" s="6">
        <v>253</v>
      </c>
      <c r="N20" s="22">
        <f t="shared" si="2"/>
        <v>2530.02516661693</v>
      </c>
      <c r="O20" s="22">
        <f t="shared" si="3"/>
        <v>2605925.921615438</v>
      </c>
      <c r="P20" s="2">
        <f t="shared" si="5"/>
        <v>4176.163335922176</v>
      </c>
      <c r="Q20" s="23">
        <v>100.53088</v>
      </c>
      <c r="R20" s="22">
        <f t="shared" si="4"/>
        <v>254345.6564221466</v>
      </c>
      <c r="S20" s="2">
        <f t="shared" si="6"/>
        <v>419833.375183992</v>
      </c>
    </row>
    <row r="21" spans="1:19" ht="12.75">
      <c r="A21" s="29">
        <v>440321103181101</v>
      </c>
      <c r="B21" s="5" t="s">
        <v>38</v>
      </c>
      <c r="C21" s="9">
        <v>39329</v>
      </c>
      <c r="D21" s="3">
        <v>0.6041666666666666</v>
      </c>
      <c r="E21" s="6" t="s">
        <v>5</v>
      </c>
      <c r="F21" s="6">
        <v>0.2</v>
      </c>
      <c r="G21" s="6">
        <v>0.15904</v>
      </c>
      <c r="H21" s="6">
        <v>20</v>
      </c>
      <c r="I21" s="6">
        <f t="shared" si="0"/>
        <v>3.1807999999999996</v>
      </c>
      <c r="J21" s="25">
        <f t="shared" si="1"/>
        <v>316.05570925553326</v>
      </c>
      <c r="K21" s="21" t="s">
        <v>110</v>
      </c>
      <c r="L21" s="21" t="s">
        <v>3</v>
      </c>
      <c r="M21" s="6">
        <v>6</v>
      </c>
      <c r="N21" s="22">
        <f t="shared" si="2"/>
        <v>1896.3342555331997</v>
      </c>
      <c r="O21" s="22">
        <f t="shared" si="3"/>
        <v>1953224.2831991958</v>
      </c>
      <c r="P21" s="2">
        <f t="shared" si="5"/>
        <v>3130.1671205115317</v>
      </c>
      <c r="Q21" s="23">
        <v>4.188786666666666</v>
      </c>
      <c r="R21" s="22">
        <f t="shared" si="4"/>
        <v>7943.339645120725</v>
      </c>
      <c r="S21" s="2">
        <f t="shared" si="6"/>
        <v>13111.602298837095</v>
      </c>
    </row>
    <row r="22" spans="1:19" ht="12.75">
      <c r="A22" s="29">
        <v>440321103181101</v>
      </c>
      <c r="B22" s="5" t="s">
        <v>38</v>
      </c>
      <c r="C22" s="9">
        <v>39329</v>
      </c>
      <c r="D22" s="3">
        <v>0.6041666666666666</v>
      </c>
      <c r="E22" s="6" t="s">
        <v>5</v>
      </c>
      <c r="F22" s="6">
        <v>0.2</v>
      </c>
      <c r="G22" s="6">
        <v>0.15904</v>
      </c>
      <c r="H22" s="6">
        <v>20</v>
      </c>
      <c r="I22" s="6">
        <f t="shared" si="0"/>
        <v>3.1807999999999996</v>
      </c>
      <c r="J22" s="25">
        <f t="shared" si="1"/>
        <v>316.05570925553326</v>
      </c>
      <c r="K22" s="21" t="s">
        <v>37</v>
      </c>
      <c r="L22" s="21" t="s">
        <v>3</v>
      </c>
      <c r="M22" s="6">
        <v>24</v>
      </c>
      <c r="N22" s="22">
        <f t="shared" si="2"/>
        <v>7585.337022132799</v>
      </c>
      <c r="O22" s="22">
        <f t="shared" si="3"/>
        <v>7812897.132796783</v>
      </c>
      <c r="P22" s="2">
        <f t="shared" si="5"/>
        <v>12520.668482046127</v>
      </c>
      <c r="Q22" s="23">
        <v>1.570795</v>
      </c>
      <c r="R22" s="22">
        <f t="shared" si="4"/>
        <v>11915.00946768109</v>
      </c>
      <c r="S22" s="2">
        <f t="shared" si="6"/>
        <v>19667.403448255645</v>
      </c>
    </row>
    <row r="23" spans="1:19" ht="12.75">
      <c r="A23" s="29">
        <v>440321103181101</v>
      </c>
      <c r="B23" s="5" t="s">
        <v>38</v>
      </c>
      <c r="C23" s="9">
        <v>39329</v>
      </c>
      <c r="D23" s="3">
        <v>0.6041666666666666</v>
      </c>
      <c r="E23" s="6" t="s">
        <v>5</v>
      </c>
      <c r="F23" s="6">
        <v>0.2</v>
      </c>
      <c r="G23" s="6">
        <v>0.15904</v>
      </c>
      <c r="H23" s="6">
        <v>20</v>
      </c>
      <c r="I23" s="6">
        <f t="shared" si="0"/>
        <v>3.1807999999999996</v>
      </c>
      <c r="J23" s="25">
        <f t="shared" si="1"/>
        <v>316.05570925553326</v>
      </c>
      <c r="K23" t="s">
        <v>52</v>
      </c>
      <c r="L23" s="21" t="s">
        <v>3</v>
      </c>
      <c r="M23" s="6">
        <v>56</v>
      </c>
      <c r="N23" s="22">
        <f t="shared" si="2"/>
        <v>17699.119718309863</v>
      </c>
      <c r="O23" s="22">
        <f t="shared" si="3"/>
        <v>18230093.30985916</v>
      </c>
      <c r="P23" s="2">
        <f t="shared" si="5"/>
        <v>29214.893124774295</v>
      </c>
      <c r="Q23" s="23">
        <v>21.205732499999996</v>
      </c>
      <c r="R23" s="22">
        <f t="shared" si="4"/>
        <v>375322.7982319542</v>
      </c>
      <c r="S23" s="2">
        <f t="shared" si="6"/>
        <v>619523.2086200527</v>
      </c>
    </row>
    <row r="24" spans="1:19" s="126" customFormat="1" ht="12.75">
      <c r="A24" s="129"/>
      <c r="B24" s="130"/>
      <c r="C24" s="131"/>
      <c r="D24" s="132"/>
      <c r="E24" s="129"/>
      <c r="F24" s="129"/>
      <c r="G24" s="129"/>
      <c r="H24" s="129"/>
      <c r="I24" s="129"/>
      <c r="J24" s="129"/>
      <c r="K24" s="127" t="s">
        <v>2</v>
      </c>
      <c r="L24" s="127"/>
      <c r="M24" s="129">
        <f>SUM(M15:M23)</f>
        <v>839</v>
      </c>
      <c r="N24" s="133">
        <f>SUM(N15:N23)</f>
        <v>163848.73782180736</v>
      </c>
      <c r="O24" s="133">
        <f>SUM(O15:O23)</f>
        <v>168764199.9564616</v>
      </c>
      <c r="P24" s="133">
        <f>SUM(P15:P23)</f>
        <v>270455.4486481756</v>
      </c>
      <c r="Q24" s="129"/>
      <c r="R24" s="133">
        <f>SUM(R15:R23)</f>
        <v>32727554.069372203</v>
      </c>
      <c r="S24" s="133">
        <f>SUM(S15:S23)</f>
        <v>54021443.41579065</v>
      </c>
    </row>
    <row r="26" s="36" customFormat="1" ht="12.75"/>
    <row r="27" spans="1:19" ht="26.25">
      <c r="A27" s="181" t="s">
        <v>0</v>
      </c>
      <c r="B27" s="181"/>
      <c r="C27" s="181"/>
      <c r="D27" s="181"/>
      <c r="E27" s="181"/>
      <c r="F27" s="181"/>
      <c r="G27" s="181"/>
      <c r="H27" s="181"/>
      <c r="I27" s="181"/>
      <c r="J27" s="181"/>
      <c r="K27" s="181"/>
      <c r="L27" s="181"/>
      <c r="M27" s="181"/>
      <c r="N27" s="181"/>
      <c r="O27" s="181"/>
      <c r="P27" s="181"/>
      <c r="Q27" s="181"/>
      <c r="R27" s="181"/>
      <c r="S27" s="181"/>
    </row>
    <row r="28" spans="1:16" s="114" customFormat="1" ht="12.75">
      <c r="A28" s="107" t="s">
        <v>28</v>
      </c>
      <c r="B28" s="92" t="s">
        <v>145</v>
      </c>
      <c r="C28" s="92" t="s">
        <v>26</v>
      </c>
      <c r="D28" s="92" t="s">
        <v>25</v>
      </c>
      <c r="E28" s="94" t="s">
        <v>83</v>
      </c>
      <c r="K28" s="166" t="s">
        <v>169</v>
      </c>
      <c r="L28" s="107" t="s">
        <v>20</v>
      </c>
      <c r="M28" s="107" t="s">
        <v>19</v>
      </c>
      <c r="N28" s="107" t="s">
        <v>18</v>
      </c>
      <c r="O28" s="107" t="s">
        <v>17</v>
      </c>
      <c r="P28" s="178" t="s">
        <v>170</v>
      </c>
    </row>
    <row r="29" spans="1:16" s="116" customFormat="1" ht="14.25">
      <c r="A29" s="117"/>
      <c r="B29" s="110"/>
      <c r="C29" s="110"/>
      <c r="D29" s="110"/>
      <c r="E29" s="100" t="s">
        <v>16</v>
      </c>
      <c r="K29" s="111"/>
      <c r="L29" s="111"/>
      <c r="M29" s="111" t="s">
        <v>82</v>
      </c>
      <c r="N29" s="111" t="s">
        <v>12</v>
      </c>
      <c r="O29" s="113" t="s">
        <v>150</v>
      </c>
      <c r="P29" s="115" t="s">
        <v>171</v>
      </c>
    </row>
    <row r="30" spans="1:15" ht="12.75">
      <c r="A30" s="6"/>
      <c r="B30" s="6"/>
      <c r="C30" s="6"/>
      <c r="D30" s="21"/>
      <c r="E30" s="6"/>
      <c r="K30" s="21"/>
      <c r="L30" s="21"/>
      <c r="M30" s="6"/>
      <c r="N30" s="6"/>
      <c r="O30" s="6"/>
    </row>
    <row r="31" spans="1:16" ht="12.75">
      <c r="A31" s="29">
        <v>440321103181101</v>
      </c>
      <c r="B31" s="5" t="s">
        <v>38</v>
      </c>
      <c r="C31" s="9">
        <v>39212</v>
      </c>
      <c r="D31" s="3">
        <v>0.3229166666666667</v>
      </c>
      <c r="E31" s="6" t="s">
        <v>5</v>
      </c>
      <c r="K31" s="21" t="s">
        <v>80</v>
      </c>
      <c r="L31" s="11" t="s">
        <v>10</v>
      </c>
      <c r="M31" s="6">
        <v>17</v>
      </c>
      <c r="N31" s="23">
        <v>412.3336875</v>
      </c>
      <c r="O31" s="23">
        <f aca="true" t="shared" si="7" ref="O31:O50">N31*M31</f>
        <v>7009.6726875</v>
      </c>
      <c r="P31" s="146">
        <f>O31/$O$51*100</f>
        <v>2.711244651996956</v>
      </c>
    </row>
    <row r="32" spans="1:16" ht="12.75">
      <c r="A32" s="29">
        <v>440321103181101</v>
      </c>
      <c r="B32" s="5" t="s">
        <v>38</v>
      </c>
      <c r="C32" s="9">
        <v>39212</v>
      </c>
      <c r="D32" s="3">
        <v>0.3229166666666667</v>
      </c>
      <c r="E32" s="6" t="s">
        <v>5</v>
      </c>
      <c r="K32" s="21" t="s">
        <v>78</v>
      </c>
      <c r="L32" s="11" t="s">
        <v>10</v>
      </c>
      <c r="M32" s="6">
        <v>4</v>
      </c>
      <c r="N32" s="23">
        <v>411.61810311111105</v>
      </c>
      <c r="O32" s="23">
        <f t="shared" si="7"/>
        <v>1646.4724124444442</v>
      </c>
      <c r="P32" s="146">
        <f aca="true" t="shared" si="8" ref="P32:P50">O32/$O$51*100</f>
        <v>0.6368328054548019</v>
      </c>
    </row>
    <row r="33" spans="1:16" ht="12.75">
      <c r="A33" s="29">
        <v>440321103181101</v>
      </c>
      <c r="B33" s="5" t="s">
        <v>38</v>
      </c>
      <c r="C33" s="9">
        <v>39212</v>
      </c>
      <c r="D33" s="3">
        <v>0.3229166666666667</v>
      </c>
      <c r="E33" s="6" t="s">
        <v>5</v>
      </c>
      <c r="K33" s="21" t="s">
        <v>90</v>
      </c>
      <c r="L33" s="11" t="s">
        <v>10</v>
      </c>
      <c r="M33" s="6">
        <v>1</v>
      </c>
      <c r="N33" s="23">
        <v>17012.23763712</v>
      </c>
      <c r="O33" s="23">
        <f t="shared" si="7"/>
        <v>17012.23763712</v>
      </c>
      <c r="P33" s="146">
        <f t="shared" si="8"/>
        <v>6.580098724779856</v>
      </c>
    </row>
    <row r="34" spans="1:16" ht="12.75">
      <c r="A34" s="29">
        <v>440321103181101</v>
      </c>
      <c r="B34" s="5" t="s">
        <v>38</v>
      </c>
      <c r="C34" s="9">
        <v>39212</v>
      </c>
      <c r="D34" s="3">
        <v>0.3229166666666667</v>
      </c>
      <c r="E34" s="6" t="s">
        <v>5</v>
      </c>
      <c r="K34" s="21" t="s">
        <v>76</v>
      </c>
      <c r="L34" s="11" t="s">
        <v>10</v>
      </c>
      <c r="M34" s="6">
        <v>1</v>
      </c>
      <c r="N34" s="23">
        <v>31667.227199999994</v>
      </c>
      <c r="O34" s="23">
        <f t="shared" si="7"/>
        <v>31667.227199999994</v>
      </c>
      <c r="P34" s="146">
        <f t="shared" si="8"/>
        <v>12.24844642784507</v>
      </c>
    </row>
    <row r="35" spans="1:16" ht="12.75">
      <c r="A35" s="29">
        <v>440321103181101</v>
      </c>
      <c r="B35" s="5" t="s">
        <v>38</v>
      </c>
      <c r="C35" s="9">
        <v>39212</v>
      </c>
      <c r="D35" s="3">
        <v>0.3229166666666667</v>
      </c>
      <c r="E35" s="6" t="s">
        <v>5</v>
      </c>
      <c r="K35" s="21" t="s">
        <v>77</v>
      </c>
      <c r="L35" s="11" t="s">
        <v>10</v>
      </c>
      <c r="M35" s="6">
        <v>2</v>
      </c>
      <c r="N35" s="23">
        <v>449.0379306666667</v>
      </c>
      <c r="O35" s="23">
        <f t="shared" si="7"/>
        <v>898.0758613333334</v>
      </c>
      <c r="P35" s="146">
        <f t="shared" si="8"/>
        <v>0.347363348429892</v>
      </c>
    </row>
    <row r="36" spans="1:16" ht="12.75">
      <c r="A36" s="29">
        <v>440321103181101</v>
      </c>
      <c r="B36" s="5" t="s">
        <v>38</v>
      </c>
      <c r="C36" s="9">
        <v>39212</v>
      </c>
      <c r="D36" s="3">
        <v>0.3229166666666667</v>
      </c>
      <c r="E36" s="6" t="s">
        <v>5</v>
      </c>
      <c r="K36" s="21" t="s">
        <v>75</v>
      </c>
      <c r="L36" s="11" t="s">
        <v>10</v>
      </c>
      <c r="M36" s="6">
        <v>262</v>
      </c>
      <c r="N36" s="23">
        <v>65.97339</v>
      </c>
      <c r="O36" s="23">
        <f t="shared" si="7"/>
        <v>17285.028179999998</v>
      </c>
      <c r="P36" s="146">
        <f t="shared" si="8"/>
        <v>6.685610341865435</v>
      </c>
    </row>
    <row r="37" spans="1:16" ht="12.75">
      <c r="A37" s="29">
        <v>440321103181101</v>
      </c>
      <c r="B37" s="5" t="s">
        <v>38</v>
      </c>
      <c r="C37" s="9">
        <v>39212</v>
      </c>
      <c r="D37" s="3">
        <v>0.3229166666666667</v>
      </c>
      <c r="E37" s="6" t="s">
        <v>5</v>
      </c>
      <c r="K37" s="21" t="s">
        <v>74</v>
      </c>
      <c r="L37" s="11" t="s">
        <v>10</v>
      </c>
      <c r="M37" s="6">
        <v>103</v>
      </c>
      <c r="N37" s="23">
        <v>56.54861999999999</v>
      </c>
      <c r="O37" s="23">
        <f t="shared" si="7"/>
        <v>5824.507859999999</v>
      </c>
      <c r="P37" s="146">
        <f t="shared" si="8"/>
        <v>2.2528392536929327</v>
      </c>
    </row>
    <row r="38" spans="1:16" ht="12.75">
      <c r="A38" s="29">
        <v>440321103181101</v>
      </c>
      <c r="B38" s="5" t="s">
        <v>38</v>
      </c>
      <c r="C38" s="9">
        <v>39212</v>
      </c>
      <c r="D38" s="3">
        <v>0.3229166666666667</v>
      </c>
      <c r="E38" s="6" t="s">
        <v>5</v>
      </c>
      <c r="K38" s="21" t="s">
        <v>73</v>
      </c>
      <c r="L38" s="11" t="s">
        <v>10</v>
      </c>
      <c r="M38" s="6">
        <v>22</v>
      </c>
      <c r="N38" s="23">
        <v>490.8734375</v>
      </c>
      <c r="O38" s="23">
        <f t="shared" si="7"/>
        <v>10799.215625</v>
      </c>
      <c r="P38" s="146">
        <f t="shared" si="8"/>
        <v>4.1769875590989525</v>
      </c>
    </row>
    <row r="39" spans="1:16" ht="12.75">
      <c r="A39" s="29">
        <v>440321103181101</v>
      </c>
      <c r="B39" s="5" t="s">
        <v>38</v>
      </c>
      <c r="C39" s="9">
        <v>39212</v>
      </c>
      <c r="D39" s="3">
        <v>0.3229166666666667</v>
      </c>
      <c r="E39" s="6" t="s">
        <v>5</v>
      </c>
      <c r="K39" s="21" t="s">
        <v>72</v>
      </c>
      <c r="L39" s="11" t="s">
        <v>10</v>
      </c>
      <c r="M39" s="6">
        <v>3</v>
      </c>
      <c r="N39" s="23">
        <v>2167.6971</v>
      </c>
      <c r="O39" s="23">
        <f t="shared" si="7"/>
        <v>6503.0913</v>
      </c>
      <c r="P39" s="146">
        <f t="shared" si="8"/>
        <v>2.5153059628610417</v>
      </c>
    </row>
    <row r="40" spans="1:16" ht="12.75">
      <c r="A40" s="29">
        <v>440321103181101</v>
      </c>
      <c r="B40" s="5" t="s">
        <v>38</v>
      </c>
      <c r="C40" s="9">
        <v>39212</v>
      </c>
      <c r="D40" s="3">
        <v>0.3229166666666667</v>
      </c>
      <c r="E40" s="6" t="s">
        <v>5</v>
      </c>
      <c r="K40" s="21" t="s">
        <v>71</v>
      </c>
      <c r="L40" s="11" t="s">
        <v>10</v>
      </c>
      <c r="M40" s="6">
        <v>6</v>
      </c>
      <c r="N40" s="23">
        <v>3337.939375</v>
      </c>
      <c r="O40" s="23">
        <f t="shared" si="7"/>
        <v>20027.63625</v>
      </c>
      <c r="P40" s="146">
        <f t="shared" si="8"/>
        <v>7.746413291419875</v>
      </c>
    </row>
    <row r="41" spans="1:16" ht="12.75">
      <c r="A41" s="29">
        <v>440321103181101</v>
      </c>
      <c r="B41" s="5" t="s">
        <v>38</v>
      </c>
      <c r="C41" s="9">
        <v>39212</v>
      </c>
      <c r="D41" s="3">
        <v>0.3229166666666667</v>
      </c>
      <c r="E41" s="6" t="s">
        <v>5</v>
      </c>
      <c r="K41" s="21" t="s">
        <v>69</v>
      </c>
      <c r="L41" s="11" t="s">
        <v>10</v>
      </c>
      <c r="M41" s="6">
        <v>44</v>
      </c>
      <c r="N41" s="23">
        <v>138.22996</v>
      </c>
      <c r="O41" s="23">
        <f t="shared" si="7"/>
        <v>6082.11824</v>
      </c>
      <c r="P41" s="146">
        <f t="shared" si="8"/>
        <v>2.3524793932845296</v>
      </c>
    </row>
    <row r="42" spans="1:16" ht="12.75">
      <c r="A42" s="29">
        <v>440321103181101</v>
      </c>
      <c r="B42" s="5" t="s">
        <v>38</v>
      </c>
      <c r="C42" s="9">
        <v>39212</v>
      </c>
      <c r="D42" s="3">
        <v>0.3229166666666667</v>
      </c>
      <c r="E42" s="6" t="s">
        <v>5</v>
      </c>
      <c r="K42" s="21" t="s">
        <v>68</v>
      </c>
      <c r="L42" s="11" t="s">
        <v>10</v>
      </c>
      <c r="M42" s="6">
        <v>13</v>
      </c>
      <c r="N42" s="23">
        <v>301.59263999999996</v>
      </c>
      <c r="O42" s="23">
        <f t="shared" si="7"/>
        <v>3920.7043199999994</v>
      </c>
      <c r="P42" s="146">
        <f t="shared" si="8"/>
        <v>1.516474319637961</v>
      </c>
    </row>
    <row r="43" spans="1:16" ht="12.75">
      <c r="A43" s="29">
        <v>440321103181101</v>
      </c>
      <c r="B43" s="5" t="s">
        <v>38</v>
      </c>
      <c r="C43" s="9">
        <v>39212</v>
      </c>
      <c r="D43" s="3">
        <v>0.3229166666666667</v>
      </c>
      <c r="E43" s="6" t="s">
        <v>5</v>
      </c>
      <c r="K43" s="21" t="s">
        <v>65</v>
      </c>
      <c r="L43" s="11" t="s">
        <v>10</v>
      </c>
      <c r="M43" s="6">
        <v>17</v>
      </c>
      <c r="N43" s="23">
        <v>122.52201</v>
      </c>
      <c r="O43" s="23">
        <f t="shared" si="7"/>
        <v>2082.87417</v>
      </c>
      <c r="P43" s="146">
        <f t="shared" si="8"/>
        <v>0.805626982307667</v>
      </c>
    </row>
    <row r="44" spans="1:16" ht="12.75">
      <c r="A44" s="29">
        <v>440321103181101</v>
      </c>
      <c r="B44" s="5" t="s">
        <v>38</v>
      </c>
      <c r="C44" s="9">
        <v>39212</v>
      </c>
      <c r="D44" s="3">
        <v>0.3229166666666667</v>
      </c>
      <c r="E44" s="6" t="s">
        <v>5</v>
      </c>
      <c r="K44" s="21" t="s">
        <v>64</v>
      </c>
      <c r="L44" s="11" t="s">
        <v>10</v>
      </c>
      <c r="M44" s="6">
        <v>3</v>
      </c>
      <c r="N44" s="23">
        <v>47.123850000000004</v>
      </c>
      <c r="O44" s="23">
        <f t="shared" si="7"/>
        <v>141.37155</v>
      </c>
      <c r="P44" s="146">
        <f t="shared" si="8"/>
        <v>0.054680564410022656</v>
      </c>
    </row>
    <row r="45" spans="1:16" ht="12.75">
      <c r="A45" s="29">
        <v>440321103181101</v>
      </c>
      <c r="B45" s="5" t="s">
        <v>38</v>
      </c>
      <c r="C45" s="9">
        <v>39212</v>
      </c>
      <c r="D45" s="3">
        <v>0.3229166666666667</v>
      </c>
      <c r="E45" s="6" t="s">
        <v>5</v>
      </c>
      <c r="K45" s="21" t="s">
        <v>62</v>
      </c>
      <c r="L45" s="11" t="s">
        <v>10</v>
      </c>
      <c r="M45" s="6">
        <v>4</v>
      </c>
      <c r="N45" s="23">
        <v>207.34494</v>
      </c>
      <c r="O45" s="23">
        <f t="shared" si="7"/>
        <v>829.37976</v>
      </c>
      <c r="P45" s="146">
        <f t="shared" si="8"/>
        <v>0.3207926445387995</v>
      </c>
    </row>
    <row r="46" spans="1:16" ht="12.75">
      <c r="A46" s="29">
        <v>440321103181101</v>
      </c>
      <c r="B46" s="5" t="s">
        <v>38</v>
      </c>
      <c r="C46" s="9">
        <v>39212</v>
      </c>
      <c r="D46" s="3">
        <v>0.3229166666666667</v>
      </c>
      <c r="E46" s="6" t="s">
        <v>5</v>
      </c>
      <c r="K46" s="21" t="s">
        <v>61</v>
      </c>
      <c r="L46" s="11" t="s">
        <v>10</v>
      </c>
      <c r="M46" s="6">
        <v>3</v>
      </c>
      <c r="N46" s="23">
        <v>414.68988</v>
      </c>
      <c r="O46" s="23">
        <f t="shared" si="7"/>
        <v>1244.0696400000002</v>
      </c>
      <c r="P46" s="146">
        <f t="shared" si="8"/>
        <v>0.48118896680819934</v>
      </c>
    </row>
    <row r="47" spans="1:16" ht="12.75">
      <c r="A47" s="29">
        <v>440321103181101</v>
      </c>
      <c r="B47" s="5" t="s">
        <v>38</v>
      </c>
      <c r="C47" s="9">
        <v>39212</v>
      </c>
      <c r="D47" s="3">
        <v>0.3229166666666667</v>
      </c>
      <c r="E47" s="6" t="s">
        <v>5</v>
      </c>
      <c r="K47" s="21" t="s">
        <v>59</v>
      </c>
      <c r="L47" s="11" t="s">
        <v>10</v>
      </c>
      <c r="M47" s="6">
        <v>5</v>
      </c>
      <c r="N47" s="23">
        <v>376.99080000000004</v>
      </c>
      <c r="O47" s="23">
        <f t="shared" si="7"/>
        <v>1884.9540000000002</v>
      </c>
      <c r="P47" s="146">
        <f t="shared" si="8"/>
        <v>0.7290741921336353</v>
      </c>
    </row>
    <row r="48" spans="1:16" ht="12.75">
      <c r="A48" s="29">
        <v>440321103181101</v>
      </c>
      <c r="B48" s="5" t="s">
        <v>38</v>
      </c>
      <c r="C48" s="9">
        <v>39212</v>
      </c>
      <c r="D48" s="3">
        <v>0.3229166666666667</v>
      </c>
      <c r="E48" s="6" t="s">
        <v>5</v>
      </c>
      <c r="K48" s="21" t="s">
        <v>56</v>
      </c>
      <c r="L48" s="11" t="s">
        <v>10</v>
      </c>
      <c r="M48" s="6">
        <v>5</v>
      </c>
      <c r="N48" s="23">
        <v>450</v>
      </c>
      <c r="O48" s="23">
        <f t="shared" si="7"/>
        <v>2250</v>
      </c>
      <c r="P48" s="146">
        <f t="shared" si="8"/>
        <v>0.8702689467757194</v>
      </c>
    </row>
    <row r="49" spans="1:16" ht="12.75">
      <c r="A49" s="29">
        <v>440321103181101</v>
      </c>
      <c r="B49" s="5" t="s">
        <v>38</v>
      </c>
      <c r="C49" s="9">
        <v>39212</v>
      </c>
      <c r="D49" s="3">
        <v>0.3229166666666667</v>
      </c>
      <c r="E49" s="6" t="s">
        <v>5</v>
      </c>
      <c r="K49" s="21" t="s">
        <v>89</v>
      </c>
      <c r="L49" s="11" t="s">
        <v>10</v>
      </c>
      <c r="M49" s="6">
        <v>1</v>
      </c>
      <c r="N49" s="23">
        <v>6232.1291625</v>
      </c>
      <c r="O49" s="23">
        <f t="shared" si="7"/>
        <v>6232.1291625</v>
      </c>
      <c r="P49" s="146">
        <f t="shared" si="8"/>
        <v>2.410501547741832</v>
      </c>
    </row>
    <row r="50" spans="1:16" s="155" customFormat="1" ht="12.75">
      <c r="A50" s="156">
        <v>440321103181101</v>
      </c>
      <c r="B50" s="152" t="s">
        <v>38</v>
      </c>
      <c r="C50" s="153">
        <v>39212</v>
      </c>
      <c r="D50" s="154">
        <v>0.3229166666666667</v>
      </c>
      <c r="E50" s="148" t="s">
        <v>5</v>
      </c>
      <c r="K50" s="147" t="s">
        <v>54</v>
      </c>
      <c r="L50" s="147" t="s">
        <v>10</v>
      </c>
      <c r="M50" s="148">
        <v>12</v>
      </c>
      <c r="N50" s="149">
        <v>9600</v>
      </c>
      <c r="O50" s="149">
        <f t="shared" si="7"/>
        <v>115200</v>
      </c>
      <c r="P50" s="150">
        <f t="shared" si="8"/>
        <v>44.55777007491683</v>
      </c>
    </row>
    <row r="51" spans="1:15" ht="12.75">
      <c r="A51" s="6"/>
      <c r="B51" s="6"/>
      <c r="C51" s="6"/>
      <c r="D51" s="21"/>
      <c r="E51" s="6"/>
      <c r="K51" s="21" t="s">
        <v>2</v>
      </c>
      <c r="L51" s="11"/>
      <c r="M51" s="6">
        <f>SUM(M31:M50)</f>
        <v>528</v>
      </c>
      <c r="N51" s="23"/>
      <c r="O51" s="23">
        <f>SUM(O31:O50)</f>
        <v>258540.76585589774</v>
      </c>
    </row>
    <row r="52" spans="1:15" s="126" customFormat="1" ht="12.75">
      <c r="A52" s="129"/>
      <c r="B52" s="129"/>
      <c r="C52" s="129"/>
      <c r="D52" s="127"/>
      <c r="E52" s="129"/>
      <c r="K52" s="127" t="s">
        <v>53</v>
      </c>
      <c r="L52" s="127">
        <f>O51/M51</f>
        <v>489.66054139374575</v>
      </c>
      <c r="M52" s="129"/>
      <c r="N52" s="129"/>
      <c r="O52" s="138"/>
    </row>
    <row r="54" spans="1:16" s="42" customFormat="1" ht="12.75">
      <c r="A54" s="91" t="s">
        <v>28</v>
      </c>
      <c r="B54" s="92" t="s">
        <v>145</v>
      </c>
      <c r="C54" s="93" t="s">
        <v>26</v>
      </c>
      <c r="D54" s="93" t="s">
        <v>25</v>
      </c>
      <c r="E54" s="94" t="s">
        <v>83</v>
      </c>
      <c r="F54" s="97"/>
      <c r="G54" s="97"/>
      <c r="H54" s="97"/>
      <c r="I54" s="97"/>
      <c r="J54" s="97"/>
      <c r="K54" s="95" t="s">
        <v>169</v>
      </c>
      <c r="L54" s="95" t="s">
        <v>20</v>
      </c>
      <c r="M54" s="91" t="s">
        <v>19</v>
      </c>
      <c r="N54" s="91" t="s">
        <v>18</v>
      </c>
      <c r="O54" s="91" t="s">
        <v>17</v>
      </c>
      <c r="P54" s="178" t="s">
        <v>170</v>
      </c>
    </row>
    <row r="55" spans="1:16" s="42" customFormat="1" ht="14.25">
      <c r="A55" s="115"/>
      <c r="B55" s="99"/>
      <c r="C55" s="99"/>
      <c r="D55" s="99"/>
      <c r="E55" s="100" t="s">
        <v>16</v>
      </c>
      <c r="F55" s="106"/>
      <c r="G55" s="106"/>
      <c r="H55" s="106"/>
      <c r="I55" s="106"/>
      <c r="J55" s="106"/>
      <c r="K55" s="102"/>
      <c r="L55" s="102"/>
      <c r="M55" s="101" t="s">
        <v>82</v>
      </c>
      <c r="N55" s="101" t="s">
        <v>12</v>
      </c>
      <c r="O55" s="113" t="s">
        <v>150</v>
      </c>
      <c r="P55" s="115" t="s">
        <v>171</v>
      </c>
    </row>
    <row r="57" spans="1:16" ht="12.75">
      <c r="A57" s="29">
        <v>440321103181101</v>
      </c>
      <c r="B57" s="9" t="s">
        <v>108</v>
      </c>
      <c r="C57" s="9">
        <v>39329</v>
      </c>
      <c r="D57" s="3">
        <v>0.6041666666666666</v>
      </c>
      <c r="E57" s="6" t="s">
        <v>5</v>
      </c>
      <c r="K57" s="21" t="s">
        <v>118</v>
      </c>
      <c r="L57" s="11" t="s">
        <v>10</v>
      </c>
      <c r="M57" s="6">
        <v>14</v>
      </c>
      <c r="N57" s="23">
        <v>16.52607239583333</v>
      </c>
      <c r="O57" s="23">
        <f aca="true" t="shared" si="9" ref="O57:O78">N57*M57</f>
        <v>231.36501354166666</v>
      </c>
      <c r="P57" s="146">
        <f>O57/$O$79*100</f>
        <v>0.21643568014135614</v>
      </c>
    </row>
    <row r="58" spans="1:16" s="155" customFormat="1" ht="12.75">
      <c r="A58" s="156">
        <v>440321103181101</v>
      </c>
      <c r="B58" s="153" t="s">
        <v>108</v>
      </c>
      <c r="C58" s="153">
        <v>39329</v>
      </c>
      <c r="D58" s="154">
        <v>0.6041666666666666</v>
      </c>
      <c r="E58" s="148" t="s">
        <v>5</v>
      </c>
      <c r="K58" s="147" t="s">
        <v>80</v>
      </c>
      <c r="L58" s="147" t="s">
        <v>10</v>
      </c>
      <c r="M58" s="148">
        <v>89</v>
      </c>
      <c r="N58" s="149">
        <v>412.3336875</v>
      </c>
      <c r="O58" s="149">
        <f t="shared" si="9"/>
        <v>36697.6981875</v>
      </c>
      <c r="P58" s="150">
        <f aca="true" t="shared" si="10" ref="P58:P78">O58/$O$79*100</f>
        <v>34.329698968955704</v>
      </c>
    </row>
    <row r="59" spans="1:16" ht="12.75">
      <c r="A59" s="29">
        <v>440321103181101</v>
      </c>
      <c r="B59" s="9" t="s">
        <v>108</v>
      </c>
      <c r="C59" s="9">
        <v>39329</v>
      </c>
      <c r="D59" s="3">
        <v>0.6041666666666666</v>
      </c>
      <c r="E59" s="6" t="s">
        <v>5</v>
      </c>
      <c r="K59" s="21" t="s">
        <v>90</v>
      </c>
      <c r="L59" s="11" t="s">
        <v>10</v>
      </c>
      <c r="M59" s="6">
        <v>4</v>
      </c>
      <c r="N59" s="23">
        <v>721.402148148148</v>
      </c>
      <c r="O59" s="23">
        <f t="shared" si="9"/>
        <v>2885.608592592592</v>
      </c>
      <c r="P59" s="146">
        <f t="shared" si="10"/>
        <v>2.6994083884988247</v>
      </c>
    </row>
    <row r="60" spans="1:16" ht="12.75">
      <c r="A60" s="29">
        <v>440321103181101</v>
      </c>
      <c r="B60" s="9" t="s">
        <v>108</v>
      </c>
      <c r="C60" s="9">
        <v>39329</v>
      </c>
      <c r="D60" s="3">
        <v>0.6041666666666666</v>
      </c>
      <c r="E60" s="6" t="s">
        <v>5</v>
      </c>
      <c r="K60" s="21" t="s">
        <v>120</v>
      </c>
      <c r="L60" s="11" t="s">
        <v>10</v>
      </c>
      <c r="M60" s="6">
        <v>7</v>
      </c>
      <c r="N60" s="23">
        <v>415.7606385916667</v>
      </c>
      <c r="O60" s="23">
        <f t="shared" si="9"/>
        <v>2910.324470141667</v>
      </c>
      <c r="P60" s="146">
        <f t="shared" si="10"/>
        <v>2.7225294200054364</v>
      </c>
    </row>
    <row r="61" spans="1:16" ht="12.75">
      <c r="A61" s="29">
        <v>440321103181101</v>
      </c>
      <c r="B61" s="9" t="s">
        <v>108</v>
      </c>
      <c r="C61" s="9">
        <v>39329</v>
      </c>
      <c r="D61" s="3">
        <v>0.6041666666666666</v>
      </c>
      <c r="E61" s="6" t="s">
        <v>5</v>
      </c>
      <c r="K61" s="21" t="s">
        <v>77</v>
      </c>
      <c r="L61" s="11" t="s">
        <v>10</v>
      </c>
      <c r="M61" s="6">
        <v>1</v>
      </c>
      <c r="N61" s="23">
        <v>160.09542639999998</v>
      </c>
      <c r="O61" s="23">
        <f t="shared" si="9"/>
        <v>160.09542639999998</v>
      </c>
      <c r="P61" s="146">
        <f t="shared" si="10"/>
        <v>0.14976491894771385</v>
      </c>
    </row>
    <row r="62" spans="1:16" ht="12.75">
      <c r="A62" s="29">
        <v>440321103181101</v>
      </c>
      <c r="B62" s="9" t="s">
        <v>108</v>
      </c>
      <c r="C62" s="9">
        <v>39329</v>
      </c>
      <c r="D62" s="3">
        <v>0.6041666666666666</v>
      </c>
      <c r="E62" s="6" t="s">
        <v>5</v>
      </c>
      <c r="K62" s="21" t="s">
        <v>75</v>
      </c>
      <c r="L62" s="11" t="s">
        <v>10</v>
      </c>
      <c r="M62" s="6">
        <v>62</v>
      </c>
      <c r="N62" s="23">
        <v>65.97339</v>
      </c>
      <c r="O62" s="23">
        <f t="shared" si="9"/>
        <v>4090.3501799999995</v>
      </c>
      <c r="P62" s="146">
        <f t="shared" si="10"/>
        <v>3.8264113906970847</v>
      </c>
    </row>
    <row r="63" spans="1:16" ht="12.75">
      <c r="A63" s="29">
        <v>440321103181101</v>
      </c>
      <c r="B63" s="9" t="s">
        <v>108</v>
      </c>
      <c r="C63" s="9">
        <v>39329</v>
      </c>
      <c r="D63" s="3">
        <v>0.6041666666666666</v>
      </c>
      <c r="E63" s="6" t="s">
        <v>5</v>
      </c>
      <c r="K63" s="21" t="s">
        <v>74</v>
      </c>
      <c r="L63" s="11" t="s">
        <v>10</v>
      </c>
      <c r="M63" s="6">
        <v>133</v>
      </c>
      <c r="N63" s="23">
        <v>70.685775</v>
      </c>
      <c r="O63" s="23">
        <f t="shared" si="9"/>
        <v>9401.208075</v>
      </c>
      <c r="P63" s="146">
        <f t="shared" si="10"/>
        <v>8.79457456732798</v>
      </c>
    </row>
    <row r="64" spans="1:16" ht="12.75">
      <c r="A64" s="29">
        <v>440321103181101</v>
      </c>
      <c r="B64" s="9" t="s">
        <v>108</v>
      </c>
      <c r="C64" s="9">
        <v>39329</v>
      </c>
      <c r="D64" s="3">
        <v>0.6041666666666666</v>
      </c>
      <c r="E64" s="6" t="s">
        <v>5</v>
      </c>
      <c r="K64" s="21" t="s">
        <v>94</v>
      </c>
      <c r="L64" s="11" t="s">
        <v>10</v>
      </c>
      <c r="M64" s="6">
        <v>8</v>
      </c>
      <c r="N64" s="23">
        <v>1272.34395</v>
      </c>
      <c r="O64" s="23">
        <f t="shared" si="9"/>
        <v>10178.7516</v>
      </c>
      <c r="P64" s="146">
        <f t="shared" si="10"/>
        <v>9.521945396204726</v>
      </c>
    </row>
    <row r="65" spans="1:16" ht="12.75">
      <c r="A65" s="29">
        <v>440321103181101</v>
      </c>
      <c r="B65" s="9" t="s">
        <v>108</v>
      </c>
      <c r="C65" s="9">
        <v>39329</v>
      </c>
      <c r="D65" s="3">
        <v>0.6041666666666666</v>
      </c>
      <c r="E65" s="6" t="s">
        <v>5</v>
      </c>
      <c r="K65" s="21" t="s">
        <v>69</v>
      </c>
      <c r="L65" s="11" t="s">
        <v>10</v>
      </c>
      <c r="M65" s="6">
        <v>51</v>
      </c>
      <c r="N65" s="23">
        <v>75.39815999999999</v>
      </c>
      <c r="O65" s="23">
        <f t="shared" si="9"/>
        <v>3845.3061599999996</v>
      </c>
      <c r="P65" s="146">
        <f t="shared" si="10"/>
        <v>3.5971793718995637</v>
      </c>
    </row>
    <row r="66" spans="1:16" ht="12.75">
      <c r="A66" s="29">
        <v>440321103181101</v>
      </c>
      <c r="B66" s="9" t="s">
        <v>108</v>
      </c>
      <c r="C66" s="9">
        <v>39329</v>
      </c>
      <c r="D66" s="3">
        <v>0.6041666666666666</v>
      </c>
      <c r="E66" s="6" t="s">
        <v>5</v>
      </c>
      <c r="K66" s="21" t="s">
        <v>68</v>
      </c>
      <c r="L66" s="11" t="s">
        <v>10</v>
      </c>
      <c r="M66" s="6">
        <v>10</v>
      </c>
      <c r="N66" s="23">
        <v>301.59263999999996</v>
      </c>
      <c r="O66" s="23">
        <f t="shared" si="9"/>
        <v>3015.9263999999994</v>
      </c>
      <c r="P66" s="146">
        <f t="shared" si="10"/>
        <v>2.8213171544310303</v>
      </c>
    </row>
    <row r="67" spans="1:16" ht="12.75">
      <c r="A67" s="29">
        <v>440321103181101</v>
      </c>
      <c r="B67" s="9" t="s">
        <v>108</v>
      </c>
      <c r="C67" s="9">
        <v>39329</v>
      </c>
      <c r="D67" s="3">
        <v>0.6041666666666666</v>
      </c>
      <c r="E67" s="6" t="s">
        <v>5</v>
      </c>
      <c r="K67" s="21" t="s">
        <v>87</v>
      </c>
      <c r="L67" s="11" t="s">
        <v>10</v>
      </c>
      <c r="M67" s="6">
        <v>3</v>
      </c>
      <c r="N67" s="23">
        <v>2714.33376</v>
      </c>
      <c r="O67" s="23">
        <f t="shared" si="9"/>
        <v>8143.00128</v>
      </c>
      <c r="P67" s="146">
        <f t="shared" si="10"/>
        <v>7.617556316963782</v>
      </c>
    </row>
    <row r="68" spans="1:16" ht="12.75">
      <c r="A68" s="29">
        <v>440321103181101</v>
      </c>
      <c r="B68" s="9" t="s">
        <v>108</v>
      </c>
      <c r="C68" s="9">
        <v>39329</v>
      </c>
      <c r="D68" s="3">
        <v>0.6041666666666666</v>
      </c>
      <c r="E68" s="6" t="s">
        <v>5</v>
      </c>
      <c r="K68" s="21" t="s">
        <v>116</v>
      </c>
      <c r="L68" s="11" t="s">
        <v>10</v>
      </c>
      <c r="M68" s="6">
        <v>17</v>
      </c>
      <c r="N68" s="23">
        <v>345.5749</v>
      </c>
      <c r="O68" s="23">
        <f t="shared" si="9"/>
        <v>5874.7733</v>
      </c>
      <c r="P68" s="146">
        <f t="shared" si="10"/>
        <v>5.495690707068778</v>
      </c>
    </row>
    <row r="69" spans="1:16" ht="12.75">
      <c r="A69" s="29">
        <v>440321103181101</v>
      </c>
      <c r="B69" s="9" t="s">
        <v>108</v>
      </c>
      <c r="C69" s="9">
        <v>39329</v>
      </c>
      <c r="D69" s="3">
        <v>0.6041666666666666</v>
      </c>
      <c r="E69" s="6" t="s">
        <v>5</v>
      </c>
      <c r="K69" s="21" t="s">
        <v>65</v>
      </c>
      <c r="L69" s="11" t="s">
        <v>10</v>
      </c>
      <c r="M69" s="6">
        <v>24</v>
      </c>
      <c r="N69" s="23">
        <v>131.94678</v>
      </c>
      <c r="O69" s="23">
        <f t="shared" si="9"/>
        <v>3166.7227199999998</v>
      </c>
      <c r="P69" s="146">
        <f t="shared" si="10"/>
        <v>2.9623830121525816</v>
      </c>
    </row>
    <row r="70" spans="1:16" ht="12.75">
      <c r="A70" s="29">
        <v>440321103181101</v>
      </c>
      <c r="B70" s="9" t="s">
        <v>108</v>
      </c>
      <c r="C70" s="9">
        <v>39329</v>
      </c>
      <c r="D70" s="3">
        <v>0.6041666666666666</v>
      </c>
      <c r="E70" s="6" t="s">
        <v>5</v>
      </c>
      <c r="K70" s="21" t="s">
        <v>63</v>
      </c>
      <c r="L70" s="11" t="s">
        <v>10</v>
      </c>
      <c r="M70" s="6">
        <v>3</v>
      </c>
      <c r="N70" s="23">
        <v>530.1433125</v>
      </c>
      <c r="O70" s="23">
        <f t="shared" si="9"/>
        <v>1590.4299375</v>
      </c>
      <c r="P70" s="146">
        <f t="shared" si="10"/>
        <v>1.4878039681569888</v>
      </c>
    </row>
    <row r="71" spans="1:16" ht="12.75">
      <c r="A71" s="29">
        <v>440321103181101</v>
      </c>
      <c r="B71" s="9" t="s">
        <v>108</v>
      </c>
      <c r="C71" s="9">
        <v>39329</v>
      </c>
      <c r="D71" s="3">
        <v>0.6041666666666666</v>
      </c>
      <c r="E71" s="6" t="s">
        <v>5</v>
      </c>
      <c r="K71" s="21" t="s">
        <v>62</v>
      </c>
      <c r="L71" s="11" t="s">
        <v>10</v>
      </c>
      <c r="M71" s="6">
        <v>2</v>
      </c>
      <c r="N71" s="23">
        <v>207.34494</v>
      </c>
      <c r="O71" s="23">
        <f t="shared" si="9"/>
        <v>414.68988</v>
      </c>
      <c r="P71" s="146">
        <f t="shared" si="10"/>
        <v>0.38793110873426667</v>
      </c>
    </row>
    <row r="72" spans="1:16" ht="12.75">
      <c r="A72" s="29">
        <v>440321103181101</v>
      </c>
      <c r="B72" s="9" t="s">
        <v>108</v>
      </c>
      <c r="C72" s="9">
        <v>39329</v>
      </c>
      <c r="D72" s="3">
        <v>0.6041666666666666</v>
      </c>
      <c r="E72" s="6" t="s">
        <v>5</v>
      </c>
      <c r="K72" s="21" t="s">
        <v>59</v>
      </c>
      <c r="L72" s="11" t="s">
        <v>10</v>
      </c>
      <c r="M72" s="6">
        <v>1</v>
      </c>
      <c r="N72" s="23">
        <v>320.44218</v>
      </c>
      <c r="O72" s="23">
        <f t="shared" si="9"/>
        <v>320.44218</v>
      </c>
      <c r="P72" s="146">
        <f t="shared" si="10"/>
        <v>0.299764947658297</v>
      </c>
    </row>
    <row r="73" spans="1:16" ht="12.75">
      <c r="A73" s="29">
        <v>440321103181101</v>
      </c>
      <c r="B73" s="9" t="s">
        <v>108</v>
      </c>
      <c r="C73" s="9">
        <v>39329</v>
      </c>
      <c r="D73" s="3">
        <v>0.6041666666666666</v>
      </c>
      <c r="E73" s="6" t="s">
        <v>5</v>
      </c>
      <c r="K73" s="21" t="s">
        <v>57</v>
      </c>
      <c r="L73" s="11" t="s">
        <v>10</v>
      </c>
      <c r="M73" s="6">
        <v>2</v>
      </c>
      <c r="N73" s="23">
        <v>285</v>
      </c>
      <c r="O73" s="23">
        <f t="shared" si="9"/>
        <v>570</v>
      </c>
      <c r="P73" s="146">
        <f t="shared" si="10"/>
        <v>0.5332195036409667</v>
      </c>
    </row>
    <row r="74" spans="1:16" ht="12.75">
      <c r="A74" s="29">
        <v>440321103181101</v>
      </c>
      <c r="B74" s="9" t="s">
        <v>108</v>
      </c>
      <c r="C74" s="9">
        <v>39329</v>
      </c>
      <c r="D74" s="3">
        <v>0.6041666666666666</v>
      </c>
      <c r="E74" s="6" t="s">
        <v>5</v>
      </c>
      <c r="K74" s="21" t="s">
        <v>56</v>
      </c>
      <c r="L74" s="11" t="s">
        <v>10</v>
      </c>
      <c r="M74" s="6">
        <v>7</v>
      </c>
      <c r="N74" s="23">
        <v>232</v>
      </c>
      <c r="O74" s="23">
        <f t="shared" si="9"/>
        <v>1624</v>
      </c>
      <c r="P74" s="146">
        <f t="shared" si="10"/>
        <v>1.5192078489700522</v>
      </c>
    </row>
    <row r="75" spans="1:16" ht="12.75">
      <c r="A75" s="29">
        <v>440321103181101</v>
      </c>
      <c r="B75" s="9" t="s">
        <v>108</v>
      </c>
      <c r="C75" s="9">
        <v>39329</v>
      </c>
      <c r="D75" s="3">
        <v>0.6041666666666666</v>
      </c>
      <c r="E75" s="6" t="s">
        <v>5</v>
      </c>
      <c r="K75" s="21" t="s">
        <v>113</v>
      </c>
      <c r="L75" s="11" t="s">
        <v>10</v>
      </c>
      <c r="M75" s="6">
        <v>1</v>
      </c>
      <c r="N75" s="23">
        <v>414.68988</v>
      </c>
      <c r="O75" s="23">
        <f t="shared" si="9"/>
        <v>414.68988</v>
      </c>
      <c r="P75" s="146">
        <f t="shared" si="10"/>
        <v>0.38793110873426667</v>
      </c>
    </row>
    <row r="76" spans="1:16" ht="12.75">
      <c r="A76" s="29">
        <v>440321103181101</v>
      </c>
      <c r="B76" s="9" t="s">
        <v>108</v>
      </c>
      <c r="C76" s="9">
        <v>39329</v>
      </c>
      <c r="D76" s="3">
        <v>0.6041666666666666</v>
      </c>
      <c r="E76" s="6" t="s">
        <v>5</v>
      </c>
      <c r="K76" s="21" t="s">
        <v>55</v>
      </c>
      <c r="L76" s="11" t="s">
        <v>10</v>
      </c>
      <c r="M76" s="6">
        <v>2</v>
      </c>
      <c r="N76" s="23">
        <v>353.42887499999995</v>
      </c>
      <c r="O76" s="23">
        <f t="shared" si="9"/>
        <v>706.8577499999999</v>
      </c>
      <c r="P76" s="146">
        <f t="shared" si="10"/>
        <v>0.6612462080697726</v>
      </c>
    </row>
    <row r="77" spans="1:16" ht="12.75">
      <c r="A77" s="29">
        <v>440321103181101</v>
      </c>
      <c r="B77" s="9" t="s">
        <v>108</v>
      </c>
      <c r="C77" s="9">
        <v>39329</v>
      </c>
      <c r="D77" s="3">
        <v>0.6041666666666666</v>
      </c>
      <c r="E77" s="6" t="s">
        <v>5</v>
      </c>
      <c r="K77" s="21" t="s">
        <v>121</v>
      </c>
      <c r="L77" s="11" t="s">
        <v>10</v>
      </c>
      <c r="M77" s="6">
        <v>4</v>
      </c>
      <c r="N77" s="23">
        <v>263.89356</v>
      </c>
      <c r="O77" s="23">
        <f t="shared" si="9"/>
        <v>1055.57424</v>
      </c>
      <c r="P77" s="146">
        <f t="shared" si="10"/>
        <v>0.9874610040508606</v>
      </c>
    </row>
    <row r="78" spans="1:16" ht="12.75">
      <c r="A78" s="29">
        <v>440321103181101</v>
      </c>
      <c r="B78" s="9" t="s">
        <v>108</v>
      </c>
      <c r="C78" s="9">
        <v>39329</v>
      </c>
      <c r="D78" s="3">
        <v>0.6041666666666666</v>
      </c>
      <c r="E78" s="6" t="s">
        <v>5</v>
      </c>
      <c r="K78" s="21" t="s">
        <v>54</v>
      </c>
      <c r="L78" s="11" t="s">
        <v>10</v>
      </c>
      <c r="M78" s="6">
        <v>1</v>
      </c>
      <c r="N78" s="23">
        <v>9600</v>
      </c>
      <c r="O78" s="23">
        <f t="shared" si="9"/>
        <v>9600</v>
      </c>
      <c r="P78" s="146">
        <f t="shared" si="10"/>
        <v>8.980539008689965</v>
      </c>
    </row>
    <row r="79" spans="1:15" ht="12.75">
      <c r="A79" s="119"/>
      <c r="B79" s="119"/>
      <c r="C79" s="119"/>
      <c r="D79" s="120"/>
      <c r="E79" s="119"/>
      <c r="F79" s="121"/>
      <c r="G79" s="121"/>
      <c r="H79" s="121"/>
      <c r="I79" s="121"/>
      <c r="J79" s="121"/>
      <c r="K79" s="120" t="s">
        <v>2</v>
      </c>
      <c r="L79" s="122"/>
      <c r="M79" s="119">
        <f>SUM(M57:M78)</f>
        <v>446</v>
      </c>
      <c r="N79" s="123"/>
      <c r="O79" s="123">
        <f>SUM(O57:O78)</f>
        <v>106897.81527267593</v>
      </c>
    </row>
    <row r="80" spans="1:15" ht="12.75">
      <c r="A80" s="124"/>
      <c r="B80" s="124"/>
      <c r="C80" s="124"/>
      <c r="D80" s="125"/>
      <c r="E80" s="124"/>
      <c r="F80" s="126"/>
      <c r="G80" s="126"/>
      <c r="H80" s="126"/>
      <c r="I80" s="126"/>
      <c r="J80" s="126"/>
      <c r="K80" s="125" t="s">
        <v>53</v>
      </c>
      <c r="L80" s="127">
        <f>O79/M79</f>
        <v>239.68120016295052</v>
      </c>
      <c r="M80" s="124"/>
      <c r="N80" s="124"/>
      <c r="O80" s="128"/>
    </row>
  </sheetData>
  <sheetProtection/>
  <mergeCells count="2">
    <mergeCell ref="A1:S1"/>
    <mergeCell ref="A27:S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53"/>
  <sheetViews>
    <sheetView zoomScale="85" zoomScaleNormal="85" zoomScalePageLayoutView="0" workbookViewId="0" topLeftCell="A1">
      <selection activeCell="P28" sqref="P28:P29"/>
    </sheetView>
  </sheetViews>
  <sheetFormatPr defaultColWidth="9.140625" defaultRowHeight="12.75"/>
  <cols>
    <col min="1" max="1" width="9.00390625" style="0" bestFit="1" customWidth="1"/>
    <col min="2" max="2" width="33.421875" style="0" bestFit="1" customWidth="1"/>
    <col min="3" max="3" width="8.140625" style="0" bestFit="1" customWidth="1"/>
    <col min="4" max="4" width="5.57421875" style="0" bestFit="1" customWidth="1"/>
    <col min="5" max="5" width="9.28125" style="0" bestFit="1" customWidth="1"/>
    <col min="6" max="6" width="13.28125" style="0" customWidth="1"/>
    <col min="7" max="7" width="8.00390625" style="0" hidden="1" customWidth="1"/>
    <col min="8" max="8" width="7.421875" style="0" hidden="1" customWidth="1"/>
    <col min="9" max="9" width="9.8515625" style="0" hidden="1" customWidth="1"/>
    <col min="10" max="10" width="12.00390625" style="0" hidden="1" customWidth="1"/>
    <col min="11" max="11" width="29.140625" style="0" bestFit="1" customWidth="1"/>
    <col min="12" max="12" width="13.28125" style="0" bestFit="1" customWidth="1"/>
    <col min="13" max="13" width="6.8515625" style="0" bestFit="1" customWidth="1"/>
    <col min="14" max="14" width="18.57421875" style="0" bestFit="1" customWidth="1"/>
    <col min="15" max="15" width="21.421875" style="0" bestFit="1" customWidth="1"/>
    <col min="16" max="16" width="17.00390625" style="0" bestFit="1" customWidth="1"/>
    <col min="17" max="17" width="8.421875" style="0" bestFit="1" customWidth="1"/>
    <col min="18" max="18" width="9.8515625" style="0" bestFit="1" customWidth="1"/>
    <col min="19" max="19" width="11.00390625" style="0" customWidth="1"/>
  </cols>
  <sheetData>
    <row r="1" spans="1:19" ht="26.25">
      <c r="A1" s="181" t="s">
        <v>1</v>
      </c>
      <c r="B1" s="181"/>
      <c r="C1" s="181"/>
      <c r="D1" s="181"/>
      <c r="E1" s="181"/>
      <c r="F1" s="181"/>
      <c r="G1" s="181"/>
      <c r="H1" s="181"/>
      <c r="I1" s="181"/>
      <c r="J1" s="181"/>
      <c r="K1" s="181"/>
      <c r="L1" s="181"/>
      <c r="M1" s="181"/>
      <c r="N1" s="181"/>
      <c r="O1" s="181"/>
      <c r="P1" s="181"/>
      <c r="Q1" s="181"/>
      <c r="R1" s="181"/>
      <c r="S1" s="181"/>
    </row>
    <row r="2" spans="1:19" s="97" customFormat="1" ht="12.75">
      <c r="A2" s="107" t="s">
        <v>28</v>
      </c>
      <c r="B2" s="107" t="s">
        <v>145</v>
      </c>
      <c r="C2" s="92" t="s">
        <v>26</v>
      </c>
      <c r="D2" s="92"/>
      <c r="E2" s="94" t="s">
        <v>24</v>
      </c>
      <c r="F2" s="107" t="s">
        <v>24</v>
      </c>
      <c r="G2" s="107" t="s">
        <v>29</v>
      </c>
      <c r="H2" s="107" t="s">
        <v>22</v>
      </c>
      <c r="I2" s="107" t="s">
        <v>14</v>
      </c>
      <c r="J2" s="107" t="s">
        <v>21</v>
      </c>
      <c r="K2" s="108" t="s">
        <v>169</v>
      </c>
      <c r="L2" s="108" t="s">
        <v>20</v>
      </c>
      <c r="M2" s="107" t="s">
        <v>19</v>
      </c>
      <c r="N2" s="109" t="s">
        <v>134</v>
      </c>
      <c r="O2" s="96" t="s">
        <v>134</v>
      </c>
      <c r="P2" s="96" t="s">
        <v>98</v>
      </c>
      <c r="Q2" s="107" t="s">
        <v>18</v>
      </c>
      <c r="R2" s="107" t="s">
        <v>17</v>
      </c>
      <c r="S2" s="107" t="s">
        <v>17</v>
      </c>
    </row>
    <row r="3" spans="1:19" s="106" customFormat="1" ht="14.25">
      <c r="A3" s="100"/>
      <c r="B3" s="100"/>
      <c r="C3" s="110"/>
      <c r="D3" s="110"/>
      <c r="E3" s="100" t="s">
        <v>16</v>
      </c>
      <c r="F3" s="111" t="s">
        <v>15</v>
      </c>
      <c r="G3" s="111" t="s">
        <v>14</v>
      </c>
      <c r="H3" s="111"/>
      <c r="I3" s="111" t="s">
        <v>13</v>
      </c>
      <c r="J3" s="111"/>
      <c r="K3" s="112"/>
      <c r="L3" s="112"/>
      <c r="M3" s="111"/>
      <c r="N3" s="103" t="s">
        <v>99</v>
      </c>
      <c r="O3" s="104" t="s">
        <v>100</v>
      </c>
      <c r="P3" s="104" t="s">
        <v>135</v>
      </c>
      <c r="Q3" s="111" t="s">
        <v>12</v>
      </c>
      <c r="R3" s="113" t="s">
        <v>136</v>
      </c>
      <c r="S3" s="113" t="s">
        <v>137</v>
      </c>
    </row>
    <row r="4" spans="1:18" ht="12.75">
      <c r="A4" s="17"/>
      <c r="B4" s="17"/>
      <c r="C4" s="17"/>
      <c r="D4" s="17"/>
      <c r="E4" s="15"/>
      <c r="F4" s="18"/>
      <c r="G4" s="18"/>
      <c r="H4" s="18"/>
      <c r="I4" s="18"/>
      <c r="J4" s="18"/>
      <c r="K4" s="19"/>
      <c r="L4" s="19"/>
      <c r="M4" s="18"/>
      <c r="N4" s="20"/>
      <c r="O4" s="20"/>
      <c r="P4" s="20"/>
      <c r="Q4" s="18"/>
      <c r="R4" s="18"/>
    </row>
    <row r="5" spans="1:19" ht="12.75">
      <c r="A5" s="10" t="s">
        <v>33</v>
      </c>
      <c r="B5" s="5" t="s">
        <v>34</v>
      </c>
      <c r="C5" s="9">
        <v>39211</v>
      </c>
      <c r="D5" s="3">
        <v>0.5833333333333334</v>
      </c>
      <c r="E5" s="6" t="s">
        <v>5</v>
      </c>
      <c r="F5" s="6">
        <v>0.3</v>
      </c>
      <c r="G5" s="6">
        <v>0.15904</v>
      </c>
      <c r="H5" s="6">
        <v>2</v>
      </c>
      <c r="I5" s="6">
        <f aca="true" t="shared" si="0" ref="I5:I10">G5*H5</f>
        <v>0.31808</v>
      </c>
      <c r="J5" s="6">
        <f aca="true" t="shared" si="1" ref="J5:J10">((201.062/I5)/F5)</f>
        <v>2107.0380617035553</v>
      </c>
      <c r="K5" s="21" t="s">
        <v>11</v>
      </c>
      <c r="L5" s="11" t="s">
        <v>10</v>
      </c>
      <c r="M5" s="6">
        <v>606</v>
      </c>
      <c r="N5" s="22">
        <f aca="true" t="shared" si="2" ref="N5:N10">J5*M5</f>
        <v>1276865.0653923545</v>
      </c>
      <c r="O5" s="22">
        <f aca="true" t="shared" si="3" ref="O5:O10">N5*710</f>
        <v>906574196.4285717</v>
      </c>
      <c r="P5" s="22">
        <f aca="true" t="shared" si="4" ref="P5:P10">O5/1544</f>
        <v>587159.453645448</v>
      </c>
      <c r="Q5" s="23">
        <v>589.896077271315</v>
      </c>
      <c r="R5" s="22">
        <f aca="true" t="shared" si="5" ref="R5:R10">N5*Q5</f>
        <v>753217693.279731</v>
      </c>
      <c r="S5" s="2">
        <f aca="true" t="shared" si="6" ref="S5:S10">P5*Q5</f>
        <v>346363058.4382183</v>
      </c>
    </row>
    <row r="6" spans="1:19" ht="12.75">
      <c r="A6" s="10" t="s">
        <v>33</v>
      </c>
      <c r="B6" s="5" t="s">
        <v>34</v>
      </c>
      <c r="C6" s="9">
        <v>39211</v>
      </c>
      <c r="D6" s="3">
        <v>0.5833333333333334</v>
      </c>
      <c r="E6" s="1" t="s">
        <v>5</v>
      </c>
      <c r="F6" s="1">
        <v>0.3</v>
      </c>
      <c r="G6" s="1">
        <v>100.53</v>
      </c>
      <c r="H6" s="1">
        <v>1</v>
      </c>
      <c r="I6" s="1">
        <f t="shared" si="0"/>
        <v>100.53</v>
      </c>
      <c r="J6" s="1">
        <f t="shared" si="1"/>
        <v>6.666732981862794</v>
      </c>
      <c r="K6" t="s">
        <v>9</v>
      </c>
      <c r="L6" t="s">
        <v>8</v>
      </c>
      <c r="M6" s="1">
        <v>3</v>
      </c>
      <c r="N6" s="22">
        <f t="shared" si="2"/>
        <v>20.000198945588384</v>
      </c>
      <c r="O6" s="22">
        <f t="shared" si="3"/>
        <v>14200.141251367753</v>
      </c>
      <c r="P6" s="22">
        <f t="shared" si="4"/>
        <v>9.196982675756317</v>
      </c>
      <c r="Q6" s="7">
        <v>2881.8852266666663</v>
      </c>
      <c r="R6" s="2">
        <f t="shared" si="5"/>
        <v>57638.2778716854</v>
      </c>
      <c r="S6" s="2">
        <f t="shared" si="6"/>
        <v>26504.648503171396</v>
      </c>
    </row>
    <row r="7" spans="1:19" ht="12.75">
      <c r="A7" s="10" t="s">
        <v>33</v>
      </c>
      <c r="B7" s="5" t="s">
        <v>34</v>
      </c>
      <c r="C7" s="9">
        <v>39211</v>
      </c>
      <c r="D7" s="3">
        <v>0.5833333333333334</v>
      </c>
      <c r="E7" s="6" t="s">
        <v>5</v>
      </c>
      <c r="F7" s="6">
        <v>0.3</v>
      </c>
      <c r="G7" s="6">
        <v>100.53</v>
      </c>
      <c r="H7" s="6">
        <v>1</v>
      </c>
      <c r="I7" s="6">
        <f t="shared" si="0"/>
        <v>100.53</v>
      </c>
      <c r="J7" s="6">
        <f t="shared" si="1"/>
        <v>6.666732981862794</v>
      </c>
      <c r="K7" s="21" t="s">
        <v>35</v>
      </c>
      <c r="L7" s="21" t="s">
        <v>8</v>
      </c>
      <c r="M7" s="6">
        <v>2</v>
      </c>
      <c r="N7" s="22">
        <f t="shared" si="2"/>
        <v>13.333465963725589</v>
      </c>
      <c r="O7" s="22">
        <f t="shared" si="3"/>
        <v>9466.760834245168</v>
      </c>
      <c r="P7" s="22">
        <f t="shared" si="4"/>
        <v>6.131321783837544</v>
      </c>
      <c r="Q7" s="23">
        <v>5014.37033875</v>
      </c>
      <c r="R7" s="22">
        <f t="shared" si="5"/>
        <v>66858.93624123828</v>
      </c>
      <c r="S7" s="2">
        <f t="shared" si="6"/>
        <v>30744.71809020672</v>
      </c>
    </row>
    <row r="8" spans="1:19" ht="12.75">
      <c r="A8" s="10" t="s">
        <v>33</v>
      </c>
      <c r="B8" s="5" t="s">
        <v>34</v>
      </c>
      <c r="C8" s="9">
        <v>39211</v>
      </c>
      <c r="D8" s="3">
        <v>0.5833333333333334</v>
      </c>
      <c r="E8" s="6" t="s">
        <v>5</v>
      </c>
      <c r="F8" s="6">
        <v>0.3</v>
      </c>
      <c r="G8" s="6">
        <v>7.04</v>
      </c>
      <c r="H8" s="6">
        <v>1</v>
      </c>
      <c r="I8" s="6">
        <f t="shared" si="0"/>
        <v>7.04</v>
      </c>
      <c r="J8" s="6">
        <f t="shared" si="1"/>
        <v>95.19981060606062</v>
      </c>
      <c r="K8" s="21" t="s">
        <v>36</v>
      </c>
      <c r="L8" s="21" t="s">
        <v>8</v>
      </c>
      <c r="M8" s="6">
        <v>81</v>
      </c>
      <c r="N8" s="22">
        <f t="shared" si="2"/>
        <v>7711.184659090911</v>
      </c>
      <c r="O8" s="22">
        <f t="shared" si="3"/>
        <v>5474941.107954547</v>
      </c>
      <c r="P8" s="22">
        <f t="shared" si="4"/>
        <v>3545.946313442064</v>
      </c>
      <c r="Q8" s="23">
        <v>311.01741</v>
      </c>
      <c r="R8" s="22">
        <f t="shared" si="5"/>
        <v>2398312.680702188</v>
      </c>
      <c r="S8" s="2">
        <f t="shared" si="6"/>
        <v>1102851.0384057988</v>
      </c>
    </row>
    <row r="9" spans="1:19" ht="12.75">
      <c r="A9" s="10" t="s">
        <v>33</v>
      </c>
      <c r="B9" s="5" t="s">
        <v>34</v>
      </c>
      <c r="C9" s="9">
        <v>39211</v>
      </c>
      <c r="D9" s="3">
        <v>0.5833333333333334</v>
      </c>
      <c r="E9" s="6" t="s">
        <v>5</v>
      </c>
      <c r="F9" s="6">
        <v>0.3</v>
      </c>
      <c r="G9" s="6">
        <v>100.53</v>
      </c>
      <c r="H9" s="6">
        <v>1</v>
      </c>
      <c r="I9" s="6">
        <f t="shared" si="0"/>
        <v>100.53</v>
      </c>
      <c r="J9" s="6">
        <f t="shared" si="1"/>
        <v>6.666732981862794</v>
      </c>
      <c r="K9" t="s">
        <v>37</v>
      </c>
      <c r="L9" s="21" t="s">
        <v>3</v>
      </c>
      <c r="M9" s="6">
        <v>125</v>
      </c>
      <c r="N9" s="22">
        <f t="shared" si="2"/>
        <v>833.3416227328493</v>
      </c>
      <c r="O9" s="22">
        <f t="shared" si="3"/>
        <v>591672.552140323</v>
      </c>
      <c r="P9" s="22">
        <f t="shared" si="4"/>
        <v>383.2076114898465</v>
      </c>
      <c r="Q9" s="23">
        <v>21.205732499999996</v>
      </c>
      <c r="R9" s="22">
        <f t="shared" si="5"/>
        <v>17671.619532788718</v>
      </c>
      <c r="S9" s="2">
        <f t="shared" si="6"/>
        <v>8126.19810121761</v>
      </c>
    </row>
    <row r="10" spans="1:19" ht="12.75">
      <c r="A10" s="10" t="s">
        <v>33</v>
      </c>
      <c r="B10" s="5" t="s">
        <v>34</v>
      </c>
      <c r="C10" s="9">
        <v>39211</v>
      </c>
      <c r="D10" s="3">
        <v>0.5833333333333334</v>
      </c>
      <c r="E10" s="6" t="s">
        <v>5</v>
      </c>
      <c r="F10" s="6">
        <v>0.3</v>
      </c>
      <c r="G10" s="6">
        <v>7.04</v>
      </c>
      <c r="H10" s="6">
        <v>1</v>
      </c>
      <c r="I10" s="6">
        <f t="shared" si="0"/>
        <v>7.04</v>
      </c>
      <c r="J10" s="6">
        <f t="shared" si="1"/>
        <v>95.19981060606062</v>
      </c>
      <c r="K10" s="21" t="s">
        <v>4</v>
      </c>
      <c r="L10" s="21" t="s">
        <v>3</v>
      </c>
      <c r="M10" s="6">
        <v>17</v>
      </c>
      <c r="N10" s="22">
        <f t="shared" si="2"/>
        <v>1618.3967803030305</v>
      </c>
      <c r="O10" s="22">
        <f t="shared" si="3"/>
        <v>1149061.7140151516</v>
      </c>
      <c r="P10" s="22">
        <f t="shared" si="4"/>
        <v>744.2109546730256</v>
      </c>
      <c r="Q10" s="23">
        <v>37.699079999999995</v>
      </c>
      <c r="R10" s="22">
        <f t="shared" si="5"/>
        <v>61012.069692386365</v>
      </c>
      <c r="S10" s="2">
        <f t="shared" si="6"/>
        <v>28056.068317094763</v>
      </c>
    </row>
    <row r="11" spans="1:19" s="126" customFormat="1" ht="12.75">
      <c r="A11" s="129"/>
      <c r="B11" s="129"/>
      <c r="C11" s="127"/>
      <c r="D11" s="127"/>
      <c r="E11" s="129"/>
      <c r="F11" s="129"/>
      <c r="G11" s="129"/>
      <c r="H11" s="129"/>
      <c r="I11" s="129"/>
      <c r="J11" s="129"/>
      <c r="K11" s="127" t="s">
        <v>2</v>
      </c>
      <c r="L11" s="127"/>
      <c r="M11" s="129">
        <f>SUM(M5:M10)</f>
        <v>834</v>
      </c>
      <c r="N11" s="133">
        <f>SUM(N5:N10)</f>
        <v>1287061.3221193906</v>
      </c>
      <c r="O11" s="133">
        <f>SUM(O5:O10)</f>
        <v>913813538.7047672</v>
      </c>
      <c r="P11" s="133">
        <f>SUM(P5:P10)</f>
        <v>591848.1468295126</v>
      </c>
      <c r="Q11" s="129"/>
      <c r="R11" s="133">
        <f>SUM(R5:R10)</f>
        <v>755819186.8637714</v>
      </c>
      <c r="S11" s="133">
        <f>SUM(S5:S10)</f>
        <v>347559341.10963583</v>
      </c>
    </row>
    <row r="26" s="36" customFormat="1" ht="12.75"/>
    <row r="27" spans="1:19" ht="26.25">
      <c r="A27" s="181" t="s">
        <v>0</v>
      </c>
      <c r="B27" s="181"/>
      <c r="C27" s="181"/>
      <c r="D27" s="181"/>
      <c r="E27" s="181"/>
      <c r="F27" s="181"/>
      <c r="G27" s="181"/>
      <c r="H27" s="181"/>
      <c r="I27" s="181"/>
      <c r="J27" s="181"/>
      <c r="K27" s="181"/>
      <c r="L27" s="181"/>
      <c r="M27" s="181"/>
      <c r="N27" s="181"/>
      <c r="O27" s="181"/>
      <c r="P27" s="181"/>
      <c r="Q27" s="181"/>
      <c r="R27" s="181"/>
      <c r="S27" s="181"/>
    </row>
    <row r="28" spans="1:16" s="114" customFormat="1" ht="12.75">
      <c r="A28" s="107" t="s">
        <v>28</v>
      </c>
      <c r="B28" s="92" t="s">
        <v>145</v>
      </c>
      <c r="C28" s="92" t="s">
        <v>26</v>
      </c>
      <c r="D28" s="92" t="s">
        <v>25</v>
      </c>
      <c r="E28" s="94" t="s">
        <v>83</v>
      </c>
      <c r="K28" s="95" t="s">
        <v>169</v>
      </c>
      <c r="L28" s="107" t="s">
        <v>20</v>
      </c>
      <c r="M28" s="107" t="s">
        <v>19</v>
      </c>
      <c r="N28" s="107" t="s">
        <v>18</v>
      </c>
      <c r="O28" s="107" t="s">
        <v>17</v>
      </c>
      <c r="P28" s="178" t="s">
        <v>170</v>
      </c>
    </row>
    <row r="29" spans="1:16" s="116" customFormat="1" ht="14.25">
      <c r="A29" s="117"/>
      <c r="B29" s="110"/>
      <c r="C29" s="110"/>
      <c r="D29" s="110"/>
      <c r="E29" s="100" t="s">
        <v>16</v>
      </c>
      <c r="K29" s="111"/>
      <c r="L29" s="111"/>
      <c r="M29" s="111" t="s">
        <v>82</v>
      </c>
      <c r="N29" s="111" t="s">
        <v>12</v>
      </c>
      <c r="O29" s="113" t="s">
        <v>150</v>
      </c>
      <c r="P29" s="115" t="s">
        <v>171</v>
      </c>
    </row>
    <row r="30" spans="1:15" ht="12.75">
      <c r="A30" s="6"/>
      <c r="B30" s="6"/>
      <c r="C30" s="6"/>
      <c r="D30" s="21"/>
      <c r="E30" s="6"/>
      <c r="K30" s="21"/>
      <c r="L30" s="21"/>
      <c r="M30" s="6"/>
      <c r="N30" s="6"/>
      <c r="O30" s="6"/>
    </row>
    <row r="31" spans="1:16" ht="12.75">
      <c r="A31" s="10" t="s">
        <v>33</v>
      </c>
      <c r="B31" s="5" t="s">
        <v>34</v>
      </c>
      <c r="C31" s="9">
        <v>39211</v>
      </c>
      <c r="D31" s="3">
        <v>0.5833333333333334</v>
      </c>
      <c r="E31" s="6" t="s">
        <v>5</v>
      </c>
      <c r="K31" s="21" t="s">
        <v>81</v>
      </c>
      <c r="L31" s="11" t="s">
        <v>10</v>
      </c>
      <c r="M31" s="6">
        <v>3</v>
      </c>
      <c r="N31" s="23">
        <v>13.343030861111108</v>
      </c>
      <c r="O31" s="23">
        <f aca="true" t="shared" si="7" ref="O31:O42">N31*M31</f>
        <v>40.02909258333332</v>
      </c>
      <c r="P31" s="146">
        <f>O31/$O$52*100</f>
        <v>0.00980605088629572</v>
      </c>
    </row>
    <row r="32" spans="1:16" ht="12.75">
      <c r="A32" s="10" t="s">
        <v>33</v>
      </c>
      <c r="B32" s="5" t="s">
        <v>34</v>
      </c>
      <c r="C32" s="9">
        <v>39211</v>
      </c>
      <c r="D32" s="3">
        <v>0.5833333333333334</v>
      </c>
      <c r="E32" s="6" t="s">
        <v>5</v>
      </c>
      <c r="K32" s="21" t="s">
        <v>80</v>
      </c>
      <c r="L32" s="11" t="s">
        <v>10</v>
      </c>
      <c r="M32" s="6">
        <v>19</v>
      </c>
      <c r="N32" s="23">
        <v>412.3336875</v>
      </c>
      <c r="O32" s="23">
        <f t="shared" si="7"/>
        <v>7834.3400624999995</v>
      </c>
      <c r="P32" s="146">
        <f aca="true" t="shared" si="8" ref="P32:P51">O32/$O$52*100</f>
        <v>1.9192025688188323</v>
      </c>
    </row>
    <row r="33" spans="1:16" ht="12.75">
      <c r="A33" s="10" t="s">
        <v>33</v>
      </c>
      <c r="B33" s="5" t="s">
        <v>34</v>
      </c>
      <c r="C33" s="9">
        <v>39211</v>
      </c>
      <c r="D33" s="3">
        <v>0.5833333333333334</v>
      </c>
      <c r="E33" s="6" t="s">
        <v>5</v>
      </c>
      <c r="K33" s="21" t="s">
        <v>78</v>
      </c>
      <c r="L33" s="11" t="s">
        <v>10</v>
      </c>
      <c r="M33" s="6">
        <v>6</v>
      </c>
      <c r="N33" s="23">
        <v>411.61810311111105</v>
      </c>
      <c r="O33" s="23">
        <f t="shared" si="7"/>
        <v>2469.7086186666666</v>
      </c>
      <c r="P33" s="146">
        <f t="shared" si="8"/>
        <v>0.6050121755458425</v>
      </c>
    </row>
    <row r="34" spans="1:16" ht="12.75">
      <c r="A34" s="10" t="s">
        <v>33</v>
      </c>
      <c r="B34" s="5" t="s">
        <v>34</v>
      </c>
      <c r="C34" s="9">
        <v>39211</v>
      </c>
      <c r="D34" s="3">
        <v>0.5833333333333334</v>
      </c>
      <c r="E34" s="6" t="s">
        <v>5</v>
      </c>
      <c r="K34" s="21" t="s">
        <v>77</v>
      </c>
      <c r="L34" s="11" t="s">
        <v>10</v>
      </c>
      <c r="M34" s="6">
        <v>17</v>
      </c>
      <c r="N34" s="23">
        <v>449.0379306666667</v>
      </c>
      <c r="O34" s="23">
        <f t="shared" si="7"/>
        <v>7633.644821333333</v>
      </c>
      <c r="P34" s="146">
        <f t="shared" si="8"/>
        <v>1.8700376335053313</v>
      </c>
    </row>
    <row r="35" spans="1:16" ht="12.75">
      <c r="A35" s="10" t="s">
        <v>33</v>
      </c>
      <c r="B35" s="5" t="s">
        <v>34</v>
      </c>
      <c r="C35" s="9">
        <v>39211</v>
      </c>
      <c r="D35" s="3">
        <v>0.5833333333333334</v>
      </c>
      <c r="E35" s="6" t="s">
        <v>5</v>
      </c>
      <c r="K35" s="21" t="s">
        <v>75</v>
      </c>
      <c r="L35" s="11" t="s">
        <v>10</v>
      </c>
      <c r="M35" s="6">
        <v>157</v>
      </c>
      <c r="N35" s="23">
        <v>65.97339</v>
      </c>
      <c r="O35" s="23">
        <f t="shared" si="7"/>
        <v>10357.82223</v>
      </c>
      <c r="P35" s="146">
        <f t="shared" si="8"/>
        <v>2.53738781730153</v>
      </c>
    </row>
    <row r="36" spans="1:16" ht="12.75">
      <c r="A36" s="10" t="s">
        <v>33</v>
      </c>
      <c r="B36" s="5" t="s">
        <v>34</v>
      </c>
      <c r="C36" s="9">
        <v>39211</v>
      </c>
      <c r="D36" s="3">
        <v>0.5833333333333334</v>
      </c>
      <c r="E36" s="6" t="s">
        <v>5</v>
      </c>
      <c r="K36" s="21" t="s">
        <v>74</v>
      </c>
      <c r="L36" s="11" t="s">
        <v>10</v>
      </c>
      <c r="M36" s="6">
        <v>24</v>
      </c>
      <c r="N36" s="23">
        <v>56.54861999999999</v>
      </c>
      <c r="O36" s="23">
        <f t="shared" si="7"/>
        <v>1357.1668799999998</v>
      </c>
      <c r="P36" s="146">
        <f t="shared" si="8"/>
        <v>0.3324693773352323</v>
      </c>
    </row>
    <row r="37" spans="1:16" ht="12.75">
      <c r="A37" s="10" t="s">
        <v>33</v>
      </c>
      <c r="B37" s="5" t="s">
        <v>34</v>
      </c>
      <c r="C37" s="9">
        <v>39211</v>
      </c>
      <c r="D37" s="3">
        <v>0.5833333333333334</v>
      </c>
      <c r="E37" s="6" t="s">
        <v>5</v>
      </c>
      <c r="K37" s="21" t="s">
        <v>73</v>
      </c>
      <c r="L37" s="11" t="s">
        <v>10</v>
      </c>
      <c r="M37" s="6">
        <v>4</v>
      </c>
      <c r="N37" s="23">
        <v>490.8734375</v>
      </c>
      <c r="O37" s="23">
        <f t="shared" si="7"/>
        <v>1963.49375</v>
      </c>
      <c r="P37" s="146">
        <f t="shared" si="8"/>
        <v>0.48100315007990785</v>
      </c>
    </row>
    <row r="38" spans="1:16" ht="12.75">
      <c r="A38" s="10" t="s">
        <v>33</v>
      </c>
      <c r="B38" s="5" t="s">
        <v>34</v>
      </c>
      <c r="C38" s="9">
        <v>39211</v>
      </c>
      <c r="D38" s="3">
        <v>0.5833333333333334</v>
      </c>
      <c r="E38" s="6" t="s">
        <v>5</v>
      </c>
      <c r="K38" s="147" t="s">
        <v>86</v>
      </c>
      <c r="L38" s="147" t="s">
        <v>10</v>
      </c>
      <c r="M38" s="148">
        <v>4</v>
      </c>
      <c r="N38" s="149">
        <v>57196.897916666654</v>
      </c>
      <c r="O38" s="149">
        <f t="shared" si="7"/>
        <v>228787.59166666662</v>
      </c>
      <c r="P38" s="150">
        <f t="shared" si="8"/>
        <v>56.04680549192598</v>
      </c>
    </row>
    <row r="39" spans="1:16" ht="12.75">
      <c r="A39" s="10" t="s">
        <v>33</v>
      </c>
      <c r="B39" s="5" t="s">
        <v>34</v>
      </c>
      <c r="C39" s="9">
        <v>39211</v>
      </c>
      <c r="D39" s="3">
        <v>0.5833333333333334</v>
      </c>
      <c r="E39" s="6" t="s">
        <v>5</v>
      </c>
      <c r="K39" s="21" t="s">
        <v>72</v>
      </c>
      <c r="L39" s="11" t="s">
        <v>10</v>
      </c>
      <c r="M39" s="6">
        <v>2</v>
      </c>
      <c r="N39" s="23">
        <v>2167.6971</v>
      </c>
      <c r="O39" s="23">
        <f t="shared" si="7"/>
        <v>4335.3942</v>
      </c>
      <c r="P39" s="146">
        <f t="shared" si="8"/>
        <v>1.0620549553764367</v>
      </c>
    </row>
    <row r="40" spans="1:16" ht="12.75">
      <c r="A40" s="10" t="s">
        <v>33</v>
      </c>
      <c r="B40" s="5" t="s">
        <v>34</v>
      </c>
      <c r="C40" s="9">
        <v>39211</v>
      </c>
      <c r="D40" s="3">
        <v>0.5833333333333334</v>
      </c>
      <c r="E40" s="6" t="s">
        <v>5</v>
      </c>
      <c r="K40" s="21" t="s">
        <v>70</v>
      </c>
      <c r="L40" s="11" t="s">
        <v>10</v>
      </c>
      <c r="M40" s="6">
        <v>2</v>
      </c>
      <c r="N40" s="23">
        <v>141.37154999999996</v>
      </c>
      <c r="O40" s="23">
        <f t="shared" si="7"/>
        <v>282.7430999999999</v>
      </c>
      <c r="P40" s="146">
        <f t="shared" si="8"/>
        <v>0.06926445361150671</v>
      </c>
    </row>
    <row r="41" spans="1:16" ht="12.75">
      <c r="A41" s="10" t="s">
        <v>33</v>
      </c>
      <c r="B41" s="5" t="s">
        <v>34</v>
      </c>
      <c r="C41" s="9">
        <v>39211</v>
      </c>
      <c r="D41" s="3">
        <v>0.5833333333333334</v>
      </c>
      <c r="E41" s="6" t="s">
        <v>5</v>
      </c>
      <c r="K41" s="21" t="s">
        <v>69</v>
      </c>
      <c r="L41" s="11" t="s">
        <v>10</v>
      </c>
      <c r="M41" s="6">
        <v>346</v>
      </c>
      <c r="N41" s="23">
        <v>138.22996</v>
      </c>
      <c r="O41" s="23">
        <f t="shared" si="7"/>
        <v>47827.56616</v>
      </c>
      <c r="P41" s="146">
        <f t="shared" si="8"/>
        <v>11.716467130906429</v>
      </c>
    </row>
    <row r="42" spans="1:16" ht="12.75">
      <c r="A42" s="10" t="s">
        <v>33</v>
      </c>
      <c r="B42" s="5" t="s">
        <v>34</v>
      </c>
      <c r="C42" s="9">
        <v>39211</v>
      </c>
      <c r="D42" s="3">
        <v>0.5833333333333334</v>
      </c>
      <c r="E42" s="6" t="s">
        <v>5</v>
      </c>
      <c r="K42" s="21" t="s">
        <v>68</v>
      </c>
      <c r="L42" s="11" t="s">
        <v>10</v>
      </c>
      <c r="M42" s="6">
        <v>57</v>
      </c>
      <c r="N42" s="23">
        <v>301.59263999999996</v>
      </c>
      <c r="O42" s="23">
        <f t="shared" si="7"/>
        <v>17190.780479999998</v>
      </c>
      <c r="P42" s="146">
        <f t="shared" si="8"/>
        <v>4.211278779579609</v>
      </c>
    </row>
    <row r="43" spans="1:16" ht="12.75">
      <c r="A43" s="10" t="s">
        <v>33</v>
      </c>
      <c r="B43" s="5" t="s">
        <v>34</v>
      </c>
      <c r="C43" s="9">
        <v>39211</v>
      </c>
      <c r="D43" s="3">
        <v>0.5833333333333334</v>
      </c>
      <c r="E43" s="6" t="s">
        <v>5</v>
      </c>
      <c r="K43" t="s">
        <v>87</v>
      </c>
      <c r="L43" s="11" t="s">
        <v>10</v>
      </c>
      <c r="M43" s="6">
        <v>6</v>
      </c>
      <c r="N43" s="23">
        <v>2638.9356000000002</v>
      </c>
      <c r="O43" s="23">
        <f>M43*N43</f>
        <v>15833.6136</v>
      </c>
      <c r="P43" s="146">
        <f t="shared" si="8"/>
        <v>3.8788094022443773</v>
      </c>
    </row>
    <row r="44" spans="1:16" ht="12.75">
      <c r="A44" s="10" t="s">
        <v>33</v>
      </c>
      <c r="B44" s="5" t="s">
        <v>34</v>
      </c>
      <c r="C44" s="9">
        <v>39211</v>
      </c>
      <c r="D44" s="3">
        <v>0.5833333333333334</v>
      </c>
      <c r="E44" s="6" t="s">
        <v>5</v>
      </c>
      <c r="K44" s="21" t="s">
        <v>65</v>
      </c>
      <c r="L44" s="11" t="s">
        <v>10</v>
      </c>
      <c r="M44" s="6">
        <v>15</v>
      </c>
      <c r="N44" s="23">
        <v>122.52201</v>
      </c>
      <c r="O44" s="23">
        <f aca="true" t="shared" si="9" ref="O44:O51">N44*M44</f>
        <v>1837.83015</v>
      </c>
      <c r="P44" s="146">
        <f t="shared" si="8"/>
        <v>0.4502189484747937</v>
      </c>
    </row>
    <row r="45" spans="1:16" ht="12.75">
      <c r="A45" s="10" t="s">
        <v>33</v>
      </c>
      <c r="B45" s="5" t="s">
        <v>34</v>
      </c>
      <c r="C45" s="9">
        <v>39211</v>
      </c>
      <c r="D45" s="3">
        <v>0.5833333333333334</v>
      </c>
      <c r="E45" s="6" t="s">
        <v>5</v>
      </c>
      <c r="K45" s="21" t="s">
        <v>63</v>
      </c>
      <c r="L45" s="11" t="s">
        <v>10</v>
      </c>
      <c r="M45" s="6">
        <v>3</v>
      </c>
      <c r="N45" s="23">
        <v>530.1433125</v>
      </c>
      <c r="O45" s="23">
        <f t="shared" si="9"/>
        <v>1590.4299375</v>
      </c>
      <c r="P45" s="146">
        <f t="shared" si="8"/>
        <v>0.3896125515647254</v>
      </c>
    </row>
    <row r="46" spans="1:16" ht="12.75">
      <c r="A46" s="10" t="s">
        <v>33</v>
      </c>
      <c r="B46" s="5" t="s">
        <v>34</v>
      </c>
      <c r="C46" s="9">
        <v>39211</v>
      </c>
      <c r="D46" s="3">
        <v>0.5833333333333334</v>
      </c>
      <c r="E46" s="6" t="s">
        <v>5</v>
      </c>
      <c r="K46" s="21" t="s">
        <v>61</v>
      </c>
      <c r="L46" s="11" t="s">
        <v>10</v>
      </c>
      <c r="M46" s="6">
        <v>7</v>
      </c>
      <c r="N46" s="23">
        <v>414.68988</v>
      </c>
      <c r="O46" s="23">
        <f t="shared" si="9"/>
        <v>2902.8291600000002</v>
      </c>
      <c r="P46" s="146">
        <f t="shared" si="8"/>
        <v>0.7111150570781359</v>
      </c>
    </row>
    <row r="47" spans="1:16" ht="12.75">
      <c r="A47" s="10" t="s">
        <v>33</v>
      </c>
      <c r="B47" s="5" t="s">
        <v>34</v>
      </c>
      <c r="C47" s="9">
        <v>39211</v>
      </c>
      <c r="D47" s="3">
        <v>0.5833333333333334</v>
      </c>
      <c r="E47" s="6" t="s">
        <v>5</v>
      </c>
      <c r="K47" s="21" t="s">
        <v>59</v>
      </c>
      <c r="L47" s="11" t="s">
        <v>10</v>
      </c>
      <c r="M47" s="6">
        <v>3</v>
      </c>
      <c r="N47" s="23">
        <v>376.99080000000004</v>
      </c>
      <c r="O47" s="23">
        <f t="shared" si="9"/>
        <v>1130.9724</v>
      </c>
      <c r="P47" s="146">
        <f t="shared" si="8"/>
        <v>0.277057814446027</v>
      </c>
    </row>
    <row r="48" spans="1:16" ht="12.75">
      <c r="A48" s="10" t="s">
        <v>33</v>
      </c>
      <c r="B48" s="5" t="s">
        <v>34</v>
      </c>
      <c r="C48" s="9">
        <v>39211</v>
      </c>
      <c r="D48" s="3">
        <v>0.5833333333333334</v>
      </c>
      <c r="E48" s="6" t="s">
        <v>5</v>
      </c>
      <c r="K48" s="21" t="s">
        <v>56</v>
      </c>
      <c r="L48" s="11" t="s">
        <v>10</v>
      </c>
      <c r="M48" s="6">
        <v>10</v>
      </c>
      <c r="N48" s="23">
        <v>450</v>
      </c>
      <c r="O48" s="23">
        <f t="shared" si="9"/>
        <v>4500</v>
      </c>
      <c r="P48" s="146">
        <f t="shared" si="8"/>
        <v>1.102378948422721</v>
      </c>
    </row>
    <row r="49" spans="1:16" ht="12.75">
      <c r="A49" s="10" t="s">
        <v>33</v>
      </c>
      <c r="B49" s="5" t="s">
        <v>34</v>
      </c>
      <c r="C49" s="9">
        <v>39211</v>
      </c>
      <c r="D49" s="3">
        <v>0.5833333333333334</v>
      </c>
      <c r="E49" s="6" t="s">
        <v>5</v>
      </c>
      <c r="K49" t="s">
        <v>88</v>
      </c>
      <c r="L49" s="11" t="s">
        <v>10</v>
      </c>
      <c r="M49" s="6">
        <v>2</v>
      </c>
      <c r="N49" s="23">
        <v>2850</v>
      </c>
      <c r="O49" s="23">
        <f t="shared" si="9"/>
        <v>5700</v>
      </c>
      <c r="P49" s="146">
        <f t="shared" si="8"/>
        <v>1.3963466680021135</v>
      </c>
    </row>
    <row r="50" spans="1:16" ht="12.75">
      <c r="A50" s="10" t="s">
        <v>33</v>
      </c>
      <c r="B50" s="5" t="s">
        <v>34</v>
      </c>
      <c r="C50" s="9">
        <v>39211</v>
      </c>
      <c r="D50" s="3">
        <v>0.5833333333333334</v>
      </c>
      <c r="E50" s="6" t="s">
        <v>5</v>
      </c>
      <c r="K50" t="s">
        <v>89</v>
      </c>
      <c r="L50" s="11" t="s">
        <v>10</v>
      </c>
      <c r="M50" s="6">
        <v>1</v>
      </c>
      <c r="N50" s="23">
        <v>6232.1291625</v>
      </c>
      <c r="O50" s="23">
        <f t="shared" si="9"/>
        <v>6232.1291625</v>
      </c>
      <c r="P50" s="146">
        <f t="shared" si="8"/>
        <v>1.5267039983536277</v>
      </c>
    </row>
    <row r="51" spans="1:16" ht="12.75">
      <c r="A51" s="10" t="s">
        <v>33</v>
      </c>
      <c r="B51" s="5" t="s">
        <v>34</v>
      </c>
      <c r="C51" s="9">
        <v>39211</v>
      </c>
      <c r="D51" s="3">
        <v>0.5833333333333334</v>
      </c>
      <c r="E51" s="6" t="s">
        <v>5</v>
      </c>
      <c r="K51" s="21" t="s">
        <v>54</v>
      </c>
      <c r="L51" s="11" t="s">
        <v>10</v>
      </c>
      <c r="M51" s="6">
        <v>4</v>
      </c>
      <c r="N51" s="23">
        <v>9600</v>
      </c>
      <c r="O51" s="23">
        <f t="shared" si="9"/>
        <v>38400</v>
      </c>
      <c r="P51" s="146">
        <f t="shared" si="8"/>
        <v>9.406967026540554</v>
      </c>
    </row>
    <row r="52" spans="1:15" ht="12.75">
      <c r="A52" s="6"/>
      <c r="B52" s="6"/>
      <c r="C52" s="6"/>
      <c r="D52" s="21"/>
      <c r="E52" s="6"/>
      <c r="K52" s="21" t="s">
        <v>2</v>
      </c>
      <c r="L52" s="11"/>
      <c r="M52" s="6">
        <f>SUM(M31:M51)</f>
        <v>692</v>
      </c>
      <c r="N52" s="23"/>
      <c r="O52" s="23">
        <f>SUM(O31:O51)</f>
        <v>408208.08547174995</v>
      </c>
    </row>
    <row r="53" spans="1:15" ht="12.75">
      <c r="A53" s="129"/>
      <c r="B53" s="129"/>
      <c r="C53" s="129"/>
      <c r="D53" s="127"/>
      <c r="E53" s="129"/>
      <c r="F53" s="126"/>
      <c r="G53" s="126"/>
      <c r="H53" s="126"/>
      <c r="I53" s="126"/>
      <c r="J53" s="126"/>
      <c r="K53" s="127" t="s">
        <v>53</v>
      </c>
      <c r="L53" s="127">
        <f>O52/M52</f>
        <v>589.896077271315</v>
      </c>
      <c r="M53" s="129"/>
      <c r="N53" s="129"/>
      <c r="O53" s="138"/>
    </row>
  </sheetData>
  <sheetProtection/>
  <mergeCells count="2">
    <mergeCell ref="A1:S1"/>
    <mergeCell ref="A27:S2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S91"/>
  <sheetViews>
    <sheetView zoomScale="85" zoomScaleNormal="85" zoomScalePageLayoutView="0" workbookViewId="0" topLeftCell="A1">
      <selection activeCell="K34" sqref="K34"/>
    </sheetView>
  </sheetViews>
  <sheetFormatPr defaultColWidth="9.140625" defaultRowHeight="12.75"/>
  <cols>
    <col min="1" max="1" width="9.00390625" style="0" bestFit="1" customWidth="1"/>
    <col min="2" max="2" width="28.28125" style="0" bestFit="1" customWidth="1"/>
    <col min="4" max="4" width="5.57421875" style="0" bestFit="1" customWidth="1"/>
    <col min="5" max="5" width="9.28125" style="0" bestFit="1" customWidth="1"/>
    <col min="6" max="6" width="13.28125" style="0" customWidth="1"/>
    <col min="7" max="7" width="8.00390625" style="0" hidden="1" customWidth="1"/>
    <col min="8" max="8" width="7.421875" style="0" hidden="1" customWidth="1"/>
    <col min="9" max="9" width="9.8515625" style="0" hidden="1" customWidth="1"/>
    <col min="10" max="10" width="12.00390625" style="0" hidden="1" customWidth="1"/>
    <col min="11" max="11" width="29.140625" style="0" bestFit="1" customWidth="1"/>
    <col min="12" max="12" width="13.28125" style="0" bestFit="1" customWidth="1"/>
    <col min="13" max="13" width="6.8515625" style="0" bestFit="1" customWidth="1"/>
    <col min="14" max="14" width="18.57421875" style="0" bestFit="1" customWidth="1"/>
    <col min="15" max="15" width="21.421875" style="0" bestFit="1" customWidth="1"/>
    <col min="16" max="16" width="17.00390625" style="0" bestFit="1" customWidth="1"/>
    <col min="17" max="18" width="9.8515625" style="0" bestFit="1" customWidth="1"/>
    <col min="19" max="19" width="11.00390625" style="0" customWidth="1"/>
  </cols>
  <sheetData>
    <row r="1" spans="1:19" ht="26.25">
      <c r="A1" s="181" t="s">
        <v>1</v>
      </c>
      <c r="B1" s="181"/>
      <c r="C1" s="181"/>
      <c r="D1" s="181"/>
      <c r="E1" s="181"/>
      <c r="F1" s="181"/>
      <c r="G1" s="181"/>
      <c r="H1" s="181"/>
      <c r="I1" s="181"/>
      <c r="J1" s="181"/>
      <c r="K1" s="181"/>
      <c r="L1" s="181"/>
      <c r="M1" s="181"/>
      <c r="N1" s="181"/>
      <c r="O1" s="181"/>
      <c r="P1" s="181"/>
      <c r="Q1" s="181"/>
      <c r="R1" s="181"/>
      <c r="S1" s="181"/>
    </row>
    <row r="2" spans="1:19" s="97" customFormat="1" ht="12.75">
      <c r="A2" s="107" t="s">
        <v>28</v>
      </c>
      <c r="B2" s="107" t="s">
        <v>145</v>
      </c>
      <c r="C2" s="92" t="s">
        <v>26</v>
      </c>
      <c r="D2" s="92"/>
      <c r="E2" s="94" t="s">
        <v>24</v>
      </c>
      <c r="F2" s="107" t="s">
        <v>24</v>
      </c>
      <c r="G2" s="107" t="s">
        <v>29</v>
      </c>
      <c r="H2" s="107" t="s">
        <v>22</v>
      </c>
      <c r="I2" s="107" t="s">
        <v>14</v>
      </c>
      <c r="J2" s="107" t="s">
        <v>21</v>
      </c>
      <c r="K2" s="108" t="s">
        <v>169</v>
      </c>
      <c r="L2" s="108" t="s">
        <v>20</v>
      </c>
      <c r="M2" s="107" t="s">
        <v>19</v>
      </c>
      <c r="N2" s="109" t="s">
        <v>134</v>
      </c>
      <c r="O2" s="96" t="s">
        <v>134</v>
      </c>
      <c r="P2" s="96" t="s">
        <v>98</v>
      </c>
      <c r="Q2" s="107" t="s">
        <v>18</v>
      </c>
      <c r="R2" s="107" t="s">
        <v>17</v>
      </c>
      <c r="S2" s="107" t="s">
        <v>17</v>
      </c>
    </row>
    <row r="3" spans="1:19" s="106" customFormat="1" ht="14.25">
      <c r="A3" s="100"/>
      <c r="B3" s="100"/>
      <c r="C3" s="110"/>
      <c r="D3" s="110"/>
      <c r="E3" s="100" t="s">
        <v>16</v>
      </c>
      <c r="F3" s="111" t="s">
        <v>15</v>
      </c>
      <c r="G3" s="111" t="s">
        <v>14</v>
      </c>
      <c r="H3" s="111"/>
      <c r="I3" s="111" t="s">
        <v>13</v>
      </c>
      <c r="J3" s="111"/>
      <c r="K3" s="112"/>
      <c r="L3" s="112"/>
      <c r="M3" s="111"/>
      <c r="N3" s="103" t="s">
        <v>99</v>
      </c>
      <c r="O3" s="104" t="s">
        <v>100</v>
      </c>
      <c r="P3" s="104" t="s">
        <v>135</v>
      </c>
      <c r="Q3" s="111" t="s">
        <v>12</v>
      </c>
      <c r="R3" s="113" t="s">
        <v>136</v>
      </c>
      <c r="S3" s="113" t="s">
        <v>137</v>
      </c>
    </row>
    <row r="4" spans="1:19" ht="12.75">
      <c r="A4" s="17"/>
      <c r="B4" s="17"/>
      <c r="C4" s="17"/>
      <c r="D4" s="17"/>
      <c r="E4" s="15"/>
      <c r="F4" s="18"/>
      <c r="G4" s="18"/>
      <c r="H4" s="18"/>
      <c r="I4" s="18"/>
      <c r="J4" s="18"/>
      <c r="K4" s="19"/>
      <c r="L4" s="19"/>
      <c r="M4" s="18"/>
      <c r="N4" s="20"/>
      <c r="O4" s="20"/>
      <c r="P4" s="20"/>
      <c r="Q4" s="18"/>
      <c r="R4" s="18"/>
      <c r="S4" s="1"/>
    </row>
    <row r="5" spans="1:19" ht="12.75">
      <c r="A5" s="10" t="s">
        <v>41</v>
      </c>
      <c r="B5" s="5" t="s">
        <v>42</v>
      </c>
      <c r="C5" s="9">
        <v>39212</v>
      </c>
      <c r="D5" s="3">
        <v>0.3958333333333333</v>
      </c>
      <c r="E5" s="6" t="s">
        <v>5</v>
      </c>
      <c r="F5" s="6">
        <v>0.3</v>
      </c>
      <c r="G5" s="6">
        <v>0.15904</v>
      </c>
      <c r="H5" s="6">
        <v>3</v>
      </c>
      <c r="I5" s="6">
        <f aca="true" t="shared" si="0" ref="I5:I13">G5*H5</f>
        <v>0.47712</v>
      </c>
      <c r="J5" s="6">
        <f aca="true" t="shared" si="1" ref="J5:J13">((201.062/I5)/F5)</f>
        <v>1404.6920411357032</v>
      </c>
      <c r="K5" s="21" t="s">
        <v>11</v>
      </c>
      <c r="L5" s="11" t="s">
        <v>10</v>
      </c>
      <c r="M5" s="6">
        <v>645</v>
      </c>
      <c r="N5" s="22">
        <f aca="true" t="shared" si="2" ref="N5:N13">J5*M5</f>
        <v>906026.3665325285</v>
      </c>
      <c r="O5" s="22">
        <f aca="true" t="shared" si="3" ref="O5:O13">N5*1010</f>
        <v>915086630.1978538</v>
      </c>
      <c r="P5" s="22">
        <f>O5/887</f>
        <v>1031664.7465590235</v>
      </c>
      <c r="Q5" s="23">
        <v>997.8964122820473</v>
      </c>
      <c r="R5" s="22">
        <f aca="true" t="shared" si="4" ref="R5:R13">N5*Q5</f>
        <v>904120460.5957494</v>
      </c>
      <c r="S5" s="2">
        <f>P5*Q5</f>
        <v>1029494549.2691172</v>
      </c>
    </row>
    <row r="6" spans="1:19" ht="12.75">
      <c r="A6" s="10" t="s">
        <v>41</v>
      </c>
      <c r="B6" s="5" t="s">
        <v>42</v>
      </c>
      <c r="C6" s="9">
        <v>39212</v>
      </c>
      <c r="D6" s="3">
        <v>0.3958333333333333</v>
      </c>
      <c r="E6" s="1" t="s">
        <v>5</v>
      </c>
      <c r="F6" s="1">
        <v>0.3</v>
      </c>
      <c r="G6" s="1">
        <v>100.53</v>
      </c>
      <c r="H6" s="1">
        <v>1</v>
      </c>
      <c r="I6" s="1">
        <f t="shared" si="0"/>
        <v>100.53</v>
      </c>
      <c r="J6" s="1">
        <f t="shared" si="1"/>
        <v>6.666732981862794</v>
      </c>
      <c r="K6" t="s">
        <v>43</v>
      </c>
      <c r="L6" t="s">
        <v>8</v>
      </c>
      <c r="M6" s="1">
        <v>160</v>
      </c>
      <c r="N6" s="22">
        <f t="shared" si="2"/>
        <v>1066.6772770980472</v>
      </c>
      <c r="O6" s="22">
        <f t="shared" si="3"/>
        <v>1077344.0498690277</v>
      </c>
      <c r="P6" s="22">
        <f aca="true" t="shared" si="5" ref="P6:P13">O6/887</f>
        <v>1214.5930663686895</v>
      </c>
      <c r="Q6" s="7">
        <v>131.94678</v>
      </c>
      <c r="R6" s="2">
        <f t="shared" si="4"/>
        <v>140744.63201225505</v>
      </c>
      <c r="S6" s="2">
        <f aca="true" t="shared" si="6" ref="S6:S13">P6*Q6</f>
        <v>160261.64411767485</v>
      </c>
    </row>
    <row r="7" spans="1:19" ht="12.75">
      <c r="A7" s="10" t="s">
        <v>41</v>
      </c>
      <c r="B7" s="5" t="s">
        <v>42</v>
      </c>
      <c r="C7" s="9">
        <v>39212</v>
      </c>
      <c r="D7" s="3">
        <v>0.3958333333333333</v>
      </c>
      <c r="E7" s="1" t="s">
        <v>5</v>
      </c>
      <c r="F7" s="1">
        <v>0.3</v>
      </c>
      <c r="G7" s="1">
        <v>100.53</v>
      </c>
      <c r="H7" s="1">
        <v>1</v>
      </c>
      <c r="I7" s="1">
        <f t="shared" si="0"/>
        <v>100.53</v>
      </c>
      <c r="J7" s="1">
        <f t="shared" si="1"/>
        <v>6.666732981862794</v>
      </c>
      <c r="K7" t="s">
        <v>9</v>
      </c>
      <c r="L7" t="s">
        <v>8</v>
      </c>
      <c r="M7" s="1">
        <v>2</v>
      </c>
      <c r="N7" s="22">
        <f t="shared" si="2"/>
        <v>13.333465963725589</v>
      </c>
      <c r="O7" s="22">
        <f t="shared" si="3"/>
        <v>13466.800623362844</v>
      </c>
      <c r="P7" s="22">
        <f t="shared" si="5"/>
        <v>15.182413329608618</v>
      </c>
      <c r="Q7" s="7">
        <v>10602.86625</v>
      </c>
      <c r="R7" s="2">
        <f t="shared" si="4"/>
        <v>141372.95626230974</v>
      </c>
      <c r="S7" s="2">
        <f t="shared" si="6"/>
        <v>160977.09788605734</v>
      </c>
    </row>
    <row r="8" spans="1:19" ht="12.75">
      <c r="A8" s="10" t="s">
        <v>41</v>
      </c>
      <c r="B8" s="5" t="s">
        <v>42</v>
      </c>
      <c r="C8" s="9">
        <v>39212</v>
      </c>
      <c r="D8" s="3">
        <v>0.3958333333333333</v>
      </c>
      <c r="E8" s="6" t="s">
        <v>5</v>
      </c>
      <c r="F8" s="6">
        <v>0.3</v>
      </c>
      <c r="G8" s="6">
        <v>7.04</v>
      </c>
      <c r="H8" s="6">
        <v>1</v>
      </c>
      <c r="I8" s="6">
        <f t="shared" si="0"/>
        <v>7.04</v>
      </c>
      <c r="J8" s="6">
        <f t="shared" si="1"/>
        <v>95.19981060606062</v>
      </c>
      <c r="K8" s="21" t="s">
        <v>39</v>
      </c>
      <c r="L8" s="21" t="s">
        <v>8</v>
      </c>
      <c r="M8" s="6">
        <v>12</v>
      </c>
      <c r="N8" s="22">
        <f t="shared" si="2"/>
        <v>1142.3977272727275</v>
      </c>
      <c r="O8" s="22">
        <f t="shared" si="3"/>
        <v>1153821.7045454548</v>
      </c>
      <c r="P8" s="22">
        <f t="shared" si="5"/>
        <v>1300.8136466126887</v>
      </c>
      <c r="Q8" s="23">
        <v>2256.4470174999997</v>
      </c>
      <c r="R8" s="22">
        <f t="shared" si="4"/>
        <v>2577759.944503324</v>
      </c>
      <c r="S8" s="2">
        <f t="shared" si="6"/>
        <v>2935217.0732225</v>
      </c>
    </row>
    <row r="9" spans="1:19" ht="12.75">
      <c r="A9" s="10" t="s">
        <v>41</v>
      </c>
      <c r="B9" s="5" t="s">
        <v>42</v>
      </c>
      <c r="C9" s="9">
        <v>39212</v>
      </c>
      <c r="D9" s="3">
        <v>0.3958333333333333</v>
      </c>
      <c r="E9" s="6" t="s">
        <v>5</v>
      </c>
      <c r="F9" s="6">
        <v>0.3</v>
      </c>
      <c r="G9" s="6">
        <v>100.53</v>
      </c>
      <c r="H9" s="6">
        <v>1</v>
      </c>
      <c r="I9" s="6">
        <f t="shared" si="0"/>
        <v>100.53</v>
      </c>
      <c r="J9" s="6">
        <f t="shared" si="1"/>
        <v>6.666732981862794</v>
      </c>
      <c r="K9" t="s">
        <v>44</v>
      </c>
      <c r="L9" s="21" t="s">
        <v>8</v>
      </c>
      <c r="M9" s="6">
        <v>4</v>
      </c>
      <c r="N9" s="22">
        <f t="shared" si="2"/>
        <v>26.666931927451177</v>
      </c>
      <c r="O9" s="22">
        <f t="shared" si="3"/>
        <v>26933.601246725688</v>
      </c>
      <c r="P9" s="22">
        <f t="shared" si="5"/>
        <v>30.364826659217236</v>
      </c>
      <c r="Q9" s="23">
        <v>75.39815999999999</v>
      </c>
      <c r="R9" s="22">
        <f t="shared" si="4"/>
        <v>2010.637600175072</v>
      </c>
      <c r="S9" s="2">
        <f t="shared" si="6"/>
        <v>2289.4520588239266</v>
      </c>
    </row>
    <row r="10" spans="1:19" ht="12.75">
      <c r="A10" s="10" t="s">
        <v>41</v>
      </c>
      <c r="B10" s="5" t="s">
        <v>42</v>
      </c>
      <c r="C10" s="9">
        <v>39212</v>
      </c>
      <c r="D10" s="3">
        <v>0.3958333333333333</v>
      </c>
      <c r="E10" s="6" t="s">
        <v>5</v>
      </c>
      <c r="F10" s="6">
        <v>0.3</v>
      </c>
      <c r="G10" s="6">
        <v>7.04</v>
      </c>
      <c r="H10" s="6">
        <v>1</v>
      </c>
      <c r="I10" s="6">
        <f t="shared" si="0"/>
        <v>7.04</v>
      </c>
      <c r="J10" s="6">
        <f t="shared" si="1"/>
        <v>95.19981060606062</v>
      </c>
      <c r="K10" s="21" t="s">
        <v>36</v>
      </c>
      <c r="L10" s="21" t="s">
        <v>8</v>
      </c>
      <c r="M10" s="6">
        <v>15</v>
      </c>
      <c r="N10" s="22">
        <f t="shared" si="2"/>
        <v>1427.9971590909095</v>
      </c>
      <c r="O10" s="22">
        <f t="shared" si="3"/>
        <v>1442277.1306818186</v>
      </c>
      <c r="P10" s="22">
        <f t="shared" si="5"/>
        <v>1626.017058265861</v>
      </c>
      <c r="Q10" s="23">
        <v>311.01741</v>
      </c>
      <c r="R10" s="22">
        <f t="shared" si="4"/>
        <v>444131.9779078126</v>
      </c>
      <c r="S10" s="2">
        <f t="shared" si="6"/>
        <v>505719.6140776671</v>
      </c>
    </row>
    <row r="11" spans="1:19" ht="12.75">
      <c r="A11" s="10" t="s">
        <v>41</v>
      </c>
      <c r="B11" s="5" t="s">
        <v>42</v>
      </c>
      <c r="C11" s="9">
        <v>39212</v>
      </c>
      <c r="D11" s="3">
        <v>0.3958333333333333</v>
      </c>
      <c r="E11" s="6" t="s">
        <v>5</v>
      </c>
      <c r="F11" s="6">
        <v>0.3</v>
      </c>
      <c r="G11" s="6">
        <v>7.04</v>
      </c>
      <c r="H11" s="6">
        <v>1</v>
      </c>
      <c r="I11" s="6">
        <f t="shared" si="0"/>
        <v>7.04</v>
      </c>
      <c r="J11" s="6">
        <f t="shared" si="1"/>
        <v>95.19981060606062</v>
      </c>
      <c r="K11" t="s">
        <v>45</v>
      </c>
      <c r="L11" s="21" t="s">
        <v>8</v>
      </c>
      <c r="M11" s="6">
        <v>10</v>
      </c>
      <c r="N11" s="22">
        <f t="shared" si="2"/>
        <v>951.9981060606062</v>
      </c>
      <c r="O11" s="22">
        <f t="shared" si="3"/>
        <v>961518.0871212123</v>
      </c>
      <c r="P11" s="22">
        <f t="shared" si="5"/>
        <v>1084.0113721772404</v>
      </c>
      <c r="Q11" s="23">
        <v>1734.1576799999998</v>
      </c>
      <c r="R11" s="22">
        <f t="shared" si="4"/>
        <v>1650914.8269704545</v>
      </c>
      <c r="S11" s="2">
        <f t="shared" si="6"/>
        <v>1879846.6462684995</v>
      </c>
    </row>
    <row r="12" spans="1:19" ht="12.75">
      <c r="A12" s="10" t="s">
        <v>41</v>
      </c>
      <c r="B12" s="5" t="s">
        <v>42</v>
      </c>
      <c r="C12" s="9">
        <v>39212</v>
      </c>
      <c r="D12" s="3">
        <v>0.3958333333333333</v>
      </c>
      <c r="E12" s="6" t="s">
        <v>5</v>
      </c>
      <c r="F12" s="6">
        <v>0.3</v>
      </c>
      <c r="G12" s="25">
        <v>7.04</v>
      </c>
      <c r="H12" s="6">
        <v>1</v>
      </c>
      <c r="I12" s="6">
        <f t="shared" si="0"/>
        <v>7.04</v>
      </c>
      <c r="J12" s="25">
        <f t="shared" si="1"/>
        <v>95.19981060606062</v>
      </c>
      <c r="K12" s="21" t="s">
        <v>4</v>
      </c>
      <c r="L12" s="21" t="s">
        <v>3</v>
      </c>
      <c r="M12" s="6">
        <v>7</v>
      </c>
      <c r="N12" s="22">
        <f t="shared" si="2"/>
        <v>666.3986742424244</v>
      </c>
      <c r="O12" s="22">
        <f t="shared" si="3"/>
        <v>673062.6609848486</v>
      </c>
      <c r="P12" s="22">
        <f t="shared" si="5"/>
        <v>758.8079605240683</v>
      </c>
      <c r="Q12" s="23">
        <v>37.699079999999995</v>
      </c>
      <c r="R12" s="22">
        <f t="shared" si="4"/>
        <v>25122.616932159093</v>
      </c>
      <c r="S12" s="2">
        <f t="shared" si="6"/>
        <v>28606.36200843369</v>
      </c>
    </row>
    <row r="13" spans="1:19" ht="12.75">
      <c r="A13" s="10" t="s">
        <v>41</v>
      </c>
      <c r="B13" s="5" t="s">
        <v>42</v>
      </c>
      <c r="C13" s="9">
        <v>39212</v>
      </c>
      <c r="D13" s="3">
        <v>0.3958333333333333</v>
      </c>
      <c r="E13" s="6" t="s">
        <v>5</v>
      </c>
      <c r="F13" s="6">
        <v>0.3</v>
      </c>
      <c r="G13" s="25">
        <v>100.53</v>
      </c>
      <c r="H13" s="6">
        <v>1</v>
      </c>
      <c r="I13" s="6">
        <f t="shared" si="0"/>
        <v>100.53</v>
      </c>
      <c r="J13" s="25">
        <f t="shared" si="1"/>
        <v>6.666732981862794</v>
      </c>
      <c r="K13" t="s">
        <v>46</v>
      </c>
      <c r="L13" s="21" t="s">
        <v>47</v>
      </c>
      <c r="M13" s="6">
        <v>2</v>
      </c>
      <c r="N13" s="22">
        <f t="shared" si="2"/>
        <v>13.333465963725589</v>
      </c>
      <c r="O13" s="22">
        <f t="shared" si="3"/>
        <v>13466.800623362844</v>
      </c>
      <c r="P13" s="22">
        <f t="shared" si="5"/>
        <v>15.182413329608618</v>
      </c>
      <c r="Q13" s="23">
        <v>14168.570899999999</v>
      </c>
      <c r="R13" s="22">
        <f t="shared" si="4"/>
        <v>188916.15784978282</v>
      </c>
      <c r="S13" s="2">
        <f t="shared" si="6"/>
        <v>215113.09969366476</v>
      </c>
    </row>
    <row r="14" spans="1:19" s="126" customFormat="1" ht="12.75">
      <c r="A14" s="129"/>
      <c r="B14" s="129"/>
      <c r="C14" s="127"/>
      <c r="D14" s="127"/>
      <c r="E14" s="129"/>
      <c r="F14" s="129"/>
      <c r="G14" s="129"/>
      <c r="H14" s="129"/>
      <c r="I14" s="129"/>
      <c r="J14" s="129"/>
      <c r="K14" s="127" t="s">
        <v>2</v>
      </c>
      <c r="L14" s="127"/>
      <c r="M14" s="129">
        <f>SUM(M5:M13)</f>
        <v>857</v>
      </c>
      <c r="N14" s="133">
        <f>SUM(N5:N13)</f>
        <v>911335.1693401481</v>
      </c>
      <c r="O14" s="133">
        <f>SUM(O5:O13)</f>
        <v>920448521.0335499</v>
      </c>
      <c r="P14" s="133">
        <f>SUM(P5:P13)</f>
        <v>1037709.7193162906</v>
      </c>
      <c r="Q14" s="129"/>
      <c r="R14" s="133">
        <f>SUM(R5:R13)</f>
        <v>909291434.3457876</v>
      </c>
      <c r="S14" s="133">
        <f>SUM(S5:S13)</f>
        <v>1035382580.2584506</v>
      </c>
    </row>
    <row r="15" ht="12.75">
      <c r="S15" s="1"/>
    </row>
    <row r="16" spans="1:19" s="97" customFormat="1" ht="12.75">
      <c r="A16" s="91" t="s">
        <v>28</v>
      </c>
      <c r="B16" s="92" t="s">
        <v>145</v>
      </c>
      <c r="C16" s="93" t="s">
        <v>26</v>
      </c>
      <c r="D16" s="92" t="s">
        <v>25</v>
      </c>
      <c r="E16" s="94" t="s">
        <v>24</v>
      </c>
      <c r="F16" s="91" t="s">
        <v>24</v>
      </c>
      <c r="G16" s="91" t="s">
        <v>23</v>
      </c>
      <c r="H16" s="91" t="s">
        <v>22</v>
      </c>
      <c r="I16" s="91" t="s">
        <v>14</v>
      </c>
      <c r="J16" s="91" t="s">
        <v>21</v>
      </c>
      <c r="K16" s="95" t="s">
        <v>169</v>
      </c>
      <c r="L16" s="95" t="s">
        <v>20</v>
      </c>
      <c r="M16" s="91" t="s">
        <v>19</v>
      </c>
      <c r="N16" s="96" t="s">
        <v>98</v>
      </c>
      <c r="O16" s="109" t="s">
        <v>98</v>
      </c>
      <c r="P16" s="96" t="s">
        <v>98</v>
      </c>
      <c r="Q16" s="91" t="s">
        <v>18</v>
      </c>
      <c r="R16" s="91" t="s">
        <v>17</v>
      </c>
      <c r="S16" s="107" t="s">
        <v>17</v>
      </c>
    </row>
    <row r="17" spans="1:19" s="106" customFormat="1" ht="14.25">
      <c r="A17" s="98"/>
      <c r="B17" s="98"/>
      <c r="C17" s="99"/>
      <c r="D17" s="99"/>
      <c r="E17" s="100" t="s">
        <v>16</v>
      </c>
      <c r="F17" s="101" t="s">
        <v>15</v>
      </c>
      <c r="G17" s="101" t="s">
        <v>14</v>
      </c>
      <c r="H17" s="101"/>
      <c r="I17" s="101" t="s">
        <v>13</v>
      </c>
      <c r="J17" s="101"/>
      <c r="K17" s="102"/>
      <c r="L17" s="102"/>
      <c r="M17" s="101"/>
      <c r="N17" s="103" t="s">
        <v>99</v>
      </c>
      <c r="O17" s="104" t="s">
        <v>100</v>
      </c>
      <c r="P17" s="104" t="s">
        <v>135</v>
      </c>
      <c r="Q17" s="101" t="s">
        <v>12</v>
      </c>
      <c r="R17" s="105" t="s">
        <v>136</v>
      </c>
      <c r="S17" s="113" t="s">
        <v>137</v>
      </c>
    </row>
    <row r="18" ht="12.75">
      <c r="S18" s="1"/>
    </row>
    <row r="19" spans="1:19" ht="12.75">
      <c r="A19" s="10" t="s">
        <v>41</v>
      </c>
      <c r="B19" s="5" t="s">
        <v>42</v>
      </c>
      <c r="C19" s="9">
        <v>39330</v>
      </c>
      <c r="D19" s="3">
        <v>0.4895833333333333</v>
      </c>
      <c r="E19" s="6" t="s">
        <v>5</v>
      </c>
      <c r="F19" s="6">
        <v>0.05</v>
      </c>
      <c r="G19" s="6">
        <v>0.15904</v>
      </c>
      <c r="H19" s="6">
        <v>7</v>
      </c>
      <c r="I19" s="6">
        <f aca="true" t="shared" si="7" ref="I19:I24">G19*H19</f>
        <v>1.1132799999999998</v>
      </c>
      <c r="J19" s="25">
        <f aca="true" t="shared" si="8" ref="J19:J24">((201.062/I19)/F19)</f>
        <v>3612.0652486346657</v>
      </c>
      <c r="K19" s="21" t="s">
        <v>11</v>
      </c>
      <c r="L19" s="11" t="s">
        <v>10</v>
      </c>
      <c r="M19" s="6">
        <v>409</v>
      </c>
      <c r="N19" s="22">
        <f aca="true" t="shared" si="9" ref="N19:N24">J19*M19</f>
        <v>1477334.6866915782</v>
      </c>
      <c r="O19" s="22">
        <f aca="true" t="shared" si="10" ref="O19:O24">N19*1000</f>
        <v>1477334686.6915781</v>
      </c>
      <c r="P19" s="2">
        <f aca="true" t="shared" si="11" ref="P19:P24">O19/546</f>
        <v>2705741.1844168096</v>
      </c>
      <c r="Q19" s="6">
        <v>344.9955633886601</v>
      </c>
      <c r="R19" s="22">
        <f aca="true" t="shared" si="12" ref="R19:R24">N19*Q19</f>
        <v>509673912.5487707</v>
      </c>
      <c r="S19" s="2">
        <f aca="true" t="shared" si="13" ref="S19:S24">P19*Q19</f>
        <v>933468704.3017777</v>
      </c>
    </row>
    <row r="20" spans="1:19" ht="12.75">
      <c r="A20" s="10" t="s">
        <v>41</v>
      </c>
      <c r="B20" s="5" t="s">
        <v>42</v>
      </c>
      <c r="C20" s="9">
        <v>39330</v>
      </c>
      <c r="D20" s="3">
        <v>0.4895833333333333</v>
      </c>
      <c r="E20" s="6" t="s">
        <v>5</v>
      </c>
      <c r="F20" s="6">
        <v>0.05</v>
      </c>
      <c r="G20" s="25">
        <v>7.04</v>
      </c>
      <c r="H20" s="6">
        <v>1</v>
      </c>
      <c r="I20" s="6">
        <f t="shared" si="7"/>
        <v>7.04</v>
      </c>
      <c r="J20" s="25">
        <f t="shared" si="8"/>
        <v>571.1988636363636</v>
      </c>
      <c r="K20" s="31" t="s">
        <v>101</v>
      </c>
      <c r="L20" s="21" t="s">
        <v>8</v>
      </c>
      <c r="M20" s="6">
        <v>125</v>
      </c>
      <c r="N20" s="22">
        <f t="shared" si="9"/>
        <v>71399.85795454546</v>
      </c>
      <c r="O20" s="22">
        <f t="shared" si="10"/>
        <v>71399857.95454545</v>
      </c>
      <c r="P20" s="2">
        <f t="shared" si="11"/>
        <v>130768.97061272062</v>
      </c>
      <c r="Q20" s="23">
        <v>384.84477499999997</v>
      </c>
      <c r="R20" s="22">
        <f t="shared" si="12"/>
        <v>27477862.269549005</v>
      </c>
      <c r="S20" s="2">
        <f t="shared" si="13"/>
        <v>50325755.072434075</v>
      </c>
    </row>
    <row r="21" spans="1:19" ht="12.75">
      <c r="A21" s="10" t="s">
        <v>41</v>
      </c>
      <c r="B21" s="5" t="s">
        <v>42</v>
      </c>
      <c r="C21" s="9">
        <v>39330</v>
      </c>
      <c r="D21" s="3">
        <v>0.4895833333333333</v>
      </c>
      <c r="E21" s="6" t="s">
        <v>5</v>
      </c>
      <c r="F21" s="6">
        <v>0.05</v>
      </c>
      <c r="G21" s="25">
        <v>7.04</v>
      </c>
      <c r="H21" s="6">
        <v>1</v>
      </c>
      <c r="I21" s="6">
        <f t="shared" si="7"/>
        <v>7.04</v>
      </c>
      <c r="J21" s="25">
        <f t="shared" si="8"/>
        <v>571.1988636363636</v>
      </c>
      <c r="K21" s="21" t="s">
        <v>9</v>
      </c>
      <c r="L21" s="21" t="s">
        <v>8</v>
      </c>
      <c r="M21" s="6">
        <v>2</v>
      </c>
      <c r="N21" s="22">
        <f t="shared" si="9"/>
        <v>1142.3977272727273</v>
      </c>
      <c r="O21" s="22">
        <f t="shared" si="10"/>
        <v>1142397.7272727273</v>
      </c>
      <c r="P21" s="2">
        <f t="shared" si="11"/>
        <v>2092.3035298035297</v>
      </c>
      <c r="Q21" s="23">
        <v>17200.20525</v>
      </c>
      <c r="R21" s="22">
        <f t="shared" si="12"/>
        <v>19649475.38622443</v>
      </c>
      <c r="S21" s="2">
        <f t="shared" si="13"/>
        <v>35988050.157920204</v>
      </c>
    </row>
    <row r="22" spans="1:19" ht="12.75">
      <c r="A22" s="10" t="s">
        <v>41</v>
      </c>
      <c r="B22" s="5" t="s">
        <v>42</v>
      </c>
      <c r="C22" s="9">
        <v>39330</v>
      </c>
      <c r="D22" s="3">
        <v>0.4895833333333333</v>
      </c>
      <c r="E22" s="6" t="s">
        <v>5</v>
      </c>
      <c r="F22" s="6">
        <v>0.05</v>
      </c>
      <c r="G22" s="6">
        <v>100.53</v>
      </c>
      <c r="H22" s="6">
        <v>1</v>
      </c>
      <c r="I22" s="6">
        <f t="shared" si="7"/>
        <v>100.53</v>
      </c>
      <c r="J22" s="25">
        <f t="shared" si="8"/>
        <v>40.00039789117676</v>
      </c>
      <c r="K22" s="21" t="s">
        <v>102</v>
      </c>
      <c r="L22" s="21" t="s">
        <v>8</v>
      </c>
      <c r="M22" s="6">
        <v>27</v>
      </c>
      <c r="N22" s="22">
        <f t="shared" si="9"/>
        <v>1080.0107430617725</v>
      </c>
      <c r="O22" s="22">
        <f t="shared" si="10"/>
        <v>1080010.7430617725</v>
      </c>
      <c r="P22" s="2">
        <f t="shared" si="11"/>
        <v>1978.0416539592904</v>
      </c>
      <c r="Q22" s="23">
        <v>502.65439999999995</v>
      </c>
      <c r="R22" s="22">
        <f t="shared" si="12"/>
        <v>542872.1520472694</v>
      </c>
      <c r="S22" s="2">
        <f t="shared" si="13"/>
        <v>994271.3407459146</v>
      </c>
    </row>
    <row r="23" spans="1:19" ht="12.75">
      <c r="A23" s="10" t="s">
        <v>41</v>
      </c>
      <c r="B23" s="5" t="s">
        <v>42</v>
      </c>
      <c r="C23" s="9">
        <v>39330</v>
      </c>
      <c r="D23" s="3">
        <v>0.4895833333333333</v>
      </c>
      <c r="E23" s="6" t="s">
        <v>5</v>
      </c>
      <c r="F23" s="6">
        <v>0.05</v>
      </c>
      <c r="G23" s="6">
        <v>0.15904</v>
      </c>
      <c r="H23" s="6">
        <v>7</v>
      </c>
      <c r="I23" s="6">
        <f t="shared" si="7"/>
        <v>1.1132799999999998</v>
      </c>
      <c r="J23" s="25">
        <f t="shared" si="8"/>
        <v>3612.0652486346657</v>
      </c>
      <c r="K23" s="21" t="s">
        <v>52</v>
      </c>
      <c r="L23" s="21" t="s">
        <v>3</v>
      </c>
      <c r="M23" s="6">
        <v>45</v>
      </c>
      <c r="N23" s="22">
        <f t="shared" si="9"/>
        <v>162542.93618855995</v>
      </c>
      <c r="O23" s="22">
        <f t="shared" si="10"/>
        <v>162542936.18855995</v>
      </c>
      <c r="P23" s="2">
        <f t="shared" si="11"/>
        <v>297697.6853270329</v>
      </c>
      <c r="Q23" s="23">
        <v>21.205732499999996</v>
      </c>
      <c r="R23" s="22">
        <f t="shared" si="12"/>
        <v>3446842.024579171</v>
      </c>
      <c r="S23" s="2">
        <f t="shared" si="13"/>
        <v>6312897.480914233</v>
      </c>
    </row>
    <row r="24" spans="1:19" ht="12.75">
      <c r="A24" s="10" t="s">
        <v>41</v>
      </c>
      <c r="B24" s="5" t="s">
        <v>42</v>
      </c>
      <c r="C24" s="9">
        <v>39330</v>
      </c>
      <c r="D24" s="3">
        <v>0.4895833333333333</v>
      </c>
      <c r="E24" s="6" t="s">
        <v>5</v>
      </c>
      <c r="F24" s="6">
        <v>0.05</v>
      </c>
      <c r="G24" s="6">
        <v>100.53</v>
      </c>
      <c r="H24" s="6">
        <v>1</v>
      </c>
      <c r="I24" s="6">
        <f t="shared" si="7"/>
        <v>100.53</v>
      </c>
      <c r="J24" s="25">
        <f t="shared" si="8"/>
        <v>40.00039789117676</v>
      </c>
      <c r="K24" s="21" t="s">
        <v>112</v>
      </c>
      <c r="L24" s="21" t="s">
        <v>103</v>
      </c>
      <c r="M24" s="6">
        <v>1</v>
      </c>
      <c r="N24" s="22">
        <f t="shared" si="9"/>
        <v>40.00039789117676</v>
      </c>
      <c r="O24" s="22">
        <f t="shared" si="10"/>
        <v>40000.39789117676</v>
      </c>
      <c r="P24" s="2">
        <f t="shared" si="11"/>
        <v>73.26080199849224</v>
      </c>
      <c r="Q24" s="23">
        <v>1094.3205166666667</v>
      </c>
      <c r="R24" s="22">
        <f t="shared" si="12"/>
        <v>43773.25608714479</v>
      </c>
      <c r="S24" s="2">
        <f t="shared" si="13"/>
        <v>80170.7986944044</v>
      </c>
    </row>
    <row r="25" spans="1:19" ht="12.75">
      <c r="A25" s="6"/>
      <c r="B25" s="5"/>
      <c r="C25" s="4"/>
      <c r="D25" s="3"/>
      <c r="E25" s="6"/>
      <c r="F25" s="6"/>
      <c r="G25" s="6"/>
      <c r="H25" s="6"/>
      <c r="I25" s="6"/>
      <c r="J25" s="6"/>
      <c r="K25" s="21" t="s">
        <v>2</v>
      </c>
      <c r="L25" s="21"/>
      <c r="M25" s="6">
        <f>SUM(M19:M24)</f>
        <v>609</v>
      </c>
      <c r="N25" s="22">
        <f>SUM(N19:N24)</f>
        <v>1713539.8897029094</v>
      </c>
      <c r="O25" s="22">
        <f>SUM(O19:O24)</f>
        <v>1713539889.7029095</v>
      </c>
      <c r="P25" s="22">
        <f>SUM(P19:P24)</f>
        <v>3138351.4463423244</v>
      </c>
      <c r="Q25" s="6"/>
      <c r="R25" s="22">
        <f>SUM(R19:R24)</f>
        <v>560834737.6372577</v>
      </c>
      <c r="S25" s="22">
        <f>SUM(S19:S24)</f>
        <v>1027169849.1524866</v>
      </c>
    </row>
    <row r="26" spans="1:17" s="36" customFormat="1" ht="12.75">
      <c r="A26" s="32"/>
      <c r="B26" s="33"/>
      <c r="C26" s="34"/>
      <c r="D26" s="35"/>
      <c r="E26" s="32"/>
      <c r="F26" s="32"/>
      <c r="G26" s="32"/>
      <c r="H26" s="32"/>
      <c r="I26" s="32"/>
      <c r="J26" s="32"/>
      <c r="M26" s="32"/>
      <c r="N26" s="37"/>
      <c r="O26" s="37"/>
      <c r="P26" s="32"/>
      <c r="Q26" s="37"/>
    </row>
    <row r="27" spans="1:19" ht="26.25">
      <c r="A27" s="181" t="s">
        <v>0</v>
      </c>
      <c r="B27" s="181"/>
      <c r="C27" s="181"/>
      <c r="D27" s="181"/>
      <c r="E27" s="181"/>
      <c r="F27" s="181"/>
      <c r="G27" s="181"/>
      <c r="H27" s="181"/>
      <c r="I27" s="181"/>
      <c r="J27" s="181"/>
      <c r="K27" s="181"/>
      <c r="L27" s="181"/>
      <c r="M27" s="181"/>
      <c r="N27" s="181"/>
      <c r="O27" s="181"/>
      <c r="P27" s="181"/>
      <c r="Q27" s="181"/>
      <c r="R27" s="181"/>
      <c r="S27" s="181"/>
    </row>
    <row r="28" spans="1:16" s="114" customFormat="1" ht="12.75">
      <c r="A28" s="107" t="s">
        <v>28</v>
      </c>
      <c r="B28" s="92" t="s">
        <v>145</v>
      </c>
      <c r="C28" s="92" t="s">
        <v>26</v>
      </c>
      <c r="D28" s="92" t="s">
        <v>25</v>
      </c>
      <c r="E28" s="94" t="s">
        <v>83</v>
      </c>
      <c r="K28" s="95" t="s">
        <v>169</v>
      </c>
      <c r="L28" s="107" t="s">
        <v>20</v>
      </c>
      <c r="M28" s="107" t="s">
        <v>19</v>
      </c>
      <c r="N28" s="107" t="s">
        <v>18</v>
      </c>
      <c r="O28" s="107" t="s">
        <v>17</v>
      </c>
      <c r="P28" s="178" t="s">
        <v>170</v>
      </c>
    </row>
    <row r="29" spans="1:16" s="116" customFormat="1" ht="14.25">
      <c r="A29" s="117"/>
      <c r="B29" s="110"/>
      <c r="C29" s="110"/>
      <c r="D29" s="110"/>
      <c r="E29" s="100" t="s">
        <v>16</v>
      </c>
      <c r="K29" s="111"/>
      <c r="L29" s="111"/>
      <c r="M29" s="111" t="s">
        <v>82</v>
      </c>
      <c r="N29" s="111" t="s">
        <v>12</v>
      </c>
      <c r="O29" s="113" t="s">
        <v>150</v>
      </c>
      <c r="P29" s="115" t="s">
        <v>171</v>
      </c>
    </row>
    <row r="30" spans="1:15" ht="12.75">
      <c r="A30" s="6"/>
      <c r="B30" s="6"/>
      <c r="C30" s="6"/>
      <c r="D30" s="21"/>
      <c r="E30" s="6"/>
      <c r="K30" s="21"/>
      <c r="L30" s="21"/>
      <c r="M30" s="6"/>
      <c r="N30" s="6"/>
      <c r="O30" s="6"/>
    </row>
    <row r="31" spans="1:16" ht="12.75">
      <c r="A31" s="10" t="s">
        <v>41</v>
      </c>
      <c r="B31" s="5" t="s">
        <v>42</v>
      </c>
      <c r="C31" s="9">
        <v>39212</v>
      </c>
      <c r="D31" s="3">
        <v>0.3958333333333333</v>
      </c>
      <c r="E31" s="6" t="s">
        <v>5</v>
      </c>
      <c r="K31" s="21" t="s">
        <v>81</v>
      </c>
      <c r="L31" s="11" t="s">
        <v>10</v>
      </c>
      <c r="M31" s="6">
        <v>3</v>
      </c>
      <c r="N31" s="23">
        <v>13.343030861111108</v>
      </c>
      <c r="O31" s="23">
        <f aca="true" t="shared" si="14" ref="O31:O43">N31*M31</f>
        <v>40.02909258333332</v>
      </c>
      <c r="P31" s="146">
        <f>O31/$O$56*100</f>
        <v>0.006928061277416079</v>
      </c>
    </row>
    <row r="32" spans="1:16" ht="12.75">
      <c r="A32" s="10" t="s">
        <v>41</v>
      </c>
      <c r="B32" s="5" t="s">
        <v>42</v>
      </c>
      <c r="C32" s="9">
        <v>39212</v>
      </c>
      <c r="D32" s="3">
        <v>0.3958333333333333</v>
      </c>
      <c r="E32" s="6" t="s">
        <v>5</v>
      </c>
      <c r="K32" s="21" t="s">
        <v>91</v>
      </c>
      <c r="L32" s="11" t="s">
        <v>10</v>
      </c>
      <c r="M32" s="6">
        <v>27</v>
      </c>
      <c r="N32" s="23">
        <v>236.54862</v>
      </c>
      <c r="O32" s="23">
        <f t="shared" si="14"/>
        <v>6386.81274</v>
      </c>
      <c r="P32" s="146">
        <f aca="true" t="shared" si="15" ref="P32:P55">O32/$O$56*100</f>
        <v>1.105401775920473</v>
      </c>
    </row>
    <row r="33" spans="1:16" ht="12.75">
      <c r="A33" s="10" t="s">
        <v>41</v>
      </c>
      <c r="B33" s="5" t="s">
        <v>42</v>
      </c>
      <c r="C33" s="9">
        <v>39212</v>
      </c>
      <c r="D33" s="3">
        <v>0.3958333333333333</v>
      </c>
      <c r="E33" s="6" t="s">
        <v>5</v>
      </c>
      <c r="K33" s="21" t="s">
        <v>80</v>
      </c>
      <c r="L33" s="11" t="s">
        <v>10</v>
      </c>
      <c r="M33" s="6">
        <v>20</v>
      </c>
      <c r="N33" s="23">
        <v>412.3336875</v>
      </c>
      <c r="O33" s="23">
        <f t="shared" si="14"/>
        <v>8246.67375</v>
      </c>
      <c r="P33" s="146">
        <f t="shared" si="15"/>
        <v>1.4272984319071715</v>
      </c>
    </row>
    <row r="34" spans="1:16" ht="12.75">
      <c r="A34" s="10" t="s">
        <v>41</v>
      </c>
      <c r="B34" s="5" t="s">
        <v>42</v>
      </c>
      <c r="C34" s="9">
        <v>39212</v>
      </c>
      <c r="D34" s="3">
        <v>0.3958333333333333</v>
      </c>
      <c r="E34" s="6" t="s">
        <v>5</v>
      </c>
      <c r="K34" s="21" t="s">
        <v>78</v>
      </c>
      <c r="L34" s="11" t="s">
        <v>10</v>
      </c>
      <c r="M34" s="6">
        <v>5</v>
      </c>
      <c r="N34" s="23">
        <v>411.61810311111105</v>
      </c>
      <c r="O34" s="23">
        <f t="shared" si="14"/>
        <v>2058.090515555555</v>
      </c>
      <c r="P34" s="146">
        <f t="shared" si="15"/>
        <v>0.35620535680527754</v>
      </c>
    </row>
    <row r="35" spans="1:16" ht="12.75">
      <c r="A35" s="10" t="s">
        <v>41</v>
      </c>
      <c r="B35" s="5" t="s">
        <v>42</v>
      </c>
      <c r="C35" s="9">
        <v>39212</v>
      </c>
      <c r="D35" s="3">
        <v>0.3958333333333333</v>
      </c>
      <c r="E35" s="6" t="s">
        <v>5</v>
      </c>
      <c r="K35" s="21" t="s">
        <v>77</v>
      </c>
      <c r="L35" s="11" t="s">
        <v>10</v>
      </c>
      <c r="M35" s="6">
        <v>16</v>
      </c>
      <c r="N35" s="23">
        <v>449.0379306666667</v>
      </c>
      <c r="O35" s="23">
        <f t="shared" si="14"/>
        <v>7184.606890666667</v>
      </c>
      <c r="P35" s="146">
        <f t="shared" si="15"/>
        <v>1.24348051830206</v>
      </c>
    </row>
    <row r="36" spans="1:16" ht="12.75">
      <c r="A36" s="10" t="s">
        <v>41</v>
      </c>
      <c r="B36" s="5" t="s">
        <v>42</v>
      </c>
      <c r="C36" s="9">
        <v>39212</v>
      </c>
      <c r="D36" s="3">
        <v>0.3958333333333333</v>
      </c>
      <c r="E36" s="6" t="s">
        <v>5</v>
      </c>
      <c r="K36" s="21" t="s">
        <v>75</v>
      </c>
      <c r="L36" s="11" t="s">
        <v>10</v>
      </c>
      <c r="M36" s="6">
        <v>254</v>
      </c>
      <c r="N36" s="23">
        <v>65.97339</v>
      </c>
      <c r="O36" s="23">
        <f t="shared" si="14"/>
        <v>16757.24106</v>
      </c>
      <c r="P36" s="146">
        <f t="shared" si="15"/>
        <v>2.900270413635373</v>
      </c>
    </row>
    <row r="37" spans="1:16" ht="12.75">
      <c r="A37" s="10" t="s">
        <v>41</v>
      </c>
      <c r="B37" s="5" t="s">
        <v>42</v>
      </c>
      <c r="C37" s="9">
        <v>39212</v>
      </c>
      <c r="D37" s="3">
        <v>0.3958333333333333</v>
      </c>
      <c r="E37" s="6" t="s">
        <v>5</v>
      </c>
      <c r="K37" s="21" t="s">
        <v>74</v>
      </c>
      <c r="L37" s="11" t="s">
        <v>10</v>
      </c>
      <c r="M37" s="6">
        <v>28</v>
      </c>
      <c r="N37" s="23">
        <v>56.54861999999999</v>
      </c>
      <c r="O37" s="23">
        <f t="shared" si="14"/>
        <v>1583.3613599999999</v>
      </c>
      <c r="P37" s="146">
        <f t="shared" si="15"/>
        <v>0.2740412989261769</v>
      </c>
    </row>
    <row r="38" spans="1:16" ht="12.75">
      <c r="A38" s="10" t="s">
        <v>41</v>
      </c>
      <c r="B38" s="5" t="s">
        <v>42</v>
      </c>
      <c r="C38" s="9">
        <v>39212</v>
      </c>
      <c r="D38" s="3">
        <v>0.3958333333333333</v>
      </c>
      <c r="E38" s="6" t="s">
        <v>5</v>
      </c>
      <c r="K38" s="21" t="s">
        <v>73</v>
      </c>
      <c r="L38" s="11" t="s">
        <v>10</v>
      </c>
      <c r="M38" s="6">
        <v>20</v>
      </c>
      <c r="N38" s="23">
        <v>490.8734375</v>
      </c>
      <c r="O38" s="23">
        <f t="shared" si="14"/>
        <v>9817.46875</v>
      </c>
      <c r="P38" s="146">
        <f t="shared" si="15"/>
        <v>1.6991647998894899</v>
      </c>
    </row>
    <row r="39" spans="1:16" s="155" customFormat="1" ht="12.75">
      <c r="A39" s="151" t="s">
        <v>41</v>
      </c>
      <c r="B39" s="152" t="s">
        <v>42</v>
      </c>
      <c r="C39" s="153">
        <v>39212</v>
      </c>
      <c r="D39" s="154">
        <v>0.3958333333333333</v>
      </c>
      <c r="E39" s="148" t="s">
        <v>5</v>
      </c>
      <c r="K39" s="147" t="s">
        <v>86</v>
      </c>
      <c r="L39" s="147" t="s">
        <v>10</v>
      </c>
      <c r="M39" s="148">
        <v>6</v>
      </c>
      <c r="N39" s="149">
        <v>57196.897916666654</v>
      </c>
      <c r="O39" s="149">
        <f t="shared" si="14"/>
        <v>343181.38749999995</v>
      </c>
      <c r="P39" s="150">
        <f t="shared" si="15"/>
        <v>59.39634222082295</v>
      </c>
    </row>
    <row r="40" spans="1:16" ht="12.75">
      <c r="A40" s="10" t="s">
        <v>41</v>
      </c>
      <c r="B40" s="5" t="s">
        <v>42</v>
      </c>
      <c r="C40" s="9">
        <v>39212</v>
      </c>
      <c r="D40" s="3">
        <v>0.3958333333333333</v>
      </c>
      <c r="E40" s="6" t="s">
        <v>5</v>
      </c>
      <c r="K40" s="21" t="s">
        <v>72</v>
      </c>
      <c r="L40" s="11" t="s">
        <v>10</v>
      </c>
      <c r="M40" s="6">
        <v>7</v>
      </c>
      <c r="N40" s="23">
        <v>2167.6971</v>
      </c>
      <c r="O40" s="23">
        <f t="shared" si="14"/>
        <v>15173.8797</v>
      </c>
      <c r="P40" s="146">
        <f t="shared" si="15"/>
        <v>2.626229114709196</v>
      </c>
    </row>
    <row r="41" spans="1:16" ht="12.75">
      <c r="A41" s="10" t="s">
        <v>41</v>
      </c>
      <c r="B41" s="5" t="s">
        <v>42</v>
      </c>
      <c r="C41" s="9">
        <v>39212</v>
      </c>
      <c r="D41" s="3">
        <v>0.3958333333333333</v>
      </c>
      <c r="E41" s="6" t="s">
        <v>5</v>
      </c>
      <c r="K41" s="21" t="s">
        <v>71</v>
      </c>
      <c r="L41" s="11" t="s">
        <v>10</v>
      </c>
      <c r="M41" s="6">
        <v>12</v>
      </c>
      <c r="N41" s="23">
        <v>3337.939375</v>
      </c>
      <c r="O41" s="23">
        <f t="shared" si="14"/>
        <v>40055.2725</v>
      </c>
      <c r="P41" s="146">
        <f t="shared" si="15"/>
        <v>6.932592383549119</v>
      </c>
    </row>
    <row r="42" spans="1:16" ht="12.75">
      <c r="A42" s="10" t="s">
        <v>41</v>
      </c>
      <c r="B42" s="5" t="s">
        <v>42</v>
      </c>
      <c r="C42" s="9">
        <v>39212</v>
      </c>
      <c r="D42" s="3">
        <v>0.3958333333333333</v>
      </c>
      <c r="E42" s="6" t="s">
        <v>5</v>
      </c>
      <c r="K42" s="21" t="s">
        <v>69</v>
      </c>
      <c r="L42" s="11" t="s">
        <v>10</v>
      </c>
      <c r="M42" s="6">
        <v>84</v>
      </c>
      <c r="N42" s="23">
        <v>138.22996</v>
      </c>
      <c r="O42" s="23">
        <f t="shared" si="14"/>
        <v>11611.316640000001</v>
      </c>
      <c r="P42" s="146">
        <f t="shared" si="15"/>
        <v>2.009636192125298</v>
      </c>
    </row>
    <row r="43" spans="1:16" ht="12.75">
      <c r="A43" s="10" t="s">
        <v>41</v>
      </c>
      <c r="B43" s="5" t="s">
        <v>42</v>
      </c>
      <c r="C43" s="9">
        <v>39212</v>
      </c>
      <c r="D43" s="3">
        <v>0.3958333333333333</v>
      </c>
      <c r="E43" s="6" t="s">
        <v>5</v>
      </c>
      <c r="K43" s="21" t="s">
        <v>68</v>
      </c>
      <c r="L43" s="11" t="s">
        <v>10</v>
      </c>
      <c r="M43" s="6">
        <v>17</v>
      </c>
      <c r="N43" s="23">
        <v>301.59263999999996</v>
      </c>
      <c r="O43" s="23">
        <f t="shared" si="14"/>
        <v>5127.074879999999</v>
      </c>
      <c r="P43" s="146">
        <f t="shared" si="15"/>
        <v>0.8873718250942871</v>
      </c>
    </row>
    <row r="44" spans="1:16" ht="12.75">
      <c r="A44" s="10" t="s">
        <v>41</v>
      </c>
      <c r="B44" s="5" t="s">
        <v>42</v>
      </c>
      <c r="C44" s="9">
        <v>39212</v>
      </c>
      <c r="D44" s="3">
        <v>0.3958333333333333</v>
      </c>
      <c r="E44" s="6" t="s">
        <v>5</v>
      </c>
      <c r="K44" s="21" t="s">
        <v>87</v>
      </c>
      <c r="L44" s="11" t="s">
        <v>10</v>
      </c>
      <c r="M44" s="6">
        <v>2</v>
      </c>
      <c r="N44" s="23">
        <v>2638.9356000000002</v>
      </c>
      <c r="O44" s="23">
        <f>M44*N44</f>
        <v>5277.8712000000005</v>
      </c>
      <c r="P44" s="146">
        <f t="shared" si="15"/>
        <v>0.9134709964205898</v>
      </c>
    </row>
    <row r="45" spans="1:16" ht="12.75">
      <c r="A45" s="10" t="s">
        <v>41</v>
      </c>
      <c r="B45" s="5" t="s">
        <v>42</v>
      </c>
      <c r="C45" s="9">
        <v>39212</v>
      </c>
      <c r="D45" s="3">
        <v>0.3958333333333333</v>
      </c>
      <c r="E45" s="6" t="s">
        <v>5</v>
      </c>
      <c r="K45" s="21" t="s">
        <v>65</v>
      </c>
      <c r="L45" s="11" t="s">
        <v>10</v>
      </c>
      <c r="M45" s="6">
        <v>4</v>
      </c>
      <c r="N45" s="23">
        <v>122.52201</v>
      </c>
      <c r="O45" s="23">
        <f aca="true" t="shared" si="16" ref="O45:O55">N45*M45</f>
        <v>490.08804</v>
      </c>
      <c r="P45" s="146">
        <f t="shared" si="15"/>
        <v>0.08482230681048333</v>
      </c>
    </row>
    <row r="46" spans="1:16" ht="12.75">
      <c r="A46" s="10" t="s">
        <v>41</v>
      </c>
      <c r="B46" s="5" t="s">
        <v>42</v>
      </c>
      <c r="C46" s="9">
        <v>39212</v>
      </c>
      <c r="D46" s="3">
        <v>0.3958333333333333</v>
      </c>
      <c r="E46" s="6" t="s">
        <v>5</v>
      </c>
      <c r="K46" s="21" t="s">
        <v>63</v>
      </c>
      <c r="L46" s="11" t="s">
        <v>10</v>
      </c>
      <c r="M46" s="6">
        <v>12</v>
      </c>
      <c r="N46" s="23">
        <v>530.1433125</v>
      </c>
      <c r="O46" s="23">
        <f t="shared" si="16"/>
        <v>6361.71975</v>
      </c>
      <c r="P46" s="146">
        <f t="shared" si="15"/>
        <v>1.1010587903283895</v>
      </c>
    </row>
    <row r="47" spans="1:16" ht="12.75">
      <c r="A47" s="10" t="s">
        <v>41</v>
      </c>
      <c r="B47" s="5" t="s">
        <v>42</v>
      </c>
      <c r="C47" s="9">
        <v>39212</v>
      </c>
      <c r="D47" s="3">
        <v>0.3958333333333333</v>
      </c>
      <c r="E47" s="6" t="s">
        <v>5</v>
      </c>
      <c r="K47" s="21" t="s">
        <v>61</v>
      </c>
      <c r="L47" s="11" t="s">
        <v>10</v>
      </c>
      <c r="M47" s="6">
        <v>16</v>
      </c>
      <c r="N47" s="23">
        <v>414.68988</v>
      </c>
      <c r="O47" s="23">
        <f t="shared" si="16"/>
        <v>6635.03808</v>
      </c>
      <c r="P47" s="146">
        <f t="shared" si="15"/>
        <v>1.148363538357313</v>
      </c>
    </row>
    <row r="48" spans="1:16" ht="12.75">
      <c r="A48" s="10" t="s">
        <v>41</v>
      </c>
      <c r="B48" s="5" t="s">
        <v>42</v>
      </c>
      <c r="C48" s="9">
        <v>39212</v>
      </c>
      <c r="D48" s="3">
        <v>0.3958333333333333</v>
      </c>
      <c r="E48" s="6" t="s">
        <v>5</v>
      </c>
      <c r="K48" s="21" t="s">
        <v>59</v>
      </c>
      <c r="L48" s="11" t="s">
        <v>10</v>
      </c>
      <c r="M48" s="6">
        <v>6</v>
      </c>
      <c r="N48" s="23">
        <v>376.99080000000004</v>
      </c>
      <c r="O48" s="23">
        <f t="shared" si="16"/>
        <v>2261.9448</v>
      </c>
      <c r="P48" s="146">
        <f t="shared" si="15"/>
        <v>0.3914875698945385</v>
      </c>
    </row>
    <row r="49" spans="1:16" ht="12.75">
      <c r="A49" s="10" t="s">
        <v>41</v>
      </c>
      <c r="B49" s="5" t="s">
        <v>42</v>
      </c>
      <c r="C49" s="9">
        <v>39212</v>
      </c>
      <c r="D49" s="3">
        <v>0.3958333333333333</v>
      </c>
      <c r="E49" s="6" t="s">
        <v>5</v>
      </c>
      <c r="K49" s="21" t="s">
        <v>57</v>
      </c>
      <c r="L49" s="11" t="s">
        <v>10</v>
      </c>
      <c r="M49" s="6">
        <v>6</v>
      </c>
      <c r="N49" s="23">
        <v>322.5</v>
      </c>
      <c r="O49" s="23">
        <f t="shared" si="16"/>
        <v>1935</v>
      </c>
      <c r="P49" s="146">
        <f t="shared" si="15"/>
        <v>0.3349013856332533</v>
      </c>
    </row>
    <row r="50" spans="1:16" ht="12.75">
      <c r="A50" s="10" t="s">
        <v>41</v>
      </c>
      <c r="B50" s="5" t="s">
        <v>42</v>
      </c>
      <c r="C50" s="9">
        <v>39212</v>
      </c>
      <c r="D50" s="3">
        <v>0.3958333333333333</v>
      </c>
      <c r="E50" s="6" t="s">
        <v>5</v>
      </c>
      <c r="K50" s="21" t="s">
        <v>56</v>
      </c>
      <c r="L50" s="11" t="s">
        <v>10</v>
      </c>
      <c r="M50" s="6">
        <v>12</v>
      </c>
      <c r="N50" s="23">
        <v>450</v>
      </c>
      <c r="O50" s="23">
        <f t="shared" si="16"/>
        <v>5400</v>
      </c>
      <c r="P50" s="146">
        <f t="shared" si="15"/>
        <v>0.9346085180462883</v>
      </c>
    </row>
    <row r="51" spans="1:16" ht="12.75">
      <c r="A51" s="10" t="s">
        <v>41</v>
      </c>
      <c r="B51" s="5" t="s">
        <v>42</v>
      </c>
      <c r="C51" s="9">
        <v>39212</v>
      </c>
      <c r="D51" s="3">
        <v>0.3958333333333333</v>
      </c>
      <c r="E51" s="6" t="s">
        <v>5</v>
      </c>
      <c r="K51" s="21" t="s">
        <v>88</v>
      </c>
      <c r="L51" s="11" t="s">
        <v>10</v>
      </c>
      <c r="M51" s="6">
        <v>6</v>
      </c>
      <c r="N51" s="23">
        <v>2850</v>
      </c>
      <c r="O51" s="23">
        <f t="shared" si="16"/>
        <v>17100</v>
      </c>
      <c r="P51" s="146">
        <f t="shared" si="15"/>
        <v>2.9595936404799126</v>
      </c>
    </row>
    <row r="52" spans="1:16" ht="12.75">
      <c r="A52" s="10" t="s">
        <v>41</v>
      </c>
      <c r="B52" s="5" t="s">
        <v>42</v>
      </c>
      <c r="C52" s="9">
        <v>39212</v>
      </c>
      <c r="D52" s="3">
        <v>0.3958333333333333</v>
      </c>
      <c r="E52" s="6" t="s">
        <v>5</v>
      </c>
      <c r="K52" t="s">
        <v>92</v>
      </c>
      <c r="L52" s="11" t="s">
        <v>10</v>
      </c>
      <c r="M52" s="6">
        <v>3</v>
      </c>
      <c r="N52" s="23">
        <v>1237.0010625</v>
      </c>
      <c r="O52" s="23">
        <f t="shared" si="16"/>
        <v>3711.0031875</v>
      </c>
      <c r="P52" s="146">
        <f t="shared" si="15"/>
        <v>0.6422842943582272</v>
      </c>
    </row>
    <row r="53" spans="1:16" ht="12.75">
      <c r="A53" s="10" t="s">
        <v>41</v>
      </c>
      <c r="B53" s="5" t="s">
        <v>42</v>
      </c>
      <c r="C53" s="9">
        <v>39212</v>
      </c>
      <c r="D53" s="3">
        <v>0.3958333333333333</v>
      </c>
      <c r="E53" s="6" t="s">
        <v>5</v>
      </c>
      <c r="K53" s="21" t="s">
        <v>89</v>
      </c>
      <c r="L53" s="11" t="s">
        <v>10</v>
      </c>
      <c r="M53" s="6">
        <v>4</v>
      </c>
      <c r="N53" s="23">
        <v>6232.1291625</v>
      </c>
      <c r="O53" s="23">
        <f t="shared" si="16"/>
        <v>24928.51665</v>
      </c>
      <c r="P53" s="146">
        <f t="shared" si="15"/>
        <v>4.314519259879393</v>
      </c>
    </row>
    <row r="54" spans="1:16" ht="12.75">
      <c r="A54" s="10" t="s">
        <v>41</v>
      </c>
      <c r="B54" s="5" t="s">
        <v>42</v>
      </c>
      <c r="C54" s="9">
        <v>39212</v>
      </c>
      <c r="D54" s="3">
        <v>0.3958333333333333</v>
      </c>
      <c r="E54" s="6" t="s">
        <v>5</v>
      </c>
      <c r="K54" s="21" t="s">
        <v>54</v>
      </c>
      <c r="L54" s="11" t="s">
        <v>10</v>
      </c>
      <c r="M54" s="6">
        <v>3</v>
      </c>
      <c r="N54" s="23">
        <v>9600</v>
      </c>
      <c r="O54" s="23">
        <f t="shared" si="16"/>
        <v>28800</v>
      </c>
      <c r="P54" s="146">
        <f t="shared" si="15"/>
        <v>4.984578762913537</v>
      </c>
    </row>
    <row r="55" spans="1:16" ht="12.75">
      <c r="A55" s="10" t="s">
        <v>41</v>
      </c>
      <c r="B55" s="5" t="s">
        <v>42</v>
      </c>
      <c r="C55" s="9">
        <v>39212</v>
      </c>
      <c r="D55" s="3">
        <v>0.3958333333333333</v>
      </c>
      <c r="E55" s="6" t="s">
        <v>5</v>
      </c>
      <c r="K55" t="s">
        <v>93</v>
      </c>
      <c r="L55" s="11" t="s">
        <v>10</v>
      </c>
      <c r="M55" s="6">
        <v>6</v>
      </c>
      <c r="N55" s="23">
        <v>1276.2709375</v>
      </c>
      <c r="O55" s="23">
        <f t="shared" si="16"/>
        <v>7657.625625</v>
      </c>
      <c r="P55" s="146">
        <f t="shared" si="15"/>
        <v>1.3253485439138022</v>
      </c>
    </row>
    <row r="56" spans="1:15" ht="12.75">
      <c r="A56" s="6"/>
      <c r="B56" s="6"/>
      <c r="C56" s="6"/>
      <c r="D56" s="21"/>
      <c r="E56" s="6"/>
      <c r="K56" s="21" t="s">
        <v>2</v>
      </c>
      <c r="L56" s="11"/>
      <c r="M56" s="6">
        <f>SUM(M31:M55)</f>
        <v>579</v>
      </c>
      <c r="N56" s="23"/>
      <c r="O56" s="23">
        <f>SUM(O31:O55)</f>
        <v>577782.0227113054</v>
      </c>
    </row>
    <row r="57" spans="1:15" s="126" customFormat="1" ht="12.75">
      <c r="A57" s="129"/>
      <c r="B57" s="129"/>
      <c r="C57" s="129"/>
      <c r="D57" s="127"/>
      <c r="E57" s="129"/>
      <c r="K57" s="127" t="s">
        <v>53</v>
      </c>
      <c r="L57" s="127">
        <f>O56/M56</f>
        <v>997.8964122820473</v>
      </c>
      <c r="M57" s="129"/>
      <c r="N57" s="129"/>
      <c r="O57" s="138"/>
    </row>
    <row r="59" spans="1:16" s="97" customFormat="1" ht="12.75">
      <c r="A59" s="91" t="s">
        <v>28</v>
      </c>
      <c r="B59" s="93" t="s">
        <v>27</v>
      </c>
      <c r="C59" s="93" t="s">
        <v>26</v>
      </c>
      <c r="D59" s="93" t="s">
        <v>25</v>
      </c>
      <c r="E59" s="94" t="s">
        <v>83</v>
      </c>
      <c r="K59" s="95" t="s">
        <v>169</v>
      </c>
      <c r="L59" s="95" t="s">
        <v>20</v>
      </c>
      <c r="M59" s="91" t="s">
        <v>19</v>
      </c>
      <c r="N59" s="91" t="s">
        <v>18</v>
      </c>
      <c r="O59" s="91" t="s">
        <v>17</v>
      </c>
      <c r="P59" s="178" t="s">
        <v>170</v>
      </c>
    </row>
    <row r="60" spans="1:16" s="106" customFormat="1" ht="14.25">
      <c r="A60" s="115"/>
      <c r="B60" s="99"/>
      <c r="C60" s="99"/>
      <c r="D60" s="99"/>
      <c r="E60" s="100" t="s">
        <v>16</v>
      </c>
      <c r="K60" s="102"/>
      <c r="L60" s="102"/>
      <c r="M60" s="101" t="s">
        <v>82</v>
      </c>
      <c r="N60" s="101" t="s">
        <v>12</v>
      </c>
      <c r="O60" s="118" t="s">
        <v>138</v>
      </c>
      <c r="P60" s="115" t="s">
        <v>171</v>
      </c>
    </row>
    <row r="62" spans="1:16" ht="12.75">
      <c r="A62" s="29" t="s">
        <v>41</v>
      </c>
      <c r="B62" s="9" t="s">
        <v>111</v>
      </c>
      <c r="C62" s="9">
        <v>39330</v>
      </c>
      <c r="D62" s="3">
        <v>0.4895833333333333</v>
      </c>
      <c r="E62" s="6" t="s">
        <v>5</v>
      </c>
      <c r="K62" s="21" t="s">
        <v>118</v>
      </c>
      <c r="L62" s="11" t="s">
        <v>10</v>
      </c>
      <c r="M62" s="6">
        <v>20</v>
      </c>
      <c r="N62" s="23">
        <v>16.52607239583333</v>
      </c>
      <c r="O62" s="23">
        <f aca="true" t="shared" si="17" ref="O62:O89">N62*M62</f>
        <v>330.5214479166666</v>
      </c>
      <c r="P62" s="146">
        <f>O62/$O$90*100</f>
        <v>0.18785205933060956</v>
      </c>
    </row>
    <row r="63" spans="1:16" ht="12.75">
      <c r="A63" s="29" t="s">
        <v>41</v>
      </c>
      <c r="B63" s="9" t="s">
        <v>111</v>
      </c>
      <c r="C63" s="9">
        <v>39330</v>
      </c>
      <c r="D63" s="3">
        <v>0.4895833333333333</v>
      </c>
      <c r="E63" s="6" t="s">
        <v>5</v>
      </c>
      <c r="K63" s="21" t="s">
        <v>91</v>
      </c>
      <c r="L63" s="11" t="s">
        <v>10</v>
      </c>
      <c r="M63" s="6">
        <v>17</v>
      </c>
      <c r="N63" s="23">
        <v>236.54862</v>
      </c>
      <c r="O63" s="23">
        <f t="shared" si="17"/>
        <v>4021.32654</v>
      </c>
      <c r="P63" s="146">
        <f aca="true" t="shared" si="18" ref="P63:P89">O63/$O$90*100</f>
        <v>2.285523304285824</v>
      </c>
    </row>
    <row r="64" spans="1:16" ht="12.75">
      <c r="A64" s="29" t="s">
        <v>41</v>
      </c>
      <c r="B64" s="9" t="s">
        <v>111</v>
      </c>
      <c r="C64" s="9">
        <v>39330</v>
      </c>
      <c r="D64" s="3">
        <v>0.4895833333333333</v>
      </c>
      <c r="E64" s="6" t="s">
        <v>5</v>
      </c>
      <c r="K64" s="21" t="s">
        <v>80</v>
      </c>
      <c r="L64" s="11" t="s">
        <v>10</v>
      </c>
      <c r="M64" s="6">
        <v>17</v>
      </c>
      <c r="N64" s="23">
        <v>412.3336875</v>
      </c>
      <c r="O64" s="23">
        <f t="shared" si="17"/>
        <v>7009.6726875</v>
      </c>
      <c r="P64" s="146">
        <f t="shared" si="18"/>
        <v>3.983951594912532</v>
      </c>
    </row>
    <row r="65" spans="1:16" ht="12.75">
      <c r="A65" s="29" t="s">
        <v>41</v>
      </c>
      <c r="B65" s="9" t="s">
        <v>111</v>
      </c>
      <c r="C65" s="9">
        <v>39330</v>
      </c>
      <c r="D65" s="3">
        <v>0.4895833333333333</v>
      </c>
      <c r="E65" s="6" t="s">
        <v>5</v>
      </c>
      <c r="K65" s="21" t="s">
        <v>117</v>
      </c>
      <c r="L65" s="11" t="s">
        <v>10</v>
      </c>
      <c r="M65" s="6">
        <v>9</v>
      </c>
      <c r="N65" s="23">
        <v>56.54861999999999</v>
      </c>
      <c r="O65" s="23">
        <f t="shared" si="17"/>
        <v>508.9375799999999</v>
      </c>
      <c r="P65" s="146">
        <f t="shared" si="18"/>
        <v>0.2892549729415485</v>
      </c>
    </row>
    <row r="66" spans="1:16" ht="12.75">
      <c r="A66" s="29" t="s">
        <v>41</v>
      </c>
      <c r="B66" s="9" t="s">
        <v>111</v>
      </c>
      <c r="C66" s="9">
        <v>39330</v>
      </c>
      <c r="D66" s="3">
        <v>0.4895833333333333</v>
      </c>
      <c r="E66" s="6" t="s">
        <v>5</v>
      </c>
      <c r="K66" s="21" t="s">
        <v>77</v>
      </c>
      <c r="L66" s="11" t="s">
        <v>10</v>
      </c>
      <c r="M66" s="6">
        <v>27</v>
      </c>
      <c r="N66" s="23">
        <v>160.09542639999998</v>
      </c>
      <c r="O66" s="23">
        <f t="shared" si="17"/>
        <v>4322.576512799999</v>
      </c>
      <c r="P66" s="146">
        <f t="shared" si="18"/>
        <v>2.4567389035168854</v>
      </c>
    </row>
    <row r="67" spans="1:16" ht="12.75">
      <c r="A67" s="29" t="s">
        <v>41</v>
      </c>
      <c r="B67" s="9" t="s">
        <v>111</v>
      </c>
      <c r="C67" s="9">
        <v>39330</v>
      </c>
      <c r="D67" s="3">
        <v>0.4895833333333333</v>
      </c>
      <c r="E67" s="6" t="s">
        <v>5</v>
      </c>
      <c r="K67" s="21" t="s">
        <v>75</v>
      </c>
      <c r="L67" s="11" t="s">
        <v>10</v>
      </c>
      <c r="M67" s="6">
        <v>104</v>
      </c>
      <c r="N67" s="23">
        <v>65.97339</v>
      </c>
      <c r="O67" s="23">
        <f t="shared" si="17"/>
        <v>6861.2325599999995</v>
      </c>
      <c r="P67" s="146">
        <f t="shared" si="18"/>
        <v>3.899585561137913</v>
      </c>
    </row>
    <row r="68" spans="1:16" ht="12.75">
      <c r="A68" s="29" t="s">
        <v>41</v>
      </c>
      <c r="B68" s="9" t="s">
        <v>111</v>
      </c>
      <c r="C68" s="9">
        <v>39330</v>
      </c>
      <c r="D68" s="3">
        <v>0.4895833333333333</v>
      </c>
      <c r="E68" s="6" t="s">
        <v>5</v>
      </c>
      <c r="K68" s="21" t="s">
        <v>74</v>
      </c>
      <c r="L68" s="11" t="s">
        <v>10</v>
      </c>
      <c r="M68" s="6">
        <v>64</v>
      </c>
      <c r="N68" s="23">
        <v>70.685775</v>
      </c>
      <c r="O68" s="23">
        <f t="shared" si="17"/>
        <v>4523.8896</v>
      </c>
      <c r="P68" s="146">
        <f t="shared" si="18"/>
        <v>2.571155315035987</v>
      </c>
    </row>
    <row r="69" spans="1:16" ht="12.75">
      <c r="A69" s="29" t="s">
        <v>41</v>
      </c>
      <c r="B69" s="9" t="s">
        <v>111</v>
      </c>
      <c r="C69" s="9">
        <v>39330</v>
      </c>
      <c r="D69" s="3">
        <v>0.4895833333333333</v>
      </c>
      <c r="E69" s="6" t="s">
        <v>5</v>
      </c>
      <c r="K69" s="21" t="s">
        <v>73</v>
      </c>
      <c r="L69" s="11" t="s">
        <v>10</v>
      </c>
      <c r="M69" s="6">
        <v>9</v>
      </c>
      <c r="N69" s="23">
        <v>530.1433125</v>
      </c>
      <c r="O69" s="23">
        <f t="shared" si="17"/>
        <v>4771.2898125</v>
      </c>
      <c r="P69" s="146">
        <f t="shared" si="18"/>
        <v>2.7117653713270173</v>
      </c>
    </row>
    <row r="70" spans="1:16" ht="12.75">
      <c r="A70" s="29" t="s">
        <v>41</v>
      </c>
      <c r="B70" s="9" t="s">
        <v>111</v>
      </c>
      <c r="C70" s="9">
        <v>39330</v>
      </c>
      <c r="D70" s="3">
        <v>0.4895833333333333</v>
      </c>
      <c r="E70" s="6" t="s">
        <v>5</v>
      </c>
      <c r="K70" s="21" t="s">
        <v>94</v>
      </c>
      <c r="L70" s="11" t="s">
        <v>10</v>
      </c>
      <c r="M70" s="6">
        <v>9</v>
      </c>
      <c r="N70" s="23">
        <v>1272.34395</v>
      </c>
      <c r="O70" s="23">
        <f t="shared" si="17"/>
        <v>11451.09555</v>
      </c>
      <c r="P70" s="146">
        <f t="shared" si="18"/>
        <v>6.508236891184842</v>
      </c>
    </row>
    <row r="71" spans="1:16" ht="12.75">
      <c r="A71" s="29" t="s">
        <v>41</v>
      </c>
      <c r="B71" s="9" t="s">
        <v>111</v>
      </c>
      <c r="C71" s="9">
        <v>39330</v>
      </c>
      <c r="D71" s="3">
        <v>0.4895833333333333</v>
      </c>
      <c r="E71" s="6" t="s">
        <v>5</v>
      </c>
      <c r="K71" s="21" t="s">
        <v>72</v>
      </c>
      <c r="L71" s="11" t="s">
        <v>10</v>
      </c>
      <c r="M71" s="6">
        <v>20</v>
      </c>
      <c r="N71" s="23">
        <v>157.0795</v>
      </c>
      <c r="O71" s="23">
        <f t="shared" si="17"/>
        <v>3141.59</v>
      </c>
      <c r="P71" s="146">
        <f t="shared" si="18"/>
        <v>1.7855245243305464</v>
      </c>
    </row>
    <row r="72" spans="1:16" ht="12.75">
      <c r="A72" s="29" t="s">
        <v>41</v>
      </c>
      <c r="B72" s="9" t="s">
        <v>111</v>
      </c>
      <c r="C72" s="9">
        <v>39330</v>
      </c>
      <c r="D72" s="3">
        <v>0.4895833333333333</v>
      </c>
      <c r="E72" s="6" t="s">
        <v>5</v>
      </c>
      <c r="K72" s="21" t="s">
        <v>71</v>
      </c>
      <c r="L72" s="11" t="s">
        <v>10</v>
      </c>
      <c r="M72" s="6">
        <v>3</v>
      </c>
      <c r="N72" s="23">
        <v>1209.51215</v>
      </c>
      <c r="O72" s="23">
        <f t="shared" si="17"/>
        <v>3628.53645</v>
      </c>
      <c r="P72" s="146">
        <f t="shared" si="18"/>
        <v>2.062280825601781</v>
      </c>
    </row>
    <row r="73" spans="1:16" ht="12.75">
      <c r="A73" s="29" t="s">
        <v>41</v>
      </c>
      <c r="B73" s="9" t="s">
        <v>111</v>
      </c>
      <c r="C73" s="9">
        <v>39330</v>
      </c>
      <c r="D73" s="3">
        <v>0.4895833333333333</v>
      </c>
      <c r="E73" s="6" t="s">
        <v>5</v>
      </c>
      <c r="K73" s="21" t="s">
        <v>69</v>
      </c>
      <c r="L73" s="11" t="s">
        <v>10</v>
      </c>
      <c r="M73" s="6">
        <v>62</v>
      </c>
      <c r="N73" s="23">
        <v>75.39815999999999</v>
      </c>
      <c r="O73" s="23">
        <f t="shared" si="17"/>
        <v>4674.685919999999</v>
      </c>
      <c r="P73" s="146">
        <f t="shared" si="18"/>
        <v>2.6568604922038523</v>
      </c>
    </row>
    <row r="74" spans="1:16" ht="12.75">
      <c r="A74" s="29" t="s">
        <v>41</v>
      </c>
      <c r="B74" s="9" t="s">
        <v>111</v>
      </c>
      <c r="C74" s="9">
        <v>39330</v>
      </c>
      <c r="D74" s="3">
        <v>0.4895833333333333</v>
      </c>
      <c r="E74" s="6" t="s">
        <v>5</v>
      </c>
      <c r="K74" s="21" t="s">
        <v>68</v>
      </c>
      <c r="L74" s="11" t="s">
        <v>10</v>
      </c>
      <c r="M74" s="6">
        <v>5</v>
      </c>
      <c r="N74" s="23">
        <v>301.59263999999996</v>
      </c>
      <c r="O74" s="23">
        <f t="shared" si="17"/>
        <v>1507.9631999999997</v>
      </c>
      <c r="P74" s="146">
        <f t="shared" si="18"/>
        <v>0.8570517716786621</v>
      </c>
    </row>
    <row r="75" spans="1:16" ht="12.75">
      <c r="A75" s="29" t="s">
        <v>41</v>
      </c>
      <c r="B75" s="9" t="s">
        <v>111</v>
      </c>
      <c r="C75" s="9">
        <v>39330</v>
      </c>
      <c r="D75" s="3">
        <v>0.4895833333333333</v>
      </c>
      <c r="E75" s="6" t="s">
        <v>5</v>
      </c>
      <c r="K75" s="21" t="s">
        <v>87</v>
      </c>
      <c r="L75" s="11" t="s">
        <v>10</v>
      </c>
      <c r="M75" s="6">
        <v>5</v>
      </c>
      <c r="N75" s="23">
        <v>3204.4218</v>
      </c>
      <c r="O75" s="23">
        <f t="shared" si="17"/>
        <v>16022.109</v>
      </c>
      <c r="P75" s="146">
        <f t="shared" si="18"/>
        <v>9.106175074085787</v>
      </c>
    </row>
    <row r="76" spans="1:16" ht="12.75">
      <c r="A76" s="29" t="s">
        <v>41</v>
      </c>
      <c r="B76" s="9" t="s">
        <v>111</v>
      </c>
      <c r="C76" s="9">
        <v>39330</v>
      </c>
      <c r="D76" s="3">
        <v>0.4895833333333333</v>
      </c>
      <c r="E76" s="6" t="s">
        <v>5</v>
      </c>
      <c r="K76" s="21" t="s">
        <v>122</v>
      </c>
      <c r="L76" s="11" t="s">
        <v>10</v>
      </c>
      <c r="M76" s="6">
        <v>1</v>
      </c>
      <c r="N76" s="23">
        <v>12210</v>
      </c>
      <c r="O76" s="23">
        <f t="shared" si="17"/>
        <v>12210</v>
      </c>
      <c r="P76" s="146">
        <f t="shared" si="18"/>
        <v>6.939560681717211</v>
      </c>
    </row>
    <row r="77" spans="1:16" ht="12.75">
      <c r="A77" s="29" t="s">
        <v>41</v>
      </c>
      <c r="B77" s="9" t="s">
        <v>111</v>
      </c>
      <c r="C77" s="9">
        <v>39330</v>
      </c>
      <c r="D77" s="3">
        <v>0.4895833333333333</v>
      </c>
      <c r="E77" s="6" t="s">
        <v>5</v>
      </c>
      <c r="K77" s="21" t="s">
        <v>116</v>
      </c>
      <c r="L77" s="11" t="s">
        <v>10</v>
      </c>
      <c r="M77" s="6">
        <v>31</v>
      </c>
      <c r="N77" s="23">
        <v>345.5749</v>
      </c>
      <c r="O77" s="23">
        <f t="shared" si="17"/>
        <v>10712.8219</v>
      </c>
      <c r="P77" s="146">
        <f t="shared" si="18"/>
        <v>6.088638627967164</v>
      </c>
    </row>
    <row r="78" spans="1:16" ht="12.75">
      <c r="A78" s="29" t="s">
        <v>41</v>
      </c>
      <c r="B78" s="9" t="s">
        <v>111</v>
      </c>
      <c r="C78" s="9">
        <v>39330</v>
      </c>
      <c r="D78" s="3">
        <v>0.4895833333333333</v>
      </c>
      <c r="E78" s="6" t="s">
        <v>5</v>
      </c>
      <c r="K78" s="21" t="s">
        <v>65</v>
      </c>
      <c r="L78" s="11" t="s">
        <v>10</v>
      </c>
      <c r="M78" s="6">
        <v>2</v>
      </c>
      <c r="N78" s="23">
        <v>131.94678</v>
      </c>
      <c r="O78" s="23">
        <f t="shared" si="17"/>
        <v>263.89356</v>
      </c>
      <c r="P78" s="146">
        <f t="shared" si="18"/>
        <v>0.14998406004376588</v>
      </c>
    </row>
    <row r="79" spans="1:16" ht="12.75">
      <c r="A79" s="29" t="s">
        <v>41</v>
      </c>
      <c r="B79" s="9" t="s">
        <v>111</v>
      </c>
      <c r="C79" s="9">
        <v>39330</v>
      </c>
      <c r="D79" s="3">
        <v>0.4895833333333333</v>
      </c>
      <c r="E79" s="6" t="s">
        <v>5</v>
      </c>
      <c r="K79" s="21" t="s">
        <v>63</v>
      </c>
      <c r="L79" s="11" t="s">
        <v>10</v>
      </c>
      <c r="M79" s="6">
        <v>7</v>
      </c>
      <c r="N79" s="23">
        <v>530.1433125</v>
      </c>
      <c r="O79" s="23">
        <f t="shared" si="17"/>
        <v>3711.0031875</v>
      </c>
      <c r="P79" s="146">
        <f t="shared" si="18"/>
        <v>2.109150844365458</v>
      </c>
    </row>
    <row r="80" spans="1:16" ht="12.75">
      <c r="A80" s="29" t="s">
        <v>41</v>
      </c>
      <c r="B80" s="9" t="s">
        <v>111</v>
      </c>
      <c r="C80" s="9">
        <v>39330</v>
      </c>
      <c r="D80" s="3">
        <v>0.4895833333333333</v>
      </c>
      <c r="E80" s="6" t="s">
        <v>5</v>
      </c>
      <c r="K80" s="21" t="s">
        <v>62</v>
      </c>
      <c r="L80" s="11" t="s">
        <v>10</v>
      </c>
      <c r="M80" s="6">
        <v>2</v>
      </c>
      <c r="N80" s="23">
        <v>207.34494</v>
      </c>
      <c r="O80" s="23">
        <f t="shared" si="17"/>
        <v>414.68988</v>
      </c>
      <c r="P80" s="146">
        <f t="shared" si="18"/>
        <v>0.23568923721163215</v>
      </c>
    </row>
    <row r="81" spans="1:16" ht="12.75">
      <c r="A81" s="29" t="s">
        <v>41</v>
      </c>
      <c r="B81" s="9" t="s">
        <v>111</v>
      </c>
      <c r="C81" s="9">
        <v>39330</v>
      </c>
      <c r="D81" s="3">
        <v>0.4895833333333333</v>
      </c>
      <c r="E81" s="6" t="s">
        <v>5</v>
      </c>
      <c r="K81" s="21" t="s">
        <v>60</v>
      </c>
      <c r="L81" s="11" t="s">
        <v>10</v>
      </c>
      <c r="M81" s="6">
        <v>3</v>
      </c>
      <c r="N81" s="23">
        <v>753.9816</v>
      </c>
      <c r="O81" s="23">
        <f t="shared" si="17"/>
        <v>2261.9447999999998</v>
      </c>
      <c r="P81" s="146">
        <f t="shared" si="18"/>
        <v>1.2855776575179934</v>
      </c>
    </row>
    <row r="82" spans="1:16" ht="12.75">
      <c r="A82" s="29" t="s">
        <v>41</v>
      </c>
      <c r="B82" s="9" t="s">
        <v>111</v>
      </c>
      <c r="C82" s="9">
        <v>39330</v>
      </c>
      <c r="D82" s="3">
        <v>0.4895833333333333</v>
      </c>
      <c r="E82" s="6" t="s">
        <v>5</v>
      </c>
      <c r="K82" s="21" t="s">
        <v>57</v>
      </c>
      <c r="L82" s="11" t="s">
        <v>10</v>
      </c>
      <c r="M82" s="6">
        <v>11</v>
      </c>
      <c r="N82" s="23">
        <v>285</v>
      </c>
      <c r="O82" s="23">
        <f t="shared" si="17"/>
        <v>3135</v>
      </c>
      <c r="P82" s="146">
        <f t="shared" si="18"/>
        <v>1.781779093954419</v>
      </c>
    </row>
    <row r="83" spans="1:16" ht="12.75">
      <c r="A83" s="29" t="s">
        <v>41</v>
      </c>
      <c r="B83" s="9" t="s">
        <v>111</v>
      </c>
      <c r="C83" s="9">
        <v>39330</v>
      </c>
      <c r="D83" s="3">
        <v>0.4895833333333333</v>
      </c>
      <c r="E83" s="6" t="s">
        <v>5</v>
      </c>
      <c r="K83" s="21" t="s">
        <v>123</v>
      </c>
      <c r="L83" s="11" t="s">
        <v>10</v>
      </c>
      <c r="M83" s="6">
        <v>1</v>
      </c>
      <c r="N83" s="23">
        <v>60</v>
      </c>
      <c r="O83" s="23">
        <f t="shared" si="17"/>
        <v>60</v>
      </c>
      <c r="P83" s="146">
        <f t="shared" si="18"/>
        <v>0.03410103529099367</v>
      </c>
    </row>
    <row r="84" spans="1:16" ht="12.75">
      <c r="A84" s="29" t="s">
        <v>41</v>
      </c>
      <c r="B84" s="9" t="s">
        <v>111</v>
      </c>
      <c r="C84" s="9">
        <v>39330</v>
      </c>
      <c r="D84" s="3">
        <v>0.4895833333333333</v>
      </c>
      <c r="E84" s="6" t="s">
        <v>5</v>
      </c>
      <c r="K84" s="21" t="s">
        <v>56</v>
      </c>
      <c r="L84" s="11" t="s">
        <v>10</v>
      </c>
      <c r="M84" s="6">
        <v>63</v>
      </c>
      <c r="N84" s="23">
        <v>232</v>
      </c>
      <c r="O84" s="23">
        <f t="shared" si="17"/>
        <v>14616</v>
      </c>
      <c r="P84" s="146">
        <f t="shared" si="18"/>
        <v>8.307012196886058</v>
      </c>
    </row>
    <row r="85" spans="1:16" ht="12.75">
      <c r="A85" s="167" t="s">
        <v>41</v>
      </c>
      <c r="B85" s="168" t="s">
        <v>111</v>
      </c>
      <c r="C85" s="168">
        <v>39330</v>
      </c>
      <c r="D85" s="169">
        <v>0.4895833333333333</v>
      </c>
      <c r="E85" s="170" t="s">
        <v>5</v>
      </c>
      <c r="F85" s="171"/>
      <c r="G85" s="171"/>
      <c r="H85" s="171"/>
      <c r="I85" s="171"/>
      <c r="J85" s="171"/>
      <c r="K85" s="172" t="s">
        <v>88</v>
      </c>
      <c r="L85" s="172" t="s">
        <v>10</v>
      </c>
      <c r="M85" s="170">
        <v>8</v>
      </c>
      <c r="N85" s="173">
        <v>3887.7176249999998</v>
      </c>
      <c r="O85" s="173">
        <f t="shared" si="17"/>
        <v>31101.740999999998</v>
      </c>
      <c r="P85" s="174">
        <f t="shared" si="18"/>
        <v>17.67669279087241</v>
      </c>
    </row>
    <row r="86" spans="1:16" ht="12.75">
      <c r="A86" s="29" t="s">
        <v>41</v>
      </c>
      <c r="B86" s="9" t="s">
        <v>111</v>
      </c>
      <c r="C86" s="9">
        <v>39330</v>
      </c>
      <c r="D86" s="3">
        <v>0.4895833333333333</v>
      </c>
      <c r="E86" s="6" t="s">
        <v>5</v>
      </c>
      <c r="K86" s="21" t="s">
        <v>113</v>
      </c>
      <c r="L86" s="11" t="s">
        <v>10</v>
      </c>
      <c r="M86" s="6">
        <v>3</v>
      </c>
      <c r="N86" s="23">
        <v>414.68988</v>
      </c>
      <c r="O86" s="23">
        <f t="shared" si="17"/>
        <v>1244.0696400000002</v>
      </c>
      <c r="P86" s="146">
        <f t="shared" si="18"/>
        <v>0.7070677116348966</v>
      </c>
    </row>
    <row r="87" spans="1:16" ht="12.75">
      <c r="A87" s="29" t="s">
        <v>41</v>
      </c>
      <c r="B87" s="9" t="s">
        <v>111</v>
      </c>
      <c r="C87" s="9">
        <v>39330</v>
      </c>
      <c r="D87" s="3">
        <v>0.4895833333333333</v>
      </c>
      <c r="E87" s="6" t="s">
        <v>5</v>
      </c>
      <c r="K87" s="21" t="s">
        <v>124</v>
      </c>
      <c r="L87" s="11" t="s">
        <v>10</v>
      </c>
      <c r="M87" s="6">
        <v>3</v>
      </c>
      <c r="N87" s="23">
        <v>1178.09625</v>
      </c>
      <c r="O87" s="23">
        <f t="shared" si="17"/>
        <v>3534.28875</v>
      </c>
      <c r="P87" s="146">
        <f t="shared" si="18"/>
        <v>2.008715089871865</v>
      </c>
    </row>
    <row r="88" spans="1:16" ht="12.75">
      <c r="A88" s="29" t="s">
        <v>41</v>
      </c>
      <c r="B88" s="9" t="s">
        <v>111</v>
      </c>
      <c r="C88" s="9">
        <v>39330</v>
      </c>
      <c r="D88" s="3">
        <v>0.4895833333333333</v>
      </c>
      <c r="E88" s="6" t="s">
        <v>5</v>
      </c>
      <c r="K88" s="21" t="s">
        <v>55</v>
      </c>
      <c r="L88" s="11" t="s">
        <v>10</v>
      </c>
      <c r="M88" s="6">
        <v>2</v>
      </c>
      <c r="N88" s="23">
        <v>353.42887499999995</v>
      </c>
      <c r="O88" s="23">
        <f t="shared" si="17"/>
        <v>706.8577499999999</v>
      </c>
      <c r="P88" s="146">
        <f t="shared" si="18"/>
        <v>0.40174301797437295</v>
      </c>
    </row>
    <row r="89" spans="1:16" ht="12.75">
      <c r="A89" s="167" t="s">
        <v>41</v>
      </c>
      <c r="B89" s="168" t="s">
        <v>111</v>
      </c>
      <c r="C89" s="168">
        <v>39330</v>
      </c>
      <c r="D89" s="169">
        <v>0.4895833333333333</v>
      </c>
      <c r="E89" s="170" t="s">
        <v>5</v>
      </c>
      <c r="F89" s="171"/>
      <c r="G89" s="171"/>
      <c r="H89" s="171"/>
      <c r="I89" s="171"/>
      <c r="J89" s="171"/>
      <c r="K89" s="172" t="s">
        <v>54</v>
      </c>
      <c r="L89" s="172" t="s">
        <v>10</v>
      </c>
      <c r="M89" s="170">
        <v>2</v>
      </c>
      <c r="N89" s="173">
        <v>9600</v>
      </c>
      <c r="O89" s="173">
        <f t="shared" si="17"/>
        <v>19200</v>
      </c>
      <c r="P89" s="174">
        <f t="shared" si="18"/>
        <v>10.912331293117973</v>
      </c>
    </row>
    <row r="90" spans="1:15" ht="12.75">
      <c r="A90" s="6"/>
      <c r="B90" s="6"/>
      <c r="C90" s="6"/>
      <c r="D90" s="21"/>
      <c r="E90" s="6"/>
      <c r="K90" s="21" t="s">
        <v>2</v>
      </c>
      <c r="L90" s="11"/>
      <c r="M90" s="6">
        <f>SUM(M62:M89)</f>
        <v>510</v>
      </c>
      <c r="N90" s="23"/>
      <c r="O90" s="23">
        <f>SUM(O62:O89)</f>
        <v>175947.73732821667</v>
      </c>
    </row>
    <row r="91" spans="1:15" ht="12.75">
      <c r="A91" s="124"/>
      <c r="B91" s="124"/>
      <c r="C91" s="124"/>
      <c r="D91" s="125"/>
      <c r="E91" s="124"/>
      <c r="F91" s="126"/>
      <c r="G91" s="126"/>
      <c r="H91" s="126"/>
      <c r="I91" s="126"/>
      <c r="J91" s="126"/>
      <c r="K91" s="125" t="s">
        <v>53</v>
      </c>
      <c r="L91" s="127">
        <f>O90/M90</f>
        <v>344.9955633886601</v>
      </c>
      <c r="M91" s="124"/>
      <c r="N91" s="124"/>
      <c r="O91" s="128"/>
    </row>
  </sheetData>
  <sheetProtection/>
  <mergeCells count="2">
    <mergeCell ref="A1:S1"/>
    <mergeCell ref="A27:S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 District</dc:creator>
  <cp:keywords/>
  <dc:description/>
  <cp:lastModifiedBy>Brenda J. Athow OU</cp:lastModifiedBy>
  <cp:lastPrinted>2008-04-18T21:10:50Z</cp:lastPrinted>
  <dcterms:created xsi:type="dcterms:W3CDTF">2008-01-16T20:49:23Z</dcterms:created>
  <dcterms:modified xsi:type="dcterms:W3CDTF">2008-07-24T15:34:36Z</dcterms:modified>
  <cp:category/>
  <cp:version/>
  <cp:contentType/>
  <cp:contentStatus/>
</cp:coreProperties>
</file>