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8955" activeTab="0"/>
  </bookViews>
  <sheets>
    <sheet name="N231PC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<sst xmlns="http://schemas.openxmlformats.org/spreadsheetml/2006/main" count="38" uniqueCount="27">
  <si>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Weight</t>
  </si>
  <si>
    <t>Arm</t>
  </si>
  <si>
    <t>Moment</t>
  </si>
  <si>
    <t>Bill Wallace  starshippe@comcast.net</t>
  </si>
  <si>
    <t>Basic Empty</t>
  </si>
  <si>
    <t>Front Seat</t>
  </si>
  <si>
    <t xml:space="preserve"> </t>
  </si>
  <si>
    <t>left side wt</t>
  </si>
  <si>
    <t>slope end wt</t>
  </si>
  <si>
    <t>rt side wt</t>
  </si>
  <si>
    <t>left side cg</t>
  </si>
  <si>
    <t>slope end cg</t>
  </si>
  <si>
    <t>rt side cg</t>
  </si>
  <si>
    <t>Gas Gals</t>
  </si>
  <si>
    <t>Totals</t>
  </si>
  <si>
    <t>CG</t>
  </si>
  <si>
    <t>Maximum Wt</t>
  </si>
  <si>
    <t>Deg F</t>
  </si>
  <si>
    <t>Deg C</t>
  </si>
  <si>
    <t>231PC 172</t>
  </si>
  <si>
    <t>Back Seat</t>
  </si>
  <si>
    <t>Baggage Area 1</t>
  </si>
  <si>
    <t>Baggage Area 2</t>
  </si>
  <si>
    <t>CAP Equipment</t>
  </si>
  <si>
    <t>Burn Gals</t>
  </si>
  <si>
    <t xml:space="preserve">  Before Takeoff</t>
  </si>
  <si>
    <t>10 Nov 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</si>
</sst>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20">
    <font>
      <sz val="10"/>
      <name val="Arial"/>
      <family val="0"/>
    </font>
    <font>
      <b/>
      <sz val="12"/>
      <color indexed="8"/>
      <name val="Tahoma"/>
      <family val="0"/>
    </font>
    <font>
      <sz val="10"/>
      <color indexed="8"/>
      <name val="Tahoma"/>
      <family val="0"/>
    </font>
    <font>
      <sz val="6"/>
      <name val="Tahoma"/>
      <family val="0"/>
    </font>
    <font>
      <sz val="4"/>
      <name val="Tahoma"/>
      <family val="0"/>
    </font>
    <font>
      <b/>
      <sz val="6"/>
      <color indexed="22"/>
      <name val="Tahoma"/>
      <family val="0"/>
    </font>
    <font>
      <b/>
      <sz val="10"/>
      <color indexed="22"/>
      <name val="Tahoma"/>
      <family val="0"/>
    </font>
    <font>
      <b/>
      <sz val="10"/>
      <color indexed="8"/>
      <name val="Tahoma"/>
      <family val="0"/>
    </font>
    <font>
      <sz val="6"/>
      <color indexed="8"/>
      <name val="Tahoma"/>
      <family val="0"/>
    </font>
    <font>
      <b/>
      <sz val="8"/>
      <color indexed="8"/>
      <name val="Tahoma"/>
      <family val="0"/>
    </font>
    <font>
      <sz val="10"/>
      <color indexed="22"/>
      <name val="Tahoma"/>
      <family val="0"/>
    </font>
    <font>
      <b/>
      <sz val="12"/>
      <color indexed="48"/>
      <name val="Tahoma"/>
      <family val="0"/>
    </font>
    <font>
      <b/>
      <sz val="12"/>
      <color indexed="39"/>
      <name val="Tahoma"/>
      <family val="0"/>
    </font>
    <font>
      <b/>
      <sz val="12"/>
      <color indexed="10"/>
      <name val="Tahoma"/>
      <family val="0"/>
    </font>
    <font>
      <b/>
      <sz val="10"/>
      <color indexed="12"/>
      <name val="Tahoma"/>
      <family val="0"/>
    </font>
    <font>
      <sz val="10"/>
      <name val="Tahoma"/>
      <family val="0"/>
    </font>
    <font>
      <sz val="8"/>
      <name val="Arial"/>
      <family val="0"/>
    </font>
    <font>
      <sz val="8"/>
      <name val="Tahoma"/>
      <family val="0"/>
    </font>
    <font>
      <sz val="9.5"/>
      <name val="Arial"/>
      <family val="0"/>
    </font>
    <font>
      <sz val="9"/>
      <color indexed="8"/>
      <name val="Tahoma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2" fontId="1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" fontId="2" fillId="0" borderId="0" xfId="0" applyNumberFormat="1" applyFont="1" applyAlignment="1" applyProtection="1" quotePrefix="1">
      <alignment/>
      <protection/>
    </xf>
    <xf numFmtId="2" fontId="3" fillId="0" borderId="1" xfId="0" applyNumberFormat="1" applyFont="1" applyFill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1" fillId="0" borderId="1" xfId="0" applyNumberFormat="1" applyFont="1" applyFill="1" applyBorder="1" applyAlignment="1" applyProtection="1">
      <alignment/>
      <protection/>
    </xf>
    <xf numFmtId="2" fontId="5" fillId="0" borderId="0" xfId="0" applyNumberFormat="1" applyFont="1" applyAlignment="1" applyProtection="1">
      <alignment horizontal="right"/>
      <protection/>
    </xf>
    <xf numFmtId="165" fontId="1" fillId="0" borderId="1" xfId="0" applyNumberFormat="1" applyFont="1" applyFill="1" applyBorder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1" fontId="7" fillId="0" borderId="0" xfId="0" applyNumberFormat="1" applyFont="1" applyAlignment="1" applyProtection="1">
      <alignment/>
      <protection/>
    </xf>
    <xf numFmtId="2" fontId="8" fillId="0" borderId="0" xfId="0" applyNumberFormat="1" applyFont="1" applyAlignment="1" applyProtection="1">
      <alignment/>
      <protection/>
    </xf>
    <xf numFmtId="2" fontId="7" fillId="0" borderId="0" xfId="0" applyNumberFormat="1" applyFont="1" applyAlignment="1">
      <alignment/>
    </xf>
    <xf numFmtId="164" fontId="1" fillId="3" borderId="1" xfId="0" applyNumberFormat="1" applyFont="1" applyFill="1" applyBorder="1" applyAlignment="1" applyProtection="1">
      <alignment/>
      <protection locked="0"/>
    </xf>
    <xf numFmtId="2" fontId="9" fillId="0" borderId="1" xfId="0" applyNumberFormat="1" applyFont="1" applyFill="1" applyBorder="1" applyAlignment="1" applyProtection="1">
      <alignment/>
      <protection/>
    </xf>
    <xf numFmtId="165" fontId="9" fillId="0" borderId="0" xfId="0" applyNumberFormat="1" applyFont="1" applyAlignment="1" applyProtection="1">
      <alignment/>
      <protection/>
    </xf>
    <xf numFmtId="164" fontId="2" fillId="0" borderId="1" xfId="0" applyNumberFormat="1" applyFont="1" applyFill="1" applyBorder="1" applyAlignment="1" applyProtection="1">
      <alignment/>
      <protection/>
    </xf>
    <xf numFmtId="164" fontId="7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2" fontId="2" fillId="0" borderId="1" xfId="0" applyNumberFormat="1" applyFont="1" applyFill="1" applyBorder="1" applyAlignment="1" applyProtection="1">
      <alignment/>
      <protection/>
    </xf>
    <xf numFmtId="2" fontId="7" fillId="0" borderId="0" xfId="0" applyNumberFormat="1" applyFont="1" applyFill="1" applyBorder="1" applyAlignment="1" applyProtection="1">
      <alignment/>
      <protection/>
    </xf>
    <xf numFmtId="164" fontId="11" fillId="0" borderId="0" xfId="0" applyNumberFormat="1" applyFont="1" applyAlignment="1" applyProtection="1">
      <alignment/>
      <protection/>
    </xf>
    <xf numFmtId="164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1" fillId="0" borderId="0" xfId="0" applyFont="1" applyFill="1" applyAlignment="1" applyProtection="1">
      <alignment/>
      <protection/>
    </xf>
    <xf numFmtId="1" fontId="12" fillId="0" borderId="0" xfId="0" applyNumberFormat="1" applyFont="1" applyAlignment="1" applyProtection="1">
      <alignment/>
      <protection/>
    </xf>
    <xf numFmtId="164" fontId="12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2" fontId="7" fillId="0" borderId="0" xfId="0" applyNumberFormat="1" applyFont="1" applyFill="1" applyAlignment="1" applyProtection="1">
      <alignment/>
      <protection/>
    </xf>
    <xf numFmtId="1" fontId="13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Fill="1" applyAlignment="1" applyProtection="1">
      <alignment horizontal="center"/>
      <protection/>
    </xf>
    <xf numFmtId="2" fontId="7" fillId="0" borderId="0" xfId="0" applyNumberFormat="1" applyFont="1" applyAlignment="1" applyProtection="1">
      <alignment horizontal="center"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 horizontal="center"/>
      <protection/>
    </xf>
    <xf numFmtId="164" fontId="12" fillId="0" borderId="0" xfId="0" applyNumberFormat="1" applyFont="1" applyAlignment="1" applyProtection="1">
      <alignment horizontal="center"/>
      <protection/>
    </xf>
    <xf numFmtId="164" fontId="17" fillId="0" borderId="0" xfId="0" applyNumberFormat="1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/>
      <protection/>
    </xf>
    <xf numFmtId="2" fontId="15" fillId="4" borderId="1" xfId="0" applyNumberFormat="1" applyFont="1" applyFill="1" applyBorder="1" applyAlignment="1" applyProtection="1">
      <alignment/>
      <protection locked="0"/>
    </xf>
    <xf numFmtId="2" fontId="2" fillId="4" borderId="1" xfId="0" applyNumberFormat="1" applyFont="1" applyFill="1" applyBorder="1" applyAlignment="1" applyProtection="1">
      <alignment/>
      <protection locked="0"/>
    </xf>
    <xf numFmtId="2" fontId="15" fillId="0" borderId="1" xfId="0" applyNumberFormat="1" applyFont="1" applyBorder="1" applyAlignment="1" applyProtection="1">
      <alignment/>
      <protection/>
    </xf>
    <xf numFmtId="2" fontId="2" fillId="0" borderId="1" xfId="0" applyNumberFormat="1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2" fontId="7" fillId="0" borderId="0" xfId="0" applyNumberFormat="1" applyFont="1" applyAlignment="1">
      <alignment horizontal="right"/>
    </xf>
    <xf numFmtId="164" fontId="0" fillId="0" borderId="0" xfId="0" applyNumberFormat="1" applyAlignment="1" applyProtection="1">
      <alignment/>
      <protection/>
    </xf>
    <xf numFmtId="2" fontId="2" fillId="0" borderId="0" xfId="0" applyNumberFormat="1" applyFont="1" applyFill="1" applyAlignment="1" applyProtection="1">
      <alignment horizontal="right"/>
      <protection/>
    </xf>
    <xf numFmtId="164" fontId="1" fillId="0" borderId="1" xfId="0" applyNumberFormat="1" applyFont="1" applyBorder="1" applyAlignment="1" applyProtection="1">
      <alignment/>
      <protection/>
    </xf>
    <xf numFmtId="165" fontId="1" fillId="0" borderId="1" xfId="0" applyNumberFormat="1" applyFont="1" applyBorder="1" applyAlignment="1" applyProtection="1">
      <alignment/>
      <protection/>
    </xf>
    <xf numFmtId="1" fontId="19" fillId="0" borderId="0" xfId="0" applyNumberFormat="1" applyFont="1" applyAlignment="1" applyProtection="1" quotePrefix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('N231PC'!$K$5,'N231PC'!$K$5,'N231PC'!$L$5,'N231PC'!$M$5,'N231PC'!$M$5)</c:f>
              <c:numCache/>
            </c:numRef>
          </c:xVal>
          <c:yVal>
            <c:numRef>
              <c:f>('N231PC'!$K$2,'N231PC'!$K$4,'N231PC'!$L$4,'N231PC'!$M$4,'N231PC'!$K$2)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('N231PC'!$D$14,'N231PC'!$D$13)</c:f>
              <c:numCache/>
            </c:numRef>
          </c:xVal>
          <c:yVal>
            <c:numRef>
              <c:f>('N231PC'!$C$12,'N231PC'!$C$13)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'N231PC'!$D$3</c:f>
              <c:numCache/>
            </c:numRef>
          </c:xVal>
          <c:yVal>
            <c:numRef>
              <c:f>'N231PC'!$C$3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('N231PC'!$D$14,'N231PC'!$D$14)</c:f>
              <c:numCache/>
            </c:numRef>
          </c:xVal>
          <c:yVal>
            <c:numRef>
              <c:f>('N231PC'!$K$2,'N231PC'!$L$2)</c:f>
              <c:numCache/>
            </c:numRef>
          </c:yVal>
          <c:smooth val="0"/>
        </c:ser>
        <c:ser>
          <c:idx val="4"/>
          <c:order val="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('N231PC'!$D$13,'N231PC'!$D$13)</c:f>
              <c:numCache/>
            </c:numRef>
          </c:xVal>
          <c:yVal>
            <c:numRef>
              <c:f>('N231PC'!$K$2,'N231PC'!$L$2)</c:f>
              <c:numCache/>
            </c:numRef>
          </c:yVal>
          <c:smooth val="0"/>
        </c:ser>
        <c:ser>
          <c:idx val="5"/>
          <c:order val="5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('N231PC'!$K$3,'N231PC'!$L$3)</c:f>
              <c:numCache/>
            </c:numRef>
          </c:xVal>
          <c:yVal>
            <c:numRef>
              <c:f>('N231PC'!$C$12,'N231PC'!$C$12)</c:f>
              <c:numCache/>
            </c:numRef>
          </c:yVal>
          <c:smooth val="0"/>
        </c:ser>
        <c:ser>
          <c:idx val="6"/>
          <c:order val="6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('N231PC'!$K$3,'N231PC'!$L$3)</c:f>
              <c:numCache/>
            </c:numRef>
          </c:xVal>
          <c:yVal>
            <c:numRef>
              <c:f>('N231PC'!$C$13,'N231PC'!$C$13)</c:f>
              <c:numCache/>
            </c:numRef>
          </c:yVal>
          <c:smooth val="0"/>
        </c:ser>
        <c:ser>
          <c:idx val="7"/>
          <c:order val="7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('N231PC'!$D$14,'N231PC'!$D$14)</c:f>
              <c:numCache/>
            </c:numRef>
          </c:xVal>
          <c:yVal>
            <c:numRef>
              <c:f>('N231PC'!$L$10,'N231PC'!$L$11)</c:f>
              <c:numCache/>
            </c:numRef>
          </c:yVal>
          <c:smooth val="0"/>
        </c:ser>
        <c:axId val="54581387"/>
        <c:axId val="21470436"/>
      </c:scatterChart>
      <c:valAx>
        <c:axId val="54581387"/>
        <c:scaling>
          <c:orientation val="minMax"/>
          <c:max val="50"/>
          <c:min val="32"/>
        </c:scaling>
        <c:axPos val="b"/>
        <c:delete val="0"/>
        <c:numFmt formatCode="General" sourceLinked="1"/>
        <c:majorTickMark val="out"/>
        <c:minorTickMark val="out"/>
        <c:tickLblPos val="nextTo"/>
        <c:crossAx val="21470436"/>
        <c:crossesAt val="1500"/>
        <c:crossBetween val="midCat"/>
        <c:dispUnits/>
      </c:valAx>
      <c:valAx>
        <c:axId val="21470436"/>
        <c:scaling>
          <c:orientation val="minMax"/>
          <c:max val="2500"/>
          <c:min val="1500"/>
        </c:scaling>
        <c:axPos val="l"/>
        <c:majorGridlines/>
        <c:delete val="0"/>
        <c:numFmt formatCode="General" sourceLinked="1"/>
        <c:majorTickMark val="out"/>
        <c:minorTickMark val="out"/>
        <c:tickLblPos val="nextTo"/>
        <c:crossAx val="54581387"/>
        <c:crosses val="autoZero"/>
        <c:crossBetween val="midCat"/>
        <c:dispUnits/>
        <c:majorUnit val="2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9525</xdr:rowOff>
    </xdr:from>
    <xdr:to>
      <xdr:col>13</xdr:col>
      <xdr:colOff>9525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4333875" y="2266950"/>
        <a:ext cx="47339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47"/>
  </sheetPr>
  <dimension ref="B2:W45"/>
  <sheetViews>
    <sheetView tabSelected="1" zoomScale="95" zoomScaleNormal="95" workbookViewId="0" topLeftCell="A1">
      <selection activeCell="B27" sqref="B27"/>
    </sheetView>
  </sheetViews>
  <sheetFormatPr defaultColWidth="9.140625" defaultRowHeight="12.75"/>
  <cols>
    <col min="1" max="1" width="3.00390625" style="0" customWidth="1"/>
    <col min="2" max="2" width="20.140625" style="4" bestFit="1" customWidth="1"/>
    <col min="3" max="4" width="11.7109375" style="45" customWidth="1"/>
    <col min="5" max="5" width="11.7109375" style="46" customWidth="1"/>
    <col min="6" max="6" width="6.7109375" style="4" customWidth="1"/>
    <col min="7" max="7" width="10.57421875" style="4" customWidth="1"/>
    <col min="8" max="8" width="8.7109375" style="4" customWidth="1"/>
    <col min="9" max="9" width="8.7109375" style="24" customWidth="1"/>
    <col min="10" max="10" width="4.7109375" style="24" customWidth="1"/>
    <col min="11" max="13" width="12.7109375" style="4" customWidth="1"/>
    <col min="14" max="14" width="11.8515625" style="0" customWidth="1"/>
    <col min="15" max="15" width="5.57421875" style="0" customWidth="1"/>
    <col min="16" max="16" width="11.8515625" style="0" customWidth="1"/>
    <col min="17" max="17" width="12.00390625" style="0" customWidth="1"/>
    <col min="18" max="18" width="12.7109375" style="0" customWidth="1"/>
    <col min="19" max="21" width="11.8515625" style="0" customWidth="1"/>
    <col min="22" max="16384" width="9.00390625" style="0" bestFit="1" customWidth="1"/>
  </cols>
  <sheetData>
    <row r="2" spans="2:13" ht="15">
      <c r="B2" s="1" t="s">
        <v>19</v>
      </c>
      <c r="C2" s="2" t="s">
        <v>0</v>
      </c>
      <c r="D2" s="3" t="s">
        <v>1</v>
      </c>
      <c r="E2" s="2" t="s">
        <v>2</v>
      </c>
      <c r="I2" s="61" t="s">
        <v>26</v>
      </c>
      <c r="J2" s="5"/>
      <c r="K2" s="6">
        <v>1500</v>
      </c>
      <c r="L2" s="7">
        <v>1550</v>
      </c>
      <c r="M2" s="8" t="s">
        <v>3</v>
      </c>
    </row>
    <row r="3" spans="2:14" ht="15">
      <c r="B3" s="9" t="s">
        <v>4</v>
      </c>
      <c r="C3" s="10">
        <v>1528</v>
      </c>
      <c r="D3" s="11">
        <f>E3*1000/C3</f>
        <v>39.725130890052355</v>
      </c>
      <c r="E3" s="12">
        <v>60.7</v>
      </c>
      <c r="G3" s="13">
        <f>K4+(L4-K4)/(L5-K5)*(D14-K5)</f>
        <v>2528.61596009975</v>
      </c>
      <c r="H3" s="14"/>
      <c r="I3" s="15"/>
      <c r="J3" s="15"/>
      <c r="K3" s="16">
        <v>32</v>
      </c>
      <c r="L3" s="16">
        <v>32.5</v>
      </c>
      <c r="M3" s="14"/>
      <c r="N3" s="17"/>
    </row>
    <row r="4" spans="2:21" ht="15">
      <c r="B4" s="9" t="s">
        <v>5</v>
      </c>
      <c r="C4" s="18">
        <v>250</v>
      </c>
      <c r="D4" s="19">
        <v>37</v>
      </c>
      <c r="E4" s="20">
        <f aca="true" t="shared" si="0" ref="E4:E9">C4*D4/1000</f>
        <v>9.25</v>
      </c>
      <c r="F4" s="4" t="s">
        <v>6</v>
      </c>
      <c r="G4" s="13">
        <f>M4</f>
        <v>2400</v>
      </c>
      <c r="H4" s="14"/>
      <c r="I4" s="15"/>
      <c r="J4" s="15"/>
      <c r="K4" s="21">
        <v>1950</v>
      </c>
      <c r="L4" s="21">
        <v>2400</v>
      </c>
      <c r="M4" s="21">
        <v>2400</v>
      </c>
      <c r="N4" s="22"/>
      <c r="P4" s="17"/>
      <c r="Q4" s="17"/>
      <c r="R4" s="17"/>
      <c r="S4" s="23"/>
      <c r="T4" s="23"/>
      <c r="U4" s="23"/>
    </row>
    <row r="5" spans="2:23" ht="15">
      <c r="B5" s="9" t="s">
        <v>5</v>
      </c>
      <c r="C5" s="18">
        <v>160</v>
      </c>
      <c r="D5" s="19">
        <v>37</v>
      </c>
      <c r="E5" s="20">
        <f t="shared" si="0"/>
        <v>5.92</v>
      </c>
      <c r="G5" s="14"/>
      <c r="H5" s="14"/>
      <c r="I5" s="15" t="s">
        <v>6</v>
      </c>
      <c r="J5" s="15"/>
      <c r="K5" s="21">
        <v>35</v>
      </c>
      <c r="L5" s="21">
        <v>41</v>
      </c>
      <c r="M5" s="21">
        <v>47.3</v>
      </c>
      <c r="N5" s="22"/>
      <c r="P5" s="17"/>
      <c r="Q5" s="17"/>
      <c r="R5" s="17"/>
      <c r="S5" s="17"/>
      <c r="T5" s="17"/>
      <c r="U5" s="17"/>
      <c r="V5" s="17"/>
      <c r="W5" s="17" t="s">
        <v>6</v>
      </c>
    </row>
    <row r="6" spans="2:21" ht="15">
      <c r="B6" s="9" t="s">
        <v>20</v>
      </c>
      <c r="C6" s="18">
        <v>170</v>
      </c>
      <c r="D6" s="19">
        <v>73</v>
      </c>
      <c r="E6" s="20">
        <f t="shared" si="0"/>
        <v>12.41</v>
      </c>
      <c r="F6" s="4" t="s">
        <v>6</v>
      </c>
      <c r="G6" s="14" t="s">
        <v>6</v>
      </c>
      <c r="H6" s="14"/>
      <c r="I6" s="15"/>
      <c r="J6" s="15"/>
      <c r="K6" s="14"/>
      <c r="L6" s="14"/>
      <c r="M6" s="14"/>
      <c r="N6" s="17"/>
      <c r="R6" s="17"/>
      <c r="S6" s="17"/>
      <c r="T6" s="17"/>
      <c r="U6" s="17"/>
    </row>
    <row r="7" spans="2:13" ht="15">
      <c r="B7" s="9" t="s">
        <v>20</v>
      </c>
      <c r="C7" s="18">
        <v>0</v>
      </c>
      <c r="D7" s="19">
        <v>73</v>
      </c>
      <c r="E7" s="20">
        <f t="shared" si="0"/>
        <v>0</v>
      </c>
      <c r="K7" s="25" t="s">
        <v>7</v>
      </c>
      <c r="L7" s="25" t="s">
        <v>8</v>
      </c>
      <c r="M7" s="25" t="s">
        <v>9</v>
      </c>
    </row>
    <row r="8" spans="2:13" ht="15">
      <c r="B8" s="32" t="s">
        <v>21</v>
      </c>
      <c r="C8" s="18">
        <v>1</v>
      </c>
      <c r="D8" s="19">
        <v>95</v>
      </c>
      <c r="E8" s="20">
        <f t="shared" si="0"/>
        <v>0.095</v>
      </c>
      <c r="F8" s="4" t="s">
        <v>6</v>
      </c>
      <c r="H8" s="26"/>
      <c r="I8" s="27">
        <v>120</v>
      </c>
      <c r="J8" s="14"/>
      <c r="K8" s="25" t="s">
        <v>10</v>
      </c>
      <c r="L8" s="25" t="s">
        <v>11</v>
      </c>
      <c r="M8" s="25" t="s">
        <v>12</v>
      </c>
    </row>
    <row r="9" spans="2:10" ht="15">
      <c r="B9" s="32" t="s">
        <v>22</v>
      </c>
      <c r="C9" s="18">
        <v>0</v>
      </c>
      <c r="D9" s="19">
        <v>123</v>
      </c>
      <c r="E9" s="20">
        <f t="shared" si="0"/>
        <v>0</v>
      </c>
      <c r="F9" s="4" t="s">
        <v>6</v>
      </c>
      <c r="H9" s="26"/>
      <c r="I9" s="27">
        <v>50</v>
      </c>
      <c r="J9" s="14"/>
    </row>
    <row r="10" spans="2:21" ht="15">
      <c r="B10" s="32" t="s">
        <v>23</v>
      </c>
      <c r="C10" s="18">
        <v>3</v>
      </c>
      <c r="D10" s="19">
        <v>95</v>
      </c>
      <c r="E10" s="20">
        <f>C10*D10/1000</f>
        <v>0.285</v>
      </c>
      <c r="I10" s="28"/>
      <c r="J10" s="14"/>
      <c r="K10" s="29"/>
      <c r="L10" s="49">
        <f>C16+M10</f>
        <v>2440</v>
      </c>
      <c r="M10" s="49">
        <v>40</v>
      </c>
      <c r="N10" s="30"/>
      <c r="P10" s="31"/>
      <c r="Q10" s="31"/>
      <c r="R10" s="31"/>
      <c r="S10" s="23"/>
      <c r="T10" s="23"/>
      <c r="U10" s="23"/>
    </row>
    <row r="11" spans="2:21" ht="15">
      <c r="B11" s="9" t="s">
        <v>13</v>
      </c>
      <c r="C11" s="18">
        <v>49</v>
      </c>
      <c r="D11" s="19">
        <v>48</v>
      </c>
      <c r="E11" s="20">
        <f>C11*D11/1000*6</f>
        <v>14.111999999999998</v>
      </c>
      <c r="I11" s="28"/>
      <c r="J11" s="14"/>
      <c r="K11" s="29"/>
      <c r="L11" s="49">
        <f>C16-M10</f>
        <v>2360</v>
      </c>
      <c r="M11" s="49"/>
      <c r="N11" s="30"/>
      <c r="P11" s="31"/>
      <c r="Q11" s="31"/>
      <c r="R11" s="31"/>
      <c r="S11" s="23"/>
      <c r="T11" s="23"/>
      <c r="U11" s="23"/>
    </row>
    <row r="12" spans="2:21" ht="15">
      <c r="B12" s="9" t="s">
        <v>14</v>
      </c>
      <c r="C12" s="59">
        <f>C3+C4+C5+C6+C7+C8+C9+C10+C11*6</f>
        <v>2406</v>
      </c>
      <c r="D12" s="36"/>
      <c r="E12" s="60">
        <f>E3+E4+E5+E6+E7+E8+E9+E10+E11</f>
        <v>102.77199999999999</v>
      </c>
      <c r="I12" s="33"/>
      <c r="J12" s="33"/>
      <c r="K12" s="29"/>
      <c r="L12" s="29"/>
      <c r="M12" s="29"/>
      <c r="N12" s="30"/>
      <c r="P12" s="23"/>
      <c r="Q12" s="23"/>
      <c r="R12" s="23"/>
      <c r="S12" s="23"/>
      <c r="T12" s="23"/>
      <c r="U12" s="23"/>
    </row>
    <row r="13" spans="2:21" ht="15">
      <c r="B13" s="9"/>
      <c r="C13" s="37">
        <f>C12-(6*C11)</f>
        <v>2112</v>
      </c>
      <c r="D13" s="38">
        <f>E13*1000/C13</f>
        <v>41.979166666666664</v>
      </c>
      <c r="E13" s="39">
        <f>E12-E11</f>
        <v>88.66</v>
      </c>
      <c r="I13" s="33"/>
      <c r="J13" s="33"/>
      <c r="K13" s="29"/>
      <c r="L13" s="29"/>
      <c r="M13" s="29"/>
      <c r="N13" s="30"/>
      <c r="P13" s="23"/>
      <c r="Q13" s="23"/>
      <c r="R13" s="23"/>
      <c r="S13" s="23"/>
      <c r="T13" s="23"/>
      <c r="U13" s="23"/>
    </row>
    <row r="14" spans="2:21" ht="15">
      <c r="B14" s="9" t="s">
        <v>15</v>
      </c>
      <c r="C14" s="36"/>
      <c r="D14" s="36">
        <f>E12*1000/C12</f>
        <v>42.71487946799667</v>
      </c>
      <c r="E14" s="36"/>
      <c r="J14" s="34"/>
      <c r="K14" s="29"/>
      <c r="L14" s="29"/>
      <c r="M14" s="29"/>
      <c r="N14" s="30"/>
      <c r="P14" s="31"/>
      <c r="Q14" s="31"/>
      <c r="R14" s="31"/>
      <c r="S14" s="31"/>
      <c r="T14" s="31"/>
      <c r="U14" s="31"/>
    </row>
    <row r="15" spans="2:21" ht="15">
      <c r="B15" s="9"/>
      <c r="C15" s="35"/>
      <c r="D15" s="3"/>
      <c r="E15" s="36" t="s">
        <v>6</v>
      </c>
      <c r="I15" s="33"/>
      <c r="J15" s="33"/>
      <c r="K15" s="29"/>
      <c r="L15" s="29"/>
      <c r="M15" s="29"/>
      <c r="N15" s="30"/>
      <c r="P15" s="23"/>
      <c r="Q15" s="23"/>
      <c r="R15" s="23"/>
      <c r="S15" s="23"/>
      <c r="T15" s="23"/>
      <c r="U15" s="23"/>
    </row>
    <row r="16" spans="2:21" ht="15">
      <c r="B16" s="9" t="s">
        <v>16</v>
      </c>
      <c r="C16" s="35">
        <f>IF(D14&lt;K5,0,IF(D14&gt;M5,0,IF(D14&lt;L5,G3,G4)))</f>
        <v>2400</v>
      </c>
      <c r="D16" s="42" t="str">
        <f>IF(C12&gt;(C16+E18),"Out of CG","CG OK")</f>
        <v>CG OK</v>
      </c>
      <c r="E16" s="43"/>
      <c r="I16" s="40"/>
      <c r="J16" s="41"/>
      <c r="K16" s="29"/>
      <c r="L16" s="29"/>
      <c r="M16" s="29"/>
      <c r="N16" s="30"/>
      <c r="P16" s="31"/>
      <c r="Q16" s="31"/>
      <c r="R16" s="31"/>
      <c r="S16" s="23"/>
      <c r="T16" s="23"/>
      <c r="U16" s="23"/>
    </row>
    <row r="17" spans="2:21" ht="15">
      <c r="B17" s="55" t="s">
        <v>24</v>
      </c>
      <c r="C17" s="56">
        <f>IF(C12&lt;G4,0,((C12-G4)/6))</f>
        <v>1</v>
      </c>
      <c r="D17" s="55" t="s">
        <v>25</v>
      </c>
      <c r="E17" s="50"/>
      <c r="I17" s="34"/>
      <c r="J17" s="34"/>
      <c r="K17" s="29"/>
      <c r="L17" s="29"/>
      <c r="M17" s="29"/>
      <c r="N17" s="30"/>
      <c r="P17" s="31"/>
      <c r="Q17" s="31"/>
      <c r="R17" s="31"/>
      <c r="S17" s="31"/>
      <c r="T17" s="31"/>
      <c r="U17" s="31"/>
    </row>
    <row r="18" spans="4:21" ht="15">
      <c r="D18" s="45">
        <v>7</v>
      </c>
      <c r="E18" s="58">
        <f>IF((C16+D18)&gt;=G4,7,0)</f>
        <v>7</v>
      </c>
      <c r="I18" s="33"/>
      <c r="J18" s="33"/>
      <c r="K18" s="29"/>
      <c r="L18" s="29"/>
      <c r="M18" s="29"/>
      <c r="N18" s="30"/>
      <c r="P18" s="23"/>
      <c r="Q18" s="23"/>
      <c r="R18" s="23"/>
      <c r="S18" s="23"/>
      <c r="T18" s="23"/>
      <c r="U18" s="23"/>
    </row>
    <row r="19" spans="9:21" ht="15">
      <c r="I19" s="41"/>
      <c r="J19" s="41"/>
      <c r="K19" s="29"/>
      <c r="L19" s="29"/>
      <c r="M19" s="29"/>
      <c r="N19" s="30"/>
      <c r="P19" s="31"/>
      <c r="Q19" s="31"/>
      <c r="R19" s="31"/>
      <c r="S19" s="23"/>
      <c r="T19" s="23"/>
      <c r="U19" s="23"/>
    </row>
    <row r="20" spans="2:21" ht="15">
      <c r="B20" s="57"/>
      <c r="C20" s="47" t="s">
        <v>17</v>
      </c>
      <c r="D20" s="47" t="s">
        <v>18</v>
      </c>
      <c r="I20" s="34"/>
      <c r="J20" s="34"/>
      <c r="K20" s="29"/>
      <c r="L20" s="29"/>
      <c r="M20" s="29"/>
      <c r="N20" s="30"/>
      <c r="P20" s="31"/>
      <c r="Q20" s="31"/>
      <c r="R20" s="31"/>
      <c r="S20" s="31"/>
      <c r="T20" s="31"/>
      <c r="U20" s="31"/>
    </row>
    <row r="21" spans="3:21" ht="15">
      <c r="C21" s="51">
        <v>50</v>
      </c>
      <c r="D21" s="53">
        <f>(C21-32)*5/9</f>
        <v>10</v>
      </c>
      <c r="I21" s="33"/>
      <c r="J21" s="33"/>
      <c r="K21" s="29"/>
      <c r="L21" s="29"/>
      <c r="M21" s="29"/>
      <c r="N21" s="30"/>
      <c r="P21" s="23"/>
      <c r="Q21" s="23"/>
      <c r="R21" s="23"/>
      <c r="S21" s="23"/>
      <c r="T21" s="23"/>
      <c r="U21" s="23"/>
    </row>
    <row r="22" spans="3:21" ht="15">
      <c r="C22" s="47" t="s">
        <v>18</v>
      </c>
      <c r="D22" s="47" t="s">
        <v>17</v>
      </c>
      <c r="I22" s="41"/>
      <c r="J22" s="41"/>
      <c r="K22" s="29"/>
      <c r="L22" s="29"/>
      <c r="M22" s="29"/>
      <c r="N22" s="30"/>
      <c r="P22" s="31"/>
      <c r="Q22" s="31"/>
      <c r="R22" s="31"/>
      <c r="S22" s="23"/>
      <c r="T22" s="23"/>
      <c r="U22" s="23"/>
    </row>
    <row r="23" spans="3:21" ht="15">
      <c r="C23" s="52">
        <v>95</v>
      </c>
      <c r="D23" s="54">
        <f>9/5*C23+32</f>
        <v>203</v>
      </c>
      <c r="I23" s="34"/>
      <c r="J23" s="34"/>
      <c r="K23" s="29"/>
      <c r="L23" s="29"/>
      <c r="M23" s="29"/>
      <c r="N23" s="30"/>
      <c r="P23" s="31"/>
      <c r="Q23" s="31"/>
      <c r="R23" s="31"/>
      <c r="S23" s="31"/>
      <c r="T23" s="31"/>
      <c r="U23" s="31"/>
    </row>
    <row r="24" spans="9:21" ht="15">
      <c r="I24" s="33"/>
      <c r="J24" s="33"/>
      <c r="K24" s="29"/>
      <c r="L24" s="29"/>
      <c r="M24" s="29"/>
      <c r="N24" s="30"/>
      <c r="P24" s="23"/>
      <c r="Q24" s="23"/>
      <c r="R24" s="23"/>
      <c r="S24" s="23"/>
      <c r="T24" s="23"/>
      <c r="U24" s="23"/>
    </row>
    <row r="25" spans="9:21" ht="15">
      <c r="I25" s="41"/>
      <c r="J25" s="41"/>
      <c r="K25" s="29"/>
      <c r="L25" s="29"/>
      <c r="M25" s="29"/>
      <c r="N25" s="30"/>
      <c r="P25" s="31"/>
      <c r="Q25" s="31"/>
      <c r="R25" s="31"/>
      <c r="S25" s="23"/>
      <c r="T25" s="23"/>
      <c r="U25" s="23"/>
    </row>
    <row r="26" spans="9:21" ht="15">
      <c r="I26" s="34"/>
      <c r="J26" s="34"/>
      <c r="K26" s="29"/>
      <c r="L26" s="29"/>
      <c r="M26" s="29"/>
      <c r="N26" s="30"/>
      <c r="P26" s="31"/>
      <c r="Q26" s="31"/>
      <c r="R26" s="31"/>
      <c r="S26" s="31"/>
      <c r="T26" s="31"/>
      <c r="U26" s="31"/>
    </row>
    <row r="27" spans="9:21" ht="15">
      <c r="I27" s="33"/>
      <c r="J27" s="33"/>
      <c r="K27" s="29"/>
      <c r="L27" s="29"/>
      <c r="M27" s="29"/>
      <c r="N27" s="30"/>
      <c r="P27" s="23"/>
      <c r="Q27" s="23"/>
      <c r="R27" s="23"/>
      <c r="S27" s="23"/>
      <c r="T27" s="23"/>
      <c r="U27" s="23"/>
    </row>
    <row r="28" spans="9:21" ht="15">
      <c r="I28" s="41"/>
      <c r="J28" s="41"/>
      <c r="K28" s="29"/>
      <c r="L28" s="29"/>
      <c r="M28" s="29"/>
      <c r="N28" s="30"/>
      <c r="P28" s="31"/>
      <c r="Q28" s="31"/>
      <c r="R28" s="31"/>
      <c r="S28" s="23"/>
      <c r="T28" s="23"/>
      <c r="U28" s="23"/>
    </row>
    <row r="29" spans="9:21" ht="15">
      <c r="I29" s="48"/>
      <c r="J29" s="48"/>
      <c r="K29" s="29"/>
      <c r="L29" s="29"/>
      <c r="M29" s="29"/>
      <c r="N29" s="30"/>
      <c r="P29" s="31"/>
      <c r="Q29" s="31"/>
      <c r="R29" s="31"/>
      <c r="S29" s="31"/>
      <c r="T29" s="31"/>
      <c r="U29" s="31"/>
    </row>
    <row r="30" spans="9:21" ht="15">
      <c r="I30" s="33"/>
      <c r="J30" s="33"/>
      <c r="K30" s="29"/>
      <c r="L30" s="29"/>
      <c r="M30" s="29"/>
      <c r="N30" s="30"/>
      <c r="P30" s="23"/>
      <c r="Q30" s="23"/>
      <c r="R30" s="23"/>
      <c r="S30" s="23"/>
      <c r="T30" s="23"/>
      <c r="U30" s="23"/>
    </row>
    <row r="31" spans="9:21" ht="15">
      <c r="I31" s="41"/>
      <c r="J31" s="41"/>
      <c r="K31" s="29"/>
      <c r="L31" s="29"/>
      <c r="M31" s="29"/>
      <c r="N31" s="30"/>
      <c r="P31" s="31"/>
      <c r="Q31" s="31"/>
      <c r="R31" s="31"/>
      <c r="S31" s="23"/>
      <c r="T31" s="23"/>
      <c r="U31" s="23"/>
    </row>
    <row r="32" spans="9:21" ht="15">
      <c r="I32" s="34"/>
      <c r="J32" s="34"/>
      <c r="K32" s="29"/>
      <c r="L32" s="29"/>
      <c r="M32" s="29"/>
      <c r="N32" s="30"/>
      <c r="P32" s="31"/>
      <c r="Q32" s="31"/>
      <c r="R32" s="31"/>
      <c r="S32" s="31"/>
      <c r="T32" s="31"/>
      <c r="U32" s="31"/>
    </row>
    <row r="33" spans="9:21" ht="15">
      <c r="I33" s="33"/>
      <c r="J33" s="33"/>
      <c r="K33" s="29"/>
      <c r="L33" s="29"/>
      <c r="M33" s="29"/>
      <c r="N33" s="30"/>
      <c r="P33" s="23"/>
      <c r="Q33" s="23"/>
      <c r="R33" s="23"/>
      <c r="S33" s="23"/>
      <c r="T33" s="23"/>
      <c r="U33" s="23"/>
    </row>
    <row r="34" spans="9:21" ht="15">
      <c r="I34" s="41"/>
      <c r="J34" s="41"/>
      <c r="K34" s="29"/>
      <c r="L34" s="29"/>
      <c r="M34" s="29"/>
      <c r="N34" s="30"/>
      <c r="P34" s="31"/>
      <c r="Q34" s="31"/>
      <c r="R34" s="31"/>
      <c r="S34" s="23"/>
      <c r="T34" s="23"/>
      <c r="U34" s="23"/>
    </row>
    <row r="35" spans="9:21" ht="15">
      <c r="I35" s="34"/>
      <c r="J35" s="34"/>
      <c r="K35" s="29"/>
      <c r="L35" s="29"/>
      <c r="M35" s="29"/>
      <c r="N35" s="30"/>
      <c r="P35" s="31"/>
      <c r="Q35" s="31"/>
      <c r="R35" s="31"/>
      <c r="S35" s="31"/>
      <c r="T35" s="31"/>
      <c r="U35" s="31"/>
    </row>
    <row r="36" spans="9:21" ht="15">
      <c r="I36" s="41"/>
      <c r="J36" s="41"/>
      <c r="K36" s="29"/>
      <c r="L36" s="29"/>
      <c r="M36" s="29"/>
      <c r="N36" s="30"/>
      <c r="P36" s="31"/>
      <c r="Q36" s="31"/>
      <c r="R36" s="31"/>
      <c r="S36" s="23"/>
      <c r="T36" s="23"/>
      <c r="U36" s="23"/>
    </row>
    <row r="37" spans="9:21" ht="15">
      <c r="I37" s="41"/>
      <c r="J37" s="41"/>
      <c r="K37" s="29"/>
      <c r="L37" s="29"/>
      <c r="M37" s="29"/>
      <c r="N37" s="30"/>
      <c r="P37" s="31"/>
      <c r="Q37" s="31"/>
      <c r="R37" s="31"/>
      <c r="S37" s="23"/>
      <c r="T37" s="23"/>
      <c r="U37" s="23"/>
    </row>
    <row r="38" spans="9:21" ht="15">
      <c r="I38" s="34"/>
      <c r="J38" s="34"/>
      <c r="K38" s="29"/>
      <c r="L38" s="29"/>
      <c r="M38" s="29"/>
      <c r="N38" s="30"/>
      <c r="P38" s="31"/>
      <c r="Q38" s="31"/>
      <c r="R38" s="31"/>
      <c r="S38" s="31"/>
      <c r="T38" s="31"/>
      <c r="U38" s="31"/>
    </row>
    <row r="39" spans="9:21" ht="15">
      <c r="I39" s="33"/>
      <c r="J39" s="33"/>
      <c r="K39" s="29"/>
      <c r="L39" s="29"/>
      <c r="M39" s="29"/>
      <c r="N39" s="30"/>
      <c r="P39" s="23"/>
      <c r="Q39" s="23"/>
      <c r="R39" s="23"/>
      <c r="S39" s="23"/>
      <c r="T39" s="23"/>
      <c r="U39" s="23"/>
    </row>
    <row r="40" spans="9:21" ht="15">
      <c r="I40" s="41"/>
      <c r="J40" s="41"/>
      <c r="K40" s="29"/>
      <c r="L40" s="29"/>
      <c r="M40" s="29"/>
      <c r="N40" s="30"/>
      <c r="P40" s="31"/>
      <c r="Q40" s="31"/>
      <c r="R40" s="31"/>
      <c r="S40" s="23"/>
      <c r="T40" s="23"/>
      <c r="U40" s="23"/>
    </row>
    <row r="41" spans="9:21" ht="15">
      <c r="I41" s="34"/>
      <c r="J41" s="34"/>
      <c r="K41" s="29"/>
      <c r="L41" s="29"/>
      <c r="M41" s="29"/>
      <c r="N41" s="30"/>
      <c r="P41" s="31"/>
      <c r="Q41" s="31"/>
      <c r="R41" s="31"/>
      <c r="S41" s="31"/>
      <c r="T41" s="31"/>
      <c r="U41" s="31"/>
    </row>
    <row r="45" spans="2:5" ht="15">
      <c r="B45" s="9"/>
      <c r="C45" s="35"/>
      <c r="D45" s="14"/>
      <c r="E45" s="44"/>
    </row>
  </sheetData>
  <sheetProtection sheet="1" objects="1" scenarios="1"/>
  <conditionalFormatting sqref="C11">
    <cfRule type="expression" priority="1" dxfId="0" stopIfTrue="1">
      <formula>$C$11&gt;50</formula>
    </cfRule>
  </conditionalFormatting>
  <conditionalFormatting sqref="C8">
    <cfRule type="expression" priority="2" dxfId="1" stopIfTrue="1">
      <formula>($C$8&gt;$I$8)</formula>
    </cfRule>
    <cfRule type="expression" priority="3" dxfId="1" stopIfTrue="1">
      <formula>($C$8+$C$9)&gt;$I$8</formula>
    </cfRule>
  </conditionalFormatting>
  <conditionalFormatting sqref="C9:C10">
    <cfRule type="expression" priority="4" dxfId="1" stopIfTrue="1">
      <formula>$C$9&gt;$I$9</formula>
    </cfRule>
    <cfRule type="expression" priority="5" dxfId="1" stopIfTrue="1">
      <formula>($C$8+$C$9)&gt;$I$8</formula>
    </cfRule>
  </conditionalFormatting>
  <conditionalFormatting sqref="C12">
    <cfRule type="expression" priority="6" dxfId="1" stopIfTrue="1">
      <formula>$C$12&gt;($C$16+$E$18)</formula>
    </cfRule>
    <cfRule type="expression" priority="7" dxfId="0" stopIfTrue="1">
      <formula>$C$12&gt;$C$16</formula>
    </cfRule>
  </conditionalFormatting>
  <conditionalFormatting sqref="B17:E17">
    <cfRule type="expression" priority="8" dxfId="1" stopIfTrue="1">
      <formula>$C$12&gt;($C$16+$E$18)</formula>
    </cfRule>
    <cfRule type="expression" priority="9" dxfId="0" stopIfTrue="1">
      <formula>$C$12&gt;$C$16</formula>
    </cfRule>
    <cfRule type="expression" priority="10" dxfId="2" stopIfTrue="1">
      <formula>$C$17=0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wallace</dc:creator>
  <cp:keywords/>
  <dc:description/>
  <cp:lastModifiedBy>bill wallace</cp:lastModifiedBy>
  <dcterms:created xsi:type="dcterms:W3CDTF">2007-07-18T00:45:48Z</dcterms:created>
  <dcterms:modified xsi:type="dcterms:W3CDTF">2007-11-10T22:42:07Z</dcterms:modified>
  <cp:category/>
  <cp:version/>
  <cp:contentType/>
  <cp:contentStatus/>
</cp:coreProperties>
</file>