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MPPI" sheetId="1" r:id="rId1"/>
    <sheet name="BPI" sheetId="2" r:id="rId2"/>
    <sheet name="Sheet3" sheetId="3" r:id="rId3"/>
  </sheets>
  <definedNames>
    <definedName name="_xlnm.Print_Titles" localSheetId="0">'MPPI'!$1:$3</definedName>
  </definedNames>
  <calcPr fullCalcOnLoad="1"/>
</workbook>
</file>

<file path=xl/sharedStrings.xml><?xml version="1.0" encoding="utf-8"?>
<sst xmlns="http://schemas.openxmlformats.org/spreadsheetml/2006/main" count="84" uniqueCount="8">
  <si>
    <t>Week Ending</t>
  </si>
  <si>
    <t>Monthly Performance Price Index (MPPI)</t>
  </si>
  <si>
    <t>BPI =</t>
  </si>
  <si>
    <t>Base Price Index (BPI)</t>
  </si>
  <si>
    <t>Average Selling Prices Asphalt Cement US$/ST</t>
  </si>
  <si>
    <r>
      <t xml:space="preserve">Monthly MPPI/BPI Ratio </t>
    </r>
    <r>
      <rPr>
        <b/>
        <sz val="8"/>
        <rFont val="Arial"/>
        <family val="2"/>
      </rPr>
      <t>(Min = 0.4, Max = 1.6)</t>
    </r>
  </si>
  <si>
    <t xml:space="preserve"> </t>
  </si>
  <si>
    <t>CA PFH 114-1(1), HYAMPOM ROAD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</si>
</sst>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0.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55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5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165" fontId="0" fillId="0" borderId="4" xfId="0" applyNumberFormat="1" applyBorder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5" xfId="0" applyFont="1" applyBorder="1" applyAlignment="1">
      <alignment horizontal="right" wrapText="1"/>
    </xf>
    <xf numFmtId="2" fontId="0" fillId="0" borderId="3" xfId="0" applyNumberFormat="1" applyBorder="1" applyAlignment="1">
      <alignment/>
    </xf>
    <xf numFmtId="0" fontId="0" fillId="0" borderId="0" xfId="0" applyFont="1" applyAlignment="1">
      <alignment/>
    </xf>
    <xf numFmtId="171" fontId="1" fillId="0" borderId="6" xfId="0" applyNumberFormat="1" applyFont="1" applyBorder="1" applyAlignment="1">
      <alignment horizontal="left" wrapText="1"/>
    </xf>
    <xf numFmtId="165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0" fontId="6" fillId="0" borderId="0" xfId="0" applyFont="1" applyAlignment="1">
      <alignment/>
    </xf>
    <xf numFmtId="2" fontId="0" fillId="2" borderId="3" xfId="0" applyNumberFormat="1" applyFill="1" applyBorder="1" applyAlignment="1">
      <alignment/>
    </xf>
    <xf numFmtId="0" fontId="0" fillId="0" borderId="0" xfId="0" applyBorder="1" applyAlignment="1">
      <alignment/>
    </xf>
    <xf numFmtId="2" fontId="5" fillId="2" borderId="7" xfId="0" applyNumberFormat="1" applyFon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2" fontId="0" fillId="2" borderId="9" xfId="0" applyNumberFormat="1" applyFill="1" applyBorder="1" applyAlignment="1">
      <alignment/>
    </xf>
    <xf numFmtId="0" fontId="0" fillId="2" borderId="7" xfId="0" applyFill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165" fontId="0" fillId="0" borderId="9" xfId="0" applyNumberFormat="1" applyBorder="1" applyAlignment="1">
      <alignment/>
    </xf>
    <xf numFmtId="2" fontId="0" fillId="2" borderId="10" xfId="0" applyNumberFormat="1" applyFill="1" applyBorder="1" applyAlignment="1">
      <alignment/>
    </xf>
    <xf numFmtId="165" fontId="0" fillId="0" borderId="8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2" borderId="11" xfId="0" applyFill="1" applyBorder="1" applyAlignment="1">
      <alignment/>
    </xf>
    <xf numFmtId="2" fontId="0" fillId="2" borderId="11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71" fontId="0" fillId="0" borderId="5" xfId="0" applyNumberFormat="1" applyBorder="1" applyAlignment="1">
      <alignment/>
    </xf>
    <xf numFmtId="171" fontId="0" fillId="0" borderId="6" xfId="0" applyNumberFormat="1" applyBorder="1" applyAlignment="1">
      <alignment/>
    </xf>
    <xf numFmtId="171" fontId="0" fillId="2" borderId="9" xfId="0" applyNumberFormat="1" applyFill="1" applyBorder="1" applyAlignment="1">
      <alignment/>
    </xf>
    <xf numFmtId="171" fontId="0" fillId="2" borderId="10" xfId="0" applyNumberFormat="1" applyFill="1" applyBorder="1" applyAlignment="1">
      <alignment/>
    </xf>
    <xf numFmtId="171" fontId="0" fillId="2" borderId="8" xfId="0" applyNumberFormat="1" applyFill="1" applyBorder="1" applyAlignment="1">
      <alignment/>
    </xf>
    <xf numFmtId="171" fontId="0" fillId="2" borderId="11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171" fontId="5" fillId="2" borderId="9" xfId="0" applyNumberFormat="1" applyFont="1" applyFill="1" applyBorder="1" applyAlignment="1">
      <alignment/>
    </xf>
    <xf numFmtId="171" fontId="5" fillId="2" borderId="10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3"/>
  <sheetViews>
    <sheetView tabSelected="1" workbookViewId="0" topLeftCell="A35">
      <selection activeCell="J52" sqref="J52"/>
    </sheetView>
  </sheetViews>
  <sheetFormatPr defaultColWidth="9.140625" defaultRowHeight="12.75"/>
  <cols>
    <col min="2" max="2" width="18.00390625" style="0" bestFit="1" customWidth="1"/>
    <col min="3" max="3" width="22.00390625" style="0" customWidth="1"/>
    <col min="4" max="4" width="18.28125" style="0" customWidth="1"/>
    <col min="5" max="5" width="13.7109375" style="0" customWidth="1"/>
    <col min="6" max="6" width="8.7109375" style="0" customWidth="1"/>
  </cols>
  <sheetData>
    <row r="1" spans="2:5" ht="13.5" thickBot="1">
      <c r="B1" s="8" t="s">
        <v>7</v>
      </c>
      <c r="C1" s="9"/>
      <c r="D1" s="9"/>
      <c r="E1" s="9"/>
    </row>
    <row r="2" spans="2:6" ht="26.25" customHeight="1">
      <c r="B2" s="56" t="s">
        <v>0</v>
      </c>
      <c r="C2" s="54" t="s">
        <v>4</v>
      </c>
      <c r="D2" s="54" t="s">
        <v>1</v>
      </c>
      <c r="E2" s="58" t="s">
        <v>5</v>
      </c>
      <c r="F2" s="59"/>
    </row>
    <row r="3" spans="2:16" ht="15.75" customHeight="1" thickBot="1">
      <c r="B3" s="57"/>
      <c r="C3" s="55"/>
      <c r="D3" s="55"/>
      <c r="E3" s="10" t="s">
        <v>2</v>
      </c>
      <c r="F3" s="13">
        <v>421.46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2:6" ht="12.75" hidden="1">
      <c r="B4" s="4">
        <v>38779</v>
      </c>
      <c r="C4" s="5"/>
      <c r="D4" s="6"/>
      <c r="E4" s="52"/>
      <c r="F4" s="53"/>
    </row>
    <row r="5" spans="2:6" ht="12.75" hidden="1">
      <c r="B5" s="4">
        <f aca="true" t="shared" si="0" ref="B5:B68">B4+7</f>
        <v>38786</v>
      </c>
      <c r="C5" s="5"/>
      <c r="D5" s="6"/>
      <c r="E5" s="47"/>
      <c r="F5" s="49"/>
    </row>
    <row r="6" spans="2:6" ht="12.75" hidden="1">
      <c r="B6" s="4">
        <f t="shared" si="0"/>
        <v>38793</v>
      </c>
      <c r="C6" s="5"/>
      <c r="D6" s="6"/>
      <c r="E6" s="47"/>
      <c r="F6" s="49"/>
    </row>
    <row r="7" spans="2:6" ht="12.75" hidden="1">
      <c r="B7" s="4">
        <f t="shared" si="0"/>
        <v>38800</v>
      </c>
      <c r="C7" s="5"/>
      <c r="D7" s="6"/>
      <c r="E7" s="47"/>
      <c r="F7" s="49"/>
    </row>
    <row r="8" spans="2:6" ht="12.75">
      <c r="B8" s="14">
        <v>39536</v>
      </c>
      <c r="C8" s="26">
        <f>(375+400+435+465+420+480)/6</f>
        <v>429.1666666666667</v>
      </c>
      <c r="D8" s="19"/>
      <c r="E8" s="50"/>
      <c r="F8" s="51"/>
    </row>
    <row r="9" spans="2:6" ht="12.75">
      <c r="B9" s="4">
        <f>B8+7</f>
        <v>39543</v>
      </c>
      <c r="C9" s="11">
        <f>(375+400+435+485+435+490)/6</f>
        <v>436.6666666666667</v>
      </c>
      <c r="D9" s="17"/>
      <c r="E9" s="45"/>
      <c r="F9" s="46"/>
    </row>
    <row r="10" spans="2:6" ht="12.75">
      <c r="B10" s="4">
        <f t="shared" si="0"/>
        <v>39550</v>
      </c>
      <c r="C10" s="11">
        <f>(400+425+465+485+450+525)/6</f>
        <v>458.3333333333333</v>
      </c>
      <c r="D10" s="6"/>
      <c r="E10" s="47"/>
      <c r="F10" s="48"/>
    </row>
    <row r="11" spans="2:6" ht="12.75">
      <c r="B11" s="4">
        <f t="shared" si="0"/>
        <v>39557</v>
      </c>
      <c r="C11" s="11">
        <f>(400+425+465+485+450+525)/6</f>
        <v>458.3333333333333</v>
      </c>
      <c r="D11" s="6"/>
      <c r="E11" s="47"/>
      <c r="F11" s="48"/>
    </row>
    <row r="12" spans="2:11" ht="13.5" thickBot="1">
      <c r="B12" s="7">
        <f t="shared" si="0"/>
        <v>39564</v>
      </c>
      <c r="C12" s="11">
        <f>(400+450+465+485+460+525)/6</f>
        <v>464.1666666666667</v>
      </c>
      <c r="D12" s="15">
        <f>SUM(C9:C12)/COUNTA(C9:C12)</f>
        <v>454.375</v>
      </c>
      <c r="E12" s="41">
        <f>D12/F$3</f>
        <v>1.078097565605277</v>
      </c>
      <c r="F12" s="42"/>
      <c r="H12" t="s">
        <v>6</v>
      </c>
      <c r="K12" s="16"/>
    </row>
    <row r="13" spans="2:10" ht="12.75">
      <c r="B13" s="27">
        <f>B12+7</f>
        <v>39571</v>
      </c>
      <c r="C13" s="26">
        <f>(420+475+475+560+465+585)/6</f>
        <v>496.6666666666667</v>
      </c>
      <c r="D13" s="28"/>
      <c r="E13" s="43"/>
      <c r="F13" s="44"/>
      <c r="J13" t="s">
        <v>6</v>
      </c>
    </row>
    <row r="14" spans="2:7" ht="12.75">
      <c r="B14" s="29">
        <f t="shared" si="0"/>
        <v>39578</v>
      </c>
      <c r="C14" s="11">
        <f>(425+475+530+560+500+585)/6</f>
        <v>512.5</v>
      </c>
      <c r="D14" s="31"/>
      <c r="E14" s="47"/>
      <c r="F14" s="48"/>
      <c r="G14" t="s">
        <v>6</v>
      </c>
    </row>
    <row r="15" spans="2:7" ht="12.75">
      <c r="B15" s="29">
        <f t="shared" si="0"/>
        <v>39585</v>
      </c>
      <c r="C15" s="11">
        <f>(435+525+540+605+525+630)/6</f>
        <v>543.3333333333334</v>
      </c>
      <c r="D15" s="31"/>
      <c r="E15" s="47"/>
      <c r="F15" s="48"/>
      <c r="G15" t="s">
        <v>6</v>
      </c>
    </row>
    <row r="16" spans="2:7" ht="13.5" thickBot="1">
      <c r="B16" s="30">
        <f t="shared" si="0"/>
        <v>39592</v>
      </c>
      <c r="C16" s="15">
        <f>(440+550+575+605+590+630)/6</f>
        <v>565</v>
      </c>
      <c r="D16" s="15">
        <f>SUM(C13:C16)/COUNTA(C13:C16)</f>
        <v>529.375</v>
      </c>
      <c r="E16" s="41">
        <f>D16/F$3</f>
        <v>1.2560503962416363</v>
      </c>
      <c r="F16" s="42"/>
      <c r="G16" t="s">
        <v>6</v>
      </c>
    </row>
    <row r="17" spans="2:9" ht="12.75">
      <c r="B17" s="14">
        <f t="shared" si="0"/>
        <v>39599</v>
      </c>
      <c r="C17" s="26">
        <f>(450+550+575+605+590+640)/6</f>
        <v>568.3333333333334</v>
      </c>
      <c r="D17" s="20"/>
      <c r="E17" s="43"/>
      <c r="F17" s="44"/>
      <c r="H17" t="s">
        <v>6</v>
      </c>
      <c r="I17" t="s">
        <v>6</v>
      </c>
    </row>
    <row r="18" spans="2:10" ht="12.75">
      <c r="B18" s="4">
        <f>B17+7</f>
        <v>39606</v>
      </c>
      <c r="C18" s="11">
        <f>(475+600+610+635+635+675)/6</f>
        <v>605</v>
      </c>
      <c r="D18" s="17"/>
      <c r="E18" s="45"/>
      <c r="F18" s="46"/>
      <c r="G18" t="s">
        <v>6</v>
      </c>
      <c r="H18" t="s">
        <v>6</v>
      </c>
      <c r="I18" s="18" t="s">
        <v>6</v>
      </c>
      <c r="J18" t="s">
        <v>6</v>
      </c>
    </row>
    <row r="19" spans="2:9" ht="12.75">
      <c r="B19" s="4">
        <f t="shared" si="0"/>
        <v>39613</v>
      </c>
      <c r="C19" s="11">
        <f>(475+600+610+635+635+685)/6</f>
        <v>606.6666666666666</v>
      </c>
      <c r="D19" s="6"/>
      <c r="E19" s="47"/>
      <c r="F19" s="49"/>
      <c r="H19" t="s">
        <v>6</v>
      </c>
      <c r="I19" t="s">
        <v>6</v>
      </c>
    </row>
    <row r="20" spans="2:9" ht="13.5" thickBot="1">
      <c r="B20" s="7">
        <f t="shared" si="0"/>
        <v>39620</v>
      </c>
      <c r="C20" s="15">
        <f>(475+625+615+645+640+685)/6</f>
        <v>614.1666666666666</v>
      </c>
      <c r="D20" s="15">
        <f>SUM(C17:C20)/COUNTA(C17:C20)</f>
        <v>598.5416666666666</v>
      </c>
      <c r="E20" s="41">
        <f>D20/F$3</f>
        <v>1.4201624511618343</v>
      </c>
      <c r="F20" s="42"/>
      <c r="I20" t="s">
        <v>6</v>
      </c>
    </row>
    <row r="21" spans="2:11" ht="12.75">
      <c r="B21" s="14">
        <f t="shared" si="0"/>
        <v>39627</v>
      </c>
      <c r="C21" s="11">
        <f>(500+650+620+645+640+700)/6</f>
        <v>625.8333333333334</v>
      </c>
      <c r="D21" s="23"/>
      <c r="E21" s="43"/>
      <c r="F21" s="44"/>
      <c r="I21" t="s">
        <v>6</v>
      </c>
      <c r="K21" t="s">
        <v>6</v>
      </c>
    </row>
    <row r="22" spans="2:9" ht="12.75">
      <c r="B22" s="4">
        <f>B21+7</f>
        <v>39634</v>
      </c>
      <c r="C22" s="11">
        <f>(500+700+630+680+650+710)/6</f>
        <v>645</v>
      </c>
      <c r="D22" s="21"/>
      <c r="E22" s="45"/>
      <c r="F22" s="46"/>
      <c r="H22" t="s">
        <v>6</v>
      </c>
      <c r="I22" t="s">
        <v>6</v>
      </c>
    </row>
    <row r="23" spans="2:9" ht="12.75">
      <c r="B23" s="4">
        <f t="shared" si="0"/>
        <v>39641</v>
      </c>
      <c r="C23" s="11">
        <f>(550+775+655+695+675+710)/6</f>
        <v>676.6666666666666</v>
      </c>
      <c r="D23" s="22"/>
      <c r="E23" s="47"/>
      <c r="F23" s="48"/>
      <c r="H23" t="s">
        <v>6</v>
      </c>
      <c r="I23" t="s">
        <v>6</v>
      </c>
    </row>
    <row r="24" spans="2:10" ht="12.75">
      <c r="B24" s="4">
        <f t="shared" si="0"/>
        <v>39648</v>
      </c>
      <c r="C24" s="11">
        <f>(550+775+620+695+675+710)/6</f>
        <v>670.8333333333334</v>
      </c>
      <c r="D24" s="22"/>
      <c r="E24" s="47"/>
      <c r="F24" s="48"/>
      <c r="H24" t="s">
        <v>6</v>
      </c>
      <c r="J24" t="s">
        <v>6</v>
      </c>
    </row>
    <row r="25" spans="2:10" ht="13.5" thickBot="1">
      <c r="B25" s="7">
        <f t="shared" si="0"/>
        <v>39655</v>
      </c>
      <c r="C25" s="15">
        <f>(600+775+655+695+685+730)/6</f>
        <v>690</v>
      </c>
      <c r="D25" s="15">
        <f>SUM(C22:C25)/COUNTA(C22:C25)</f>
        <v>670.625</v>
      </c>
      <c r="E25" s="41">
        <f>D25/F$3</f>
        <v>1.591194893940113</v>
      </c>
      <c r="F25" s="42"/>
      <c r="I25" t="s">
        <v>6</v>
      </c>
      <c r="J25" t="s">
        <v>6</v>
      </c>
    </row>
    <row r="26" spans="2:10" ht="12.75">
      <c r="B26" s="14">
        <f>B25+7</f>
        <v>39662</v>
      </c>
      <c r="C26" s="26">
        <f>(650+775+655+695+685+730)/6</f>
        <v>698.3333333333334</v>
      </c>
      <c r="D26" s="20"/>
      <c r="E26" s="45"/>
      <c r="F26" s="46"/>
      <c r="G26" t="s">
        <v>6</v>
      </c>
      <c r="H26" t="s">
        <v>6</v>
      </c>
      <c r="I26" t="s">
        <v>6</v>
      </c>
      <c r="J26" t="s">
        <v>6</v>
      </c>
    </row>
    <row r="27" spans="2:9" ht="12.75">
      <c r="B27" s="4">
        <f t="shared" si="0"/>
        <v>39669</v>
      </c>
      <c r="C27" s="11">
        <f>(675+850+675+695+685+730)/6</f>
        <v>718.3333333333334</v>
      </c>
      <c r="D27" s="6"/>
      <c r="E27" s="47"/>
      <c r="F27" s="48"/>
      <c r="I27" t="s">
        <v>6</v>
      </c>
    </row>
    <row r="28" spans="2:9" ht="12.75">
      <c r="B28" s="4">
        <f t="shared" si="0"/>
        <v>39676</v>
      </c>
      <c r="C28" s="11">
        <f>(700+875+675+695+690+775)/6</f>
        <v>735</v>
      </c>
      <c r="D28" s="6"/>
      <c r="E28" s="47"/>
      <c r="F28" s="48"/>
      <c r="H28" t="s">
        <v>6</v>
      </c>
      <c r="I28" t="s">
        <v>6</v>
      </c>
    </row>
    <row r="29" spans="2:9" ht="13.5" thickBot="1">
      <c r="B29" s="7">
        <f t="shared" si="0"/>
        <v>39683</v>
      </c>
      <c r="C29" s="15">
        <f>(700+900+675+710+690+775)/6</f>
        <v>741.6666666666666</v>
      </c>
      <c r="D29" s="15">
        <f>SUM(C26:C29)/COUNTA(C26:C29)</f>
        <v>723.3333333333334</v>
      </c>
      <c r="E29" s="41">
        <f>D29/F$3</f>
        <v>1.7162561888039989</v>
      </c>
      <c r="F29" s="42"/>
      <c r="I29" t="s">
        <v>6</v>
      </c>
    </row>
    <row r="30" spans="2:9" ht="12.75">
      <c r="B30" s="27">
        <f t="shared" si="0"/>
        <v>39690</v>
      </c>
      <c r="C30" s="26">
        <f>(700+900+700+730+695+775)/6</f>
        <v>750</v>
      </c>
      <c r="D30" s="28"/>
      <c r="E30" s="43"/>
      <c r="F30" s="44"/>
      <c r="H30" t="s">
        <v>6</v>
      </c>
      <c r="I30" t="s">
        <v>6</v>
      </c>
    </row>
    <row r="31" spans="2:6" ht="12.75">
      <c r="B31" s="29">
        <f>B30+7</f>
        <v>39697</v>
      </c>
      <c r="C31" s="11">
        <f>(700+900+750+770+710+775)/6</f>
        <v>767.5</v>
      </c>
      <c r="D31" s="32"/>
      <c r="E31" s="45"/>
      <c r="F31" s="46"/>
    </row>
    <row r="32" spans="2:10" ht="12.75">
      <c r="B32" s="29">
        <f t="shared" si="0"/>
        <v>39704</v>
      </c>
      <c r="C32" s="11">
        <f>(700+900+750+770+710+775)/6</f>
        <v>767.5</v>
      </c>
      <c r="D32" s="31"/>
      <c r="E32" s="47"/>
      <c r="F32" s="48"/>
      <c r="H32" t="s">
        <v>6</v>
      </c>
      <c r="I32" t="s">
        <v>6</v>
      </c>
      <c r="J32" t="s">
        <v>6</v>
      </c>
    </row>
    <row r="33" spans="2:9" ht="13.5" thickBot="1">
      <c r="B33" s="30">
        <f t="shared" si="0"/>
        <v>39711</v>
      </c>
      <c r="C33" s="11">
        <f>(650+900+735+760+690+745)/6</f>
        <v>746.6666666666666</v>
      </c>
      <c r="D33" s="15">
        <f>SUM(C30:C33)/COUNTA(C30:C33)</f>
        <v>757.9166666666666</v>
      </c>
      <c r="E33" s="41">
        <f>D33/F$3</f>
        <v>1.7983122162640979</v>
      </c>
      <c r="F33" s="42"/>
      <c r="H33" t="s">
        <v>6</v>
      </c>
      <c r="I33" t="s">
        <v>6</v>
      </c>
    </row>
    <row r="34" spans="2:9" ht="12.75">
      <c r="B34" s="27">
        <f>B33+7</f>
        <v>39718</v>
      </c>
      <c r="C34" s="26">
        <f>(650+875+735+750+680+735)/6</f>
        <v>737.5</v>
      </c>
      <c r="D34" s="28"/>
      <c r="E34" s="43"/>
      <c r="F34" s="44"/>
      <c r="H34" t="s">
        <v>6</v>
      </c>
      <c r="I34" t="s">
        <v>6</v>
      </c>
    </row>
    <row r="35" spans="2:6" ht="12.75">
      <c r="B35" s="29">
        <f>B34+7</f>
        <v>39725</v>
      </c>
      <c r="C35" s="11">
        <f>(625+825+735+750+680+735)/6</f>
        <v>725</v>
      </c>
      <c r="D35" s="32"/>
      <c r="E35" s="45"/>
      <c r="F35" s="46"/>
    </row>
    <row r="36" spans="2:10" ht="12.75">
      <c r="B36" s="29">
        <f t="shared" si="0"/>
        <v>39732</v>
      </c>
      <c r="C36" s="11">
        <f>(625+825+735+750+680+715)/6</f>
        <v>721.6666666666666</v>
      </c>
      <c r="D36" s="31"/>
      <c r="E36" s="47"/>
      <c r="F36" s="48"/>
      <c r="H36" t="s">
        <v>6</v>
      </c>
      <c r="I36" t="s">
        <v>6</v>
      </c>
      <c r="J36" t="s">
        <v>6</v>
      </c>
    </row>
    <row r="37" spans="2:9" ht="12.75">
      <c r="B37" s="29">
        <f t="shared" si="0"/>
        <v>39739</v>
      </c>
      <c r="C37" s="11">
        <f>(550+800+685+750+650+710)/6</f>
        <v>690.8333333333334</v>
      </c>
      <c r="D37" s="31"/>
      <c r="E37" s="47"/>
      <c r="F37" s="48"/>
      <c r="I37" t="s">
        <v>6</v>
      </c>
    </row>
    <row r="38" spans="2:6" ht="13.5" thickBot="1">
      <c r="B38" s="30">
        <f t="shared" si="0"/>
        <v>39746</v>
      </c>
      <c r="C38" s="11">
        <f>(550+750+600+700+600+660)/6</f>
        <v>643.3333333333334</v>
      </c>
      <c r="D38" s="15">
        <f>SUM(C35:C38)/COUNTA(C35:C38)</f>
        <v>695.2083333333334</v>
      </c>
      <c r="E38" s="41">
        <f>D38/F$3</f>
        <v>1.6495238773153642</v>
      </c>
      <c r="F38" s="42"/>
    </row>
    <row r="39" spans="2:9" ht="12.75">
      <c r="B39" s="27">
        <f t="shared" si="0"/>
        <v>39753</v>
      </c>
      <c r="C39" s="26">
        <f>(550+700+600+615+600+640)/6</f>
        <v>617.5</v>
      </c>
      <c r="D39" s="28"/>
      <c r="E39" s="43"/>
      <c r="F39" s="44"/>
      <c r="I39" t="s">
        <v>6</v>
      </c>
    </row>
    <row r="40" spans="2:8" ht="12.75">
      <c r="B40" s="29">
        <f t="shared" si="0"/>
        <v>39760</v>
      </c>
      <c r="C40" s="11">
        <f>(550+650+600+615+585+610)/6</f>
        <v>601.6666666666666</v>
      </c>
      <c r="D40" s="31"/>
      <c r="E40" s="47"/>
      <c r="F40" s="48"/>
      <c r="H40" t="s">
        <v>6</v>
      </c>
    </row>
    <row r="41" spans="2:6" ht="12.75">
      <c r="B41" s="29">
        <f t="shared" si="0"/>
        <v>39767</v>
      </c>
      <c r="C41" s="11">
        <f>(500+600+565+600+530+565)/6</f>
        <v>560</v>
      </c>
      <c r="D41" s="31"/>
      <c r="E41" s="47"/>
      <c r="F41" s="48"/>
    </row>
    <row r="42" spans="2:9" ht="13.5" thickBot="1">
      <c r="B42" s="30">
        <f t="shared" si="0"/>
        <v>39774</v>
      </c>
      <c r="C42" s="11">
        <f>(490+600+560+575+530+565)/6</f>
        <v>553.3333333333334</v>
      </c>
      <c r="D42" s="15">
        <f>SUM(C39:C42)/COUNTA(C39:C42)</f>
        <v>583.125</v>
      </c>
      <c r="E42" s="41">
        <f>D42/F$3</f>
        <v>1.383583258197694</v>
      </c>
      <c r="F42" s="42"/>
      <c r="I42" t="s">
        <v>6</v>
      </c>
    </row>
    <row r="43" spans="2:9" ht="12.75">
      <c r="B43" s="27">
        <f t="shared" si="0"/>
        <v>39781</v>
      </c>
      <c r="C43" s="26">
        <f>(490+600+560+575+530+560)/6</f>
        <v>552.5</v>
      </c>
      <c r="D43" s="28"/>
      <c r="E43" s="43"/>
      <c r="F43" s="44"/>
      <c r="H43" t="s">
        <v>6</v>
      </c>
      <c r="I43" t="s">
        <v>6</v>
      </c>
    </row>
    <row r="44" spans="2:9" ht="12.75">
      <c r="B44" s="29">
        <f>B43+7</f>
        <v>39788</v>
      </c>
      <c r="C44" s="11">
        <f>(475+600+535+550+435+500)/6</f>
        <v>515.8333333333334</v>
      </c>
      <c r="D44" s="32"/>
      <c r="E44" s="45"/>
      <c r="F44" s="46"/>
      <c r="I44" t="s">
        <v>6</v>
      </c>
    </row>
    <row r="45" spans="2:6" ht="12.75">
      <c r="B45" s="29">
        <f t="shared" si="0"/>
        <v>39795</v>
      </c>
      <c r="C45" s="11">
        <f>(475+600+535+550+435+500)/6</f>
        <v>515.8333333333334</v>
      </c>
      <c r="D45" s="31"/>
      <c r="E45" s="47"/>
      <c r="F45" s="48"/>
    </row>
    <row r="46" spans="2:9" ht="12.75">
      <c r="B46" s="29">
        <f t="shared" si="0"/>
        <v>39802</v>
      </c>
      <c r="C46" s="11">
        <f>(475+600+535+545+435+495)/6</f>
        <v>514.1666666666666</v>
      </c>
      <c r="D46" s="31"/>
      <c r="E46" s="47"/>
      <c r="F46" s="48"/>
      <c r="H46" t="s">
        <v>6</v>
      </c>
      <c r="I46" t="s">
        <v>6</v>
      </c>
    </row>
    <row r="47" spans="2:8" ht="13.5" thickBot="1">
      <c r="B47" s="29">
        <f t="shared" si="0"/>
        <v>39809</v>
      </c>
      <c r="C47" s="11">
        <f>(475+600+535+545+435+495)/6</f>
        <v>514.1666666666666</v>
      </c>
      <c r="D47" s="15">
        <f>SUM(C44:C47)/COUNTA(C44:C47)</f>
        <v>515</v>
      </c>
      <c r="E47" s="41">
        <f>D47/F$3</f>
        <v>1.2219427703696675</v>
      </c>
      <c r="F47" s="42"/>
      <c r="H47" t="s">
        <v>6</v>
      </c>
    </row>
    <row r="48" spans="2:9" ht="12.75">
      <c r="B48" s="27">
        <f t="shared" si="0"/>
        <v>39816</v>
      </c>
      <c r="C48" s="26">
        <f>(475+575+450+535+335+450)/6</f>
        <v>470</v>
      </c>
      <c r="D48" s="28"/>
      <c r="E48" s="43"/>
      <c r="F48" s="44"/>
      <c r="I48" t="s">
        <v>6</v>
      </c>
    </row>
    <row r="49" spans="2:9" ht="12.75">
      <c r="B49" s="29">
        <f t="shared" si="0"/>
        <v>39823</v>
      </c>
      <c r="C49" s="11">
        <f>(475+575+450+460+335+425)/6</f>
        <v>453.3333333333333</v>
      </c>
      <c r="D49" s="31"/>
      <c r="E49" s="22"/>
      <c r="F49" s="31"/>
      <c r="I49" t="s">
        <v>6</v>
      </c>
    </row>
    <row r="50" spans="2:6" ht="12.75">
      <c r="B50" s="29">
        <f t="shared" si="0"/>
        <v>39830</v>
      </c>
      <c r="C50" s="11">
        <f>(475+575+450+460+335+385)/6</f>
        <v>446.6666666666667</v>
      </c>
      <c r="D50" s="31"/>
      <c r="E50" s="22"/>
      <c r="F50" s="31"/>
    </row>
    <row r="51" spans="2:6" ht="13.5" thickBot="1">
      <c r="B51" s="30">
        <f t="shared" si="0"/>
        <v>39837</v>
      </c>
      <c r="C51" s="11">
        <f>(475+575+450+460+310+360)/6</f>
        <v>438.3333333333333</v>
      </c>
      <c r="D51" s="15">
        <f>SUM(C48:C51)/COUNTA(C48:C51)</f>
        <v>452.0833333333333</v>
      </c>
      <c r="E51" s="41">
        <f>D51/F$3</f>
        <v>1.0726601180024993</v>
      </c>
      <c r="F51" s="42"/>
    </row>
    <row r="52" spans="2:6" ht="12.75">
      <c r="B52" s="14">
        <f t="shared" si="0"/>
        <v>39844</v>
      </c>
      <c r="C52" s="26">
        <f>(460+575+450+460+300+350)/6</f>
        <v>432.5</v>
      </c>
      <c r="D52" s="24"/>
      <c r="E52" s="35"/>
      <c r="F52" s="36"/>
    </row>
    <row r="53" spans="2:6" ht="12.75">
      <c r="B53" s="4">
        <f t="shared" si="0"/>
        <v>39851</v>
      </c>
      <c r="C53" s="11">
        <f>(450+575+400+410+300+340)/6</f>
        <v>412.5</v>
      </c>
      <c r="D53" s="6"/>
      <c r="E53" s="22"/>
      <c r="F53" s="31"/>
    </row>
    <row r="54" spans="2:6" ht="12.75">
      <c r="B54" s="4">
        <f t="shared" si="0"/>
        <v>39858</v>
      </c>
      <c r="C54" s="11">
        <f>(450+575+400+410+300+340)/6</f>
        <v>412.5</v>
      </c>
      <c r="D54" s="6"/>
      <c r="E54" s="22"/>
      <c r="F54" s="31"/>
    </row>
    <row r="55" spans="2:9" ht="13.5" thickBot="1">
      <c r="B55" s="7">
        <f t="shared" si="0"/>
        <v>39865</v>
      </c>
      <c r="C55" s="33"/>
      <c r="D55" s="33"/>
      <c r="E55" s="37"/>
      <c r="F55" s="38"/>
      <c r="H55" t="s">
        <v>6</v>
      </c>
      <c r="I55" t="s">
        <v>6</v>
      </c>
    </row>
    <row r="56" spans="2:8" ht="12.75">
      <c r="B56" s="14">
        <f t="shared" si="0"/>
        <v>39872</v>
      </c>
      <c r="C56" s="34"/>
      <c r="D56" s="24"/>
      <c r="E56" s="35"/>
      <c r="F56" s="36"/>
      <c r="H56" t="s">
        <v>6</v>
      </c>
    </row>
    <row r="57" spans="2:7" ht="12.75">
      <c r="B57" s="4">
        <f t="shared" si="0"/>
        <v>39879</v>
      </c>
      <c r="C57" s="5"/>
      <c r="D57" s="6" t="s">
        <v>6</v>
      </c>
      <c r="E57" s="22"/>
      <c r="F57" s="31"/>
      <c r="G57" t="s">
        <v>6</v>
      </c>
    </row>
    <row r="58" spans="2:6" ht="12.75">
      <c r="B58" s="4">
        <f t="shared" si="0"/>
        <v>39886</v>
      </c>
      <c r="C58" s="5"/>
      <c r="D58" s="6"/>
      <c r="E58" s="22"/>
      <c r="F58" s="31"/>
    </row>
    <row r="59" spans="2:8" ht="13.5" thickBot="1">
      <c r="B59" s="7">
        <f t="shared" si="0"/>
        <v>39893</v>
      </c>
      <c r="C59" s="33"/>
      <c r="D59" s="33"/>
      <c r="E59" s="37"/>
      <c r="F59" s="38"/>
      <c r="H59" t="s">
        <v>6</v>
      </c>
    </row>
    <row r="60" spans="2:10" ht="12.75">
      <c r="B60" s="14">
        <f t="shared" si="0"/>
        <v>39900</v>
      </c>
      <c r="C60" s="34"/>
      <c r="D60" s="24"/>
      <c r="E60" s="35"/>
      <c r="F60" s="36"/>
      <c r="J60" t="s">
        <v>6</v>
      </c>
    </row>
    <row r="61" spans="2:6" ht="12.75">
      <c r="B61" s="4">
        <f t="shared" si="0"/>
        <v>39907</v>
      </c>
      <c r="C61" s="5"/>
      <c r="D61" s="6"/>
      <c r="E61" s="22"/>
      <c r="F61" s="31"/>
    </row>
    <row r="62" spans="2:6" ht="12.75">
      <c r="B62" s="4">
        <f t="shared" si="0"/>
        <v>39914</v>
      </c>
      <c r="C62" s="5"/>
      <c r="D62" s="6"/>
      <c r="E62" s="22"/>
      <c r="F62" s="31"/>
    </row>
    <row r="63" spans="2:6" ht="12.75">
      <c r="B63" s="4">
        <f t="shared" si="0"/>
        <v>39921</v>
      </c>
      <c r="C63" s="5"/>
      <c r="D63" s="6"/>
      <c r="E63" s="22"/>
      <c r="F63" s="31"/>
    </row>
    <row r="64" spans="2:9" ht="13.5" thickBot="1">
      <c r="B64" s="7">
        <f t="shared" si="0"/>
        <v>39928</v>
      </c>
      <c r="C64" s="33"/>
      <c r="D64" s="33"/>
      <c r="E64" s="37"/>
      <c r="F64" s="38"/>
      <c r="I64" t="s">
        <v>6</v>
      </c>
    </row>
    <row r="65" spans="2:6" ht="12.75">
      <c r="B65" s="14">
        <f t="shared" si="0"/>
        <v>39935</v>
      </c>
      <c r="C65" s="34"/>
      <c r="D65" s="24"/>
      <c r="E65" s="35"/>
      <c r="F65" s="36"/>
    </row>
    <row r="66" spans="2:6" ht="12.75">
      <c r="B66" s="4">
        <f t="shared" si="0"/>
        <v>39942</v>
      </c>
      <c r="C66" s="5"/>
      <c r="D66" s="6"/>
      <c r="E66" s="22"/>
      <c r="F66" s="31"/>
    </row>
    <row r="67" spans="2:6" ht="12.75">
      <c r="B67" s="4">
        <f t="shared" si="0"/>
        <v>39949</v>
      </c>
      <c r="C67" s="5"/>
      <c r="D67" s="6"/>
      <c r="E67" s="22"/>
      <c r="F67" s="31"/>
    </row>
    <row r="68" spans="2:6" ht="13.5" thickBot="1">
      <c r="B68" s="7">
        <f t="shared" si="0"/>
        <v>39956</v>
      </c>
      <c r="C68" s="33"/>
      <c r="D68" s="33"/>
      <c r="E68" s="37"/>
      <c r="F68" s="38"/>
    </row>
    <row r="69" spans="2:6" ht="12.75">
      <c r="B69" s="14">
        <f>B68+7</f>
        <v>39963</v>
      </c>
      <c r="C69" s="34"/>
      <c r="D69" s="24"/>
      <c r="E69" s="35"/>
      <c r="F69" s="36"/>
    </row>
    <row r="70" spans="2:6" ht="12.75">
      <c r="B70" s="4">
        <f>B69+7</f>
        <v>39970</v>
      </c>
      <c r="C70" s="5"/>
      <c r="D70" s="6"/>
      <c r="E70" s="22"/>
      <c r="F70" s="31"/>
    </row>
    <row r="71" spans="2:6" ht="12.75">
      <c r="B71" s="4">
        <f>B70+7</f>
        <v>39977</v>
      </c>
      <c r="C71" s="5"/>
      <c r="D71" s="6"/>
      <c r="E71" s="22"/>
      <c r="F71" s="31"/>
    </row>
    <row r="72" spans="2:6" ht="12.75">
      <c r="B72" s="4">
        <f>B71+7</f>
        <v>39984</v>
      </c>
      <c r="C72" s="5"/>
      <c r="D72" s="5"/>
      <c r="E72" s="39"/>
      <c r="F72" s="40"/>
    </row>
    <row r="73" spans="2:6" ht="12.75">
      <c r="B73" s="18"/>
      <c r="C73" s="18"/>
      <c r="D73" s="18"/>
      <c r="E73" s="18"/>
      <c r="F73" s="18"/>
    </row>
  </sheetData>
  <mergeCells count="55">
    <mergeCell ref="C2:C3"/>
    <mergeCell ref="D2:D3"/>
    <mergeCell ref="B2:B3"/>
    <mergeCell ref="E2:F2"/>
    <mergeCell ref="E8:F8"/>
    <mergeCell ref="E4:F4"/>
    <mergeCell ref="E5:F5"/>
    <mergeCell ref="E6:F6"/>
    <mergeCell ref="E7:F7"/>
    <mergeCell ref="E10:F10"/>
    <mergeCell ref="E11:F11"/>
    <mergeCell ref="E9:F9"/>
    <mergeCell ref="E12:F12"/>
    <mergeCell ref="E14:F14"/>
    <mergeCell ref="E15:F15"/>
    <mergeCell ref="E16:F16"/>
    <mergeCell ref="E13:F13"/>
    <mergeCell ref="E23:F23"/>
    <mergeCell ref="E24:F24"/>
    <mergeCell ref="E25:F25"/>
    <mergeCell ref="E27:F27"/>
    <mergeCell ref="E33:F33"/>
    <mergeCell ref="E34:F34"/>
    <mergeCell ref="E35:F35"/>
    <mergeCell ref="E31:F31"/>
    <mergeCell ref="E32:F32"/>
    <mergeCell ref="E17:F17"/>
    <mergeCell ref="E22:F22"/>
    <mergeCell ref="E26:F26"/>
    <mergeCell ref="E30:F30"/>
    <mergeCell ref="E28:F28"/>
    <mergeCell ref="E29:F29"/>
    <mergeCell ref="E18:F18"/>
    <mergeCell ref="E19:F19"/>
    <mergeCell ref="E20:F20"/>
    <mergeCell ref="E21:F21"/>
    <mergeCell ref="E36:F36"/>
    <mergeCell ref="E37:F37"/>
    <mergeCell ref="E38:F38"/>
    <mergeCell ref="E39:F39"/>
    <mergeCell ref="E40:F40"/>
    <mergeCell ref="E41:F41"/>
    <mergeCell ref="E42:F42"/>
    <mergeCell ref="E43:F43"/>
    <mergeCell ref="E48:F48"/>
    <mergeCell ref="E44:F44"/>
    <mergeCell ref="E45:F45"/>
    <mergeCell ref="E46:F46"/>
    <mergeCell ref="E47:F47"/>
    <mergeCell ref="E68:F68"/>
    <mergeCell ref="E72:F72"/>
    <mergeCell ref="E51:F51"/>
    <mergeCell ref="E55:F55"/>
    <mergeCell ref="E59:F59"/>
    <mergeCell ref="E64:F6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G16" sqref="G16"/>
    </sheetView>
  </sheetViews>
  <sheetFormatPr defaultColWidth="9.140625" defaultRowHeight="12.75"/>
  <cols>
    <col min="2" max="2" width="18.00390625" style="0" bestFit="1" customWidth="1"/>
    <col min="3" max="3" width="15.8515625" style="0" customWidth="1"/>
    <col min="4" max="4" width="23.140625" style="0" customWidth="1"/>
  </cols>
  <sheetData>
    <row r="2" spans="2:4" ht="15" customHeight="1" thickBot="1">
      <c r="B2" s="60" t="s">
        <v>7</v>
      </c>
      <c r="C2" s="60"/>
      <c r="D2" s="60"/>
    </row>
    <row r="3" spans="2:4" ht="41.25" customHeight="1" thickBot="1">
      <c r="B3" s="2" t="s">
        <v>0</v>
      </c>
      <c r="C3" s="3" t="s">
        <v>4</v>
      </c>
      <c r="D3" s="3" t="s">
        <v>3</v>
      </c>
    </row>
    <row r="4" spans="2:4" ht="12.75" hidden="1">
      <c r="B4" s="4">
        <v>38758</v>
      </c>
      <c r="C4" s="11">
        <f>(200+235+200+275+220+300)/6</f>
        <v>238.33333333333334</v>
      </c>
      <c r="D4" s="6"/>
    </row>
    <row r="5" spans="2:4" ht="12.75" hidden="1">
      <c r="B5" s="4">
        <f aca="true" t="shared" si="0" ref="B5:B11">B4+7</f>
        <v>38765</v>
      </c>
      <c r="C5" s="11">
        <f>(200+235+200+280+220+300)/6</f>
        <v>239.16666666666666</v>
      </c>
      <c r="D5" s="6"/>
    </row>
    <row r="6" spans="2:4" ht="12.75" hidden="1">
      <c r="B6" s="4">
        <f t="shared" si="0"/>
        <v>38772</v>
      </c>
      <c r="C6" s="11">
        <f>(200+235+200+280+220+300)/6</f>
        <v>239.16666666666666</v>
      </c>
      <c r="D6" s="6"/>
    </row>
    <row r="7" spans="2:4" ht="12.75">
      <c r="B7" s="14">
        <v>39501</v>
      </c>
      <c r="C7" s="26">
        <f>(340+360+425+450+410+470)/6</f>
        <v>409.1666666666667</v>
      </c>
      <c r="D7" s="24"/>
    </row>
    <row r="8" spans="2:4" ht="12.75">
      <c r="B8" s="4">
        <f>B7+7</f>
        <v>39508</v>
      </c>
      <c r="C8" s="11">
        <f>(340+360+425+455+410+480)/6</f>
        <v>411.6666666666667</v>
      </c>
      <c r="D8" s="6"/>
    </row>
    <row r="9" spans="2:4" ht="12.75">
      <c r="B9" s="4">
        <f>B8+7</f>
        <v>39515</v>
      </c>
      <c r="C9" s="11">
        <f>(350+375+435+465+410+480)/6</f>
        <v>419.1666666666667</v>
      </c>
      <c r="D9" s="6"/>
    </row>
    <row r="10" spans="2:4" ht="12.75">
      <c r="B10" s="4">
        <f t="shared" si="0"/>
        <v>39522</v>
      </c>
      <c r="C10" s="11">
        <f>(375+400+435+465+410+480)/6</f>
        <v>427.5</v>
      </c>
      <c r="D10" s="6"/>
    </row>
    <row r="11" spans="2:4" ht="13.5" thickBot="1">
      <c r="B11" s="7">
        <f t="shared" si="0"/>
        <v>39529</v>
      </c>
      <c r="C11" s="15">
        <f>(375+400+435+465+410+480)/6</f>
        <v>427.5</v>
      </c>
      <c r="D11" s="25">
        <f>SUM(C8:C11)/COUNTA(C8:C11)</f>
        <v>421.45833333333337</v>
      </c>
    </row>
    <row r="13" spans="2:6" ht="12.75">
      <c r="B13" s="12"/>
      <c r="F13" t="s">
        <v>6</v>
      </c>
    </row>
    <row r="14" ht="12.75">
      <c r="C14" t="s">
        <v>6</v>
      </c>
    </row>
    <row r="15" ht="12.75">
      <c r="C15" t="s">
        <v>6</v>
      </c>
    </row>
    <row r="16" ht="12.75">
      <c r="D16" t="s">
        <v>6</v>
      </c>
    </row>
    <row r="17" spans="3:4" ht="12.75">
      <c r="C17" t="s">
        <v>6</v>
      </c>
      <c r="D17" t="s">
        <v>6</v>
      </c>
    </row>
    <row r="18" ht="12.75">
      <c r="D18" t="s">
        <v>6</v>
      </c>
    </row>
    <row r="19" spans="4:5" ht="12.75">
      <c r="D19" t="s">
        <v>6</v>
      </c>
      <c r="E19" t="s">
        <v>6</v>
      </c>
    </row>
    <row r="20" ht="12.75">
      <c r="D20" t="s">
        <v>6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Harvey Bostwick</cp:lastModifiedBy>
  <cp:lastPrinted>2008-03-18T16:53:14Z</cp:lastPrinted>
  <dcterms:created xsi:type="dcterms:W3CDTF">2006-01-30T17:20:09Z</dcterms:created>
  <dcterms:modified xsi:type="dcterms:W3CDTF">2009-02-17T16:11:44Z</dcterms:modified>
  <cp:category/>
  <cp:version/>
  <cp:contentType/>
  <cp:contentStatus/>
</cp:coreProperties>
</file>