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521" windowWidth="14580" windowHeight="12855" tabRatio="14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'Sheet1'!$A$1:$T$98</definedName>
    <definedName name="_xlnm.Print_Titles" localSheetId="0">'Sheet1'!$A:$A,'Sheet1'!$2:$6</definedName>
  </definedNames>
  <calcPr fullCalcOnLoad="1"/>
</workbook>
</file>

<file path=xl/sharedStrings.xml><?xml version="1.0" encoding="utf-8"?>
<sst xmlns="http://schemas.openxmlformats.org/spreadsheetml/2006/main" count="110" uniqueCount="109">
  <si>
    <t>REGION/STATE</t>
  </si>
  <si>
    <t>NORTHEAST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</si>
  <si>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</si>
  <si>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</si>
  <si>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</si>
  <si>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</si>
  <si>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New York</t>
  </si>
  <si>
    <t xml:space="preserve">  Rhode Island</t>
  </si>
  <si>
    <t xml:space="preserve">  Vermont</t>
  </si>
  <si>
    <t>TOTAL-NERO</t>
  </si>
  <si>
    <t>MID-ATLANTIC</t>
  </si>
  <si>
    <t xml:space="preserve">  Delaware</t>
  </si>
  <si>
    <t xml:space="preserve">  DC</t>
  </si>
  <si>
    <t xml:space="preserve">  Maryland</t>
  </si>
  <si>
    <t xml:space="preserve">  New Jersey</t>
  </si>
  <si>
    <t xml:space="preserve">  Pennsylvania</t>
  </si>
  <si>
    <t xml:space="preserve">  Puerto Rico</t>
  </si>
  <si>
    <t xml:space="preserve">  Virginia</t>
  </si>
  <si>
    <t xml:space="preserve">  Virgin Isl.</t>
  </si>
  <si>
    <t xml:space="preserve">  W. Virginia</t>
  </si>
  <si>
    <t>TOTAL-MARO</t>
  </si>
  <si>
    <t>SOUTHEAST</t>
  </si>
  <si>
    <t xml:space="preserve">  Alabama</t>
  </si>
  <si>
    <t xml:space="preserve">  Florida</t>
  </si>
  <si>
    <t xml:space="preserve">  Georgia</t>
  </si>
  <si>
    <t xml:space="preserve">  Kentucky</t>
  </si>
  <si>
    <t xml:space="preserve">  Mississippi</t>
  </si>
  <si>
    <t xml:space="preserve">  N. Carolina</t>
  </si>
  <si>
    <t xml:space="preserve">  S. Carolina</t>
  </si>
  <si>
    <t xml:space="preserve">  Tennessee</t>
  </si>
  <si>
    <t>TOTAL-SERO</t>
  </si>
  <si>
    <t>MIDWEST</t>
  </si>
  <si>
    <t xml:space="preserve">  Illinois</t>
  </si>
  <si>
    <t xml:space="preserve">  Indiana</t>
  </si>
  <si>
    <t xml:space="preserve">  Michigan</t>
  </si>
  <si>
    <t xml:space="preserve">  Minnesota</t>
  </si>
  <si>
    <t xml:space="preserve">  Ohio</t>
  </si>
  <si>
    <t xml:space="preserve">  Wisconsin</t>
  </si>
  <si>
    <t>TOTAL-MWRO</t>
  </si>
  <si>
    <t>SOUTHWEST</t>
  </si>
  <si>
    <t xml:space="preserve">  Arkansas</t>
  </si>
  <si>
    <t xml:space="preserve">  Louisiana</t>
  </si>
  <si>
    <t xml:space="preserve">  New Mexico</t>
  </si>
  <si>
    <t xml:space="preserve">  Oklahoma</t>
  </si>
  <si>
    <t xml:space="preserve">  Texas</t>
  </si>
  <si>
    <t>TOTAL-SWRO</t>
  </si>
  <si>
    <t>MOUNTAIN PLAINS</t>
  </si>
  <si>
    <t xml:space="preserve">  Colorado</t>
  </si>
  <si>
    <t xml:space="preserve">  Iowa</t>
  </si>
  <si>
    <t xml:space="preserve">  Kansas</t>
  </si>
  <si>
    <t xml:space="preserve">  Missouri</t>
  </si>
  <si>
    <t xml:space="preserve">  Montana</t>
  </si>
  <si>
    <t xml:space="preserve">  Nebraska</t>
  </si>
  <si>
    <t xml:space="preserve">  North Dakota</t>
  </si>
  <si>
    <t xml:space="preserve">  South Dakota</t>
  </si>
  <si>
    <t xml:space="preserve">  Utah</t>
  </si>
  <si>
    <t xml:space="preserve">  Wyoming</t>
  </si>
  <si>
    <t>TOTAL-MPRO</t>
  </si>
  <si>
    <t>WESTERN</t>
  </si>
  <si>
    <t xml:space="preserve">  Alaska</t>
  </si>
  <si>
    <t xml:space="preserve">  Arizona</t>
  </si>
  <si>
    <t xml:space="preserve">  California</t>
  </si>
  <si>
    <t xml:space="preserve">  Guam</t>
  </si>
  <si>
    <t xml:space="preserve">  Hawaii</t>
  </si>
  <si>
    <t xml:space="preserve">  Idaho</t>
  </si>
  <si>
    <t xml:space="preserve">  Nevada</t>
  </si>
  <si>
    <t xml:space="preserve">  N Mariana Isl.</t>
  </si>
  <si>
    <t xml:space="preserve">  Oregon</t>
  </si>
  <si>
    <t xml:space="preserve">  Washington</t>
  </si>
  <si>
    <t>TOTAL-WRO</t>
  </si>
  <si>
    <t>NATIONAL TOTAL</t>
  </si>
  <si>
    <t>(1)</t>
  </si>
  <si>
    <t>(2)</t>
  </si>
  <si>
    <t>(3)</t>
  </si>
  <si>
    <t>Program Administrative Charges (AMS/FSA/PCIMS)</t>
  </si>
  <si>
    <t>Additional Offshore Transportation Charges</t>
  </si>
  <si>
    <t>Total to be Allocated</t>
  </si>
  <si>
    <t>(4)</t>
  </si>
  <si>
    <t>Available to be converted to administrative funds</t>
  </si>
  <si>
    <t>TOTAL ADMINISTRATIVE FUNDS</t>
  </si>
  <si>
    <t>TOTAL COMMODITY FUNDS</t>
  </si>
  <si>
    <t>TOTAL FUNDS</t>
  </si>
  <si>
    <t>(5)</t>
  </si>
  <si>
    <t>Total Administrative Funds to be Allocated</t>
  </si>
  <si>
    <t>(6)</t>
  </si>
  <si>
    <t>(7)</t>
  </si>
  <si>
    <t>(8)</t>
  </si>
  <si>
    <t>(9)</t>
  </si>
  <si>
    <t>Total Funds Available</t>
  </si>
  <si>
    <t>Appropriation for administrative funds in CAP</t>
  </si>
  <si>
    <t>COMMODITY FUNDS CONVERTED TO ADMIN. FUNDS</t>
  </si>
  <si>
    <t>COMMODITY FUNDS TAKEN AS COMMODITIES</t>
  </si>
  <si>
    <t>Appropriation for commodities in Food Stamp Program account</t>
  </si>
  <si>
    <t>ADMIN. FUNDS CONVERTED TO COMMODITIES</t>
  </si>
  <si>
    <t>TEFAP FY2006 ADMINISTRATIVE FUNDS AND COMMODITY ALLOCATIONS</t>
  </si>
  <si>
    <t>FY 2006 COMMODITY GRANT LEVELS</t>
  </si>
  <si>
    <t>FY 2006 ADMINISTRATIVE GRANT LEVELS</t>
  </si>
  <si>
    <t>FY 2006 COMMODITY FUNDS AVAILABLE TO CONVERT TO ADMIN. FUNDS</t>
  </si>
  <si>
    <t>SHARE OF FY2005 ADMIN. FUNDS RECOVERED IN FY2006</t>
  </si>
  <si>
    <t>1.0% recission</t>
  </si>
  <si>
    <t>Note: admin funds from CAP account were allocated in two rounds to adjust for change in rescission amount.</t>
  </si>
  <si>
    <t>FY2006 Funds Available</t>
  </si>
  <si>
    <t>FY2005 Recovery</t>
  </si>
  <si>
    <t>FY2006 HURRICANE SUPPLEMENTAL APPROPRIATION</t>
  </si>
  <si>
    <t>(10)</t>
  </si>
  <si>
    <t>(1) + (5) + (8) + (9)</t>
  </si>
  <si>
    <t>SUPPLEMENTAL FUNDS TAKEN AS ADMINISTRATIVE FUNDS</t>
  </si>
  <si>
    <t>SUPPLEMENTAL FUNDS TAKEN AS COMMODITY FUNDS</t>
  </si>
  <si>
    <t>(2) + (4) + (7) - (9) + (10)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</si>
</sst>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0.000000000000000"/>
    <numFmt numFmtId="170" formatCode="&quot;$&quot;#,##0"/>
    <numFmt numFmtId="171" formatCode="_(* #,##0_);_(* \(#,##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170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wrapText="1"/>
    </xf>
    <xf numFmtId="169" fontId="4" fillId="0" borderId="0" xfId="21" applyNumberFormat="1" applyFont="1">
      <alignment/>
      <protection/>
    </xf>
    <xf numFmtId="5" fontId="6" fillId="0" borderId="0" xfId="21" applyNumberFormat="1" applyFont="1">
      <alignment/>
      <protection/>
    </xf>
    <xf numFmtId="37" fontId="6" fillId="0" borderId="0" xfId="21" applyFont="1">
      <alignment/>
      <protection/>
    </xf>
    <xf numFmtId="37" fontId="6" fillId="0" borderId="2" xfId="21" applyFont="1" applyBorder="1">
      <alignment/>
      <protection/>
    </xf>
    <xf numFmtId="37" fontId="6" fillId="0" borderId="0" xfId="21" applyFont="1" applyBorder="1">
      <alignment/>
      <protection/>
    </xf>
    <xf numFmtId="5" fontId="6" fillId="0" borderId="0" xfId="21" applyNumberFormat="1" applyFont="1" applyBorder="1">
      <alignment/>
      <protection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5" fontId="6" fillId="0" borderId="2" xfId="21" applyNumberFormat="1" applyFont="1" applyBorder="1">
      <alignment/>
      <protection/>
    </xf>
    <xf numFmtId="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69" fontId="4" fillId="0" borderId="0" xfId="21" applyNumberFormat="1" applyFont="1" applyBorder="1">
      <alignment/>
      <protection/>
    </xf>
    <xf numFmtId="5" fontId="6" fillId="0" borderId="0" xfId="21" applyNumberFormat="1" applyFont="1" applyAlignment="1" applyProtection="1">
      <alignment horizontal="center" wrapText="1"/>
      <protection locked="0"/>
    </xf>
    <xf numFmtId="37" fontId="6" fillId="0" borderId="0" xfId="2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37" fontId="6" fillId="0" borderId="0" xfId="21" applyFont="1" applyFill="1" applyBorder="1" applyAlignment="1">
      <alignment horizontal="right"/>
      <protection/>
    </xf>
    <xf numFmtId="37" fontId="9" fillId="0" borderId="0" xfId="21" applyFont="1" applyFill="1" applyBorder="1" applyAlignment="1">
      <alignment horizontal="left" wrapText="1"/>
      <protection/>
    </xf>
    <xf numFmtId="37" fontId="6" fillId="0" borderId="0" xfId="21" applyFont="1" applyAlignment="1">
      <alignment horizontal="right"/>
      <protection/>
    </xf>
    <xf numFmtId="37" fontId="4" fillId="0" borderId="0" xfId="21" applyFont="1" applyAlignment="1">
      <alignment horizontal="right"/>
      <protection/>
    </xf>
    <xf numFmtId="168" fontId="6" fillId="0" borderId="0" xfId="21" applyNumberFormat="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workbookViewId="0" topLeftCell="A1">
      <pane xSplit="2040" ySplit="2535" topLeftCell="C7" activePane="bottomRight" state="split"/>
      <selection pane="topLeft" activeCell="P79" sqref="P79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15.7109375" style="3" customWidth="1"/>
    <col min="2" max="2" width="5.7109375" style="3" customWidth="1"/>
    <col min="3" max="4" width="18.28125" style="3" customWidth="1"/>
    <col min="5" max="5" width="5.7109375" style="3" customWidth="1"/>
    <col min="6" max="8" width="18.28125" style="3" customWidth="1"/>
    <col min="9" max="9" width="5.7109375" style="3" customWidth="1"/>
    <col min="10" max="12" width="18.28125" style="3" customWidth="1"/>
    <col min="13" max="13" width="5.7109375" style="3" customWidth="1"/>
    <col min="14" max="14" width="18.28125" style="3" customWidth="1"/>
    <col min="15" max="15" width="5.7109375" style="3" customWidth="1"/>
    <col min="16" max="16" width="18.28125" style="3" customWidth="1"/>
    <col min="17" max="17" width="5.7109375" style="3" customWidth="1"/>
    <col min="18" max="20" width="18.28125" style="3" customWidth="1"/>
    <col min="21" max="16384" width="9.140625" style="3" customWidth="1"/>
  </cols>
  <sheetData>
    <row r="1" spans="1:3" s="19" customFormat="1" ht="31.5" customHeight="1">
      <c r="A1" s="1"/>
      <c r="C1" s="1" t="s">
        <v>94</v>
      </c>
    </row>
    <row r="2" spans="1:20" ht="22.5" customHeight="1">
      <c r="A2" s="29" t="s">
        <v>0</v>
      </c>
      <c r="B2" s="4"/>
      <c r="C2" s="5">
        <f>G92</f>
        <v>128466779</v>
      </c>
      <c r="D2" s="5">
        <f>G97</f>
        <v>49500000</v>
      </c>
      <c r="F2" s="5">
        <f>-F89</f>
        <v>10000000</v>
      </c>
      <c r="G2" s="5"/>
      <c r="H2" s="5"/>
      <c r="J2" s="5">
        <v>6000000</v>
      </c>
      <c r="K2" s="5"/>
      <c r="L2" s="5"/>
      <c r="N2" s="5"/>
      <c r="P2" s="5"/>
      <c r="R2" s="5"/>
      <c r="S2" s="5"/>
      <c r="T2" s="5"/>
    </row>
    <row r="3" spans="1:20" ht="12.75" customHeight="1">
      <c r="A3" s="29"/>
      <c r="B3" s="4"/>
      <c r="C3" s="27" t="s">
        <v>95</v>
      </c>
      <c r="D3" s="30" t="s">
        <v>96</v>
      </c>
      <c r="E3" s="20"/>
      <c r="F3" s="27" t="s">
        <v>97</v>
      </c>
      <c r="G3" s="27" t="s">
        <v>90</v>
      </c>
      <c r="H3" s="27" t="s">
        <v>91</v>
      </c>
      <c r="I3" s="20"/>
      <c r="J3" s="27" t="s">
        <v>103</v>
      </c>
      <c r="K3" s="27" t="s">
        <v>106</v>
      </c>
      <c r="L3" s="27" t="s">
        <v>107</v>
      </c>
      <c r="M3" s="21"/>
      <c r="N3" s="27" t="s">
        <v>93</v>
      </c>
      <c r="O3" s="21"/>
      <c r="P3" s="27" t="s">
        <v>98</v>
      </c>
      <c r="Q3" s="21"/>
      <c r="R3" s="27" t="s">
        <v>80</v>
      </c>
      <c r="S3" s="27" t="s">
        <v>79</v>
      </c>
      <c r="T3" s="27" t="s">
        <v>81</v>
      </c>
    </row>
    <row r="4" spans="1:20" ht="11.25">
      <c r="A4" s="29"/>
      <c r="B4" s="4"/>
      <c r="C4" s="28"/>
      <c r="D4" s="30"/>
      <c r="E4" s="20"/>
      <c r="F4" s="28"/>
      <c r="G4" s="28"/>
      <c r="H4" s="28"/>
      <c r="I4" s="20"/>
      <c r="J4" s="28"/>
      <c r="K4" s="28"/>
      <c r="L4" s="28"/>
      <c r="M4" s="21"/>
      <c r="N4" s="28"/>
      <c r="O4" s="21"/>
      <c r="P4" s="28"/>
      <c r="Q4" s="21"/>
      <c r="R4" s="28"/>
      <c r="S4" s="28"/>
      <c r="T4" s="28"/>
    </row>
    <row r="5" spans="1:20" s="21" customFormat="1" ht="24.75" customHeight="1">
      <c r="A5" s="29"/>
      <c r="B5" s="20"/>
      <c r="C5" s="28"/>
      <c r="D5" s="30"/>
      <c r="E5" s="20"/>
      <c r="F5" s="28"/>
      <c r="G5" s="28"/>
      <c r="H5" s="28"/>
      <c r="I5" s="20"/>
      <c r="J5" s="28"/>
      <c r="K5" s="28"/>
      <c r="L5" s="28"/>
      <c r="N5" s="28"/>
      <c r="P5" s="28"/>
      <c r="R5" s="28"/>
      <c r="S5" s="28"/>
      <c r="T5" s="28" t="s">
        <v>81</v>
      </c>
    </row>
    <row r="6" spans="1:20" s="8" customFormat="1" ht="11.25">
      <c r="A6" s="6"/>
      <c r="B6" s="7"/>
      <c r="C6" s="6" t="s">
        <v>71</v>
      </c>
      <c r="D6" s="6" t="s">
        <v>72</v>
      </c>
      <c r="E6" s="7"/>
      <c r="F6" s="6" t="s">
        <v>73</v>
      </c>
      <c r="G6" s="6" t="s">
        <v>77</v>
      </c>
      <c r="H6" s="6" t="s">
        <v>82</v>
      </c>
      <c r="I6" s="7"/>
      <c r="J6" s="6" t="s">
        <v>84</v>
      </c>
      <c r="K6" s="6" t="s">
        <v>85</v>
      </c>
      <c r="L6" s="6" t="s">
        <v>86</v>
      </c>
      <c r="N6" s="6" t="s">
        <v>87</v>
      </c>
      <c r="O6" s="6"/>
      <c r="P6" s="6" t="s">
        <v>104</v>
      </c>
      <c r="R6" s="6" t="s">
        <v>105</v>
      </c>
      <c r="S6" s="6" t="s">
        <v>108</v>
      </c>
      <c r="T6" s="6"/>
    </row>
    <row r="7" spans="1:9" ht="11.25">
      <c r="A7" s="2" t="s">
        <v>1</v>
      </c>
      <c r="B7" s="4"/>
      <c r="D7" s="9"/>
      <c r="E7" s="4"/>
      <c r="I7" s="4"/>
    </row>
    <row r="8" spans="1:20" ht="11.25">
      <c r="A8" s="2" t="s">
        <v>2</v>
      </c>
      <c r="B8" s="4"/>
      <c r="C8" s="22">
        <v>1239062</v>
      </c>
      <c r="D8" s="22">
        <f>472605+4822</f>
        <v>477427</v>
      </c>
      <c r="E8" s="4"/>
      <c r="F8" s="22">
        <v>96450</v>
      </c>
      <c r="G8" s="22">
        <v>0</v>
      </c>
      <c r="H8" s="22">
        <f aca="true" t="shared" si="0" ref="H8:H14">F8-G8</f>
        <v>96450</v>
      </c>
      <c r="I8" s="4"/>
      <c r="J8" s="22">
        <v>0</v>
      </c>
      <c r="K8" s="22">
        <v>0</v>
      </c>
      <c r="L8" s="22">
        <f aca="true" t="shared" si="1" ref="L8:L14">J8-K8</f>
        <v>0</v>
      </c>
      <c r="N8" s="22">
        <v>65163</v>
      </c>
      <c r="P8" s="22">
        <v>0</v>
      </c>
      <c r="R8" s="22">
        <f>C8+H8+L8+N8</f>
        <v>1400675</v>
      </c>
      <c r="S8" s="22">
        <f aca="true" t="shared" si="2" ref="S8:S14">D8+G8+K8+P8-N8</f>
        <v>412264</v>
      </c>
      <c r="T8" s="22">
        <f>R8+S8</f>
        <v>1812939</v>
      </c>
    </row>
    <row r="9" spans="1:20" ht="11.25">
      <c r="A9" s="2" t="s">
        <v>3</v>
      </c>
      <c r="B9" s="4"/>
      <c r="C9" s="22">
        <v>548691</v>
      </c>
      <c r="D9" s="22">
        <f>209283+2136</f>
        <v>211419</v>
      </c>
      <c r="E9" s="4"/>
      <c r="F9" s="22">
        <v>42711</v>
      </c>
      <c r="G9" s="22">
        <v>42711</v>
      </c>
      <c r="H9" s="22">
        <f t="shared" si="0"/>
        <v>0</v>
      </c>
      <c r="I9" s="4"/>
      <c r="J9" s="22">
        <v>0</v>
      </c>
      <c r="K9" s="22">
        <v>0</v>
      </c>
      <c r="L9" s="22">
        <f t="shared" si="1"/>
        <v>0</v>
      </c>
      <c r="N9" s="22">
        <v>0</v>
      </c>
      <c r="P9" s="22">
        <v>686</v>
      </c>
      <c r="R9" s="22">
        <f aca="true" t="shared" si="3" ref="R9:R14">C9+H9+L9+N9</f>
        <v>548691</v>
      </c>
      <c r="S9" s="22">
        <f t="shared" si="2"/>
        <v>254816</v>
      </c>
      <c r="T9" s="22">
        <f aca="true" t="shared" si="4" ref="T9:T72">R9+S9</f>
        <v>803507</v>
      </c>
    </row>
    <row r="10" spans="1:20" ht="11.25">
      <c r="A10" s="2" t="s">
        <v>4</v>
      </c>
      <c r="B10" s="4"/>
      <c r="C10" s="22">
        <v>2342783</v>
      </c>
      <c r="D10" s="22">
        <f>893588+9118</f>
        <v>902706</v>
      </c>
      <c r="E10" s="4"/>
      <c r="F10" s="22">
        <v>182365</v>
      </c>
      <c r="G10" s="22">
        <v>182365</v>
      </c>
      <c r="H10" s="22">
        <f t="shared" si="0"/>
        <v>0</v>
      </c>
      <c r="I10" s="4"/>
      <c r="J10" s="22">
        <v>0</v>
      </c>
      <c r="K10" s="22">
        <v>0</v>
      </c>
      <c r="L10" s="22">
        <f t="shared" si="1"/>
        <v>0</v>
      </c>
      <c r="N10" s="22">
        <v>0</v>
      </c>
      <c r="P10" s="22">
        <v>2931</v>
      </c>
      <c r="R10" s="22">
        <f t="shared" si="3"/>
        <v>2342783</v>
      </c>
      <c r="S10" s="22">
        <f t="shared" si="2"/>
        <v>1088002</v>
      </c>
      <c r="T10" s="22">
        <f t="shared" si="4"/>
        <v>3430785</v>
      </c>
    </row>
    <row r="11" spans="1:20" ht="11.25">
      <c r="A11" s="2" t="s">
        <v>5</v>
      </c>
      <c r="B11" s="4"/>
      <c r="C11" s="22">
        <v>321671</v>
      </c>
      <c r="D11" s="22">
        <f>122692+1252</f>
        <v>123944</v>
      </c>
      <c r="E11" s="4"/>
      <c r="F11" s="22">
        <v>25039</v>
      </c>
      <c r="G11" s="22">
        <v>25039</v>
      </c>
      <c r="H11" s="22">
        <f t="shared" si="0"/>
        <v>0</v>
      </c>
      <c r="I11" s="4"/>
      <c r="J11" s="22">
        <v>0</v>
      </c>
      <c r="K11" s="22">
        <v>0</v>
      </c>
      <c r="L11" s="22">
        <f t="shared" si="1"/>
        <v>0</v>
      </c>
      <c r="N11" s="22">
        <v>0</v>
      </c>
      <c r="P11" s="22">
        <v>403</v>
      </c>
      <c r="R11" s="22">
        <f t="shared" si="3"/>
        <v>321671</v>
      </c>
      <c r="S11" s="22">
        <f t="shared" si="2"/>
        <v>149386</v>
      </c>
      <c r="T11" s="22">
        <f t="shared" si="4"/>
        <v>471057</v>
      </c>
    </row>
    <row r="12" spans="1:20" ht="11.25">
      <c r="A12" s="2" t="s">
        <v>6</v>
      </c>
      <c r="B12" s="4"/>
      <c r="C12" s="22">
        <v>8736030</v>
      </c>
      <c r="D12" s="22">
        <f>3332110+34001</f>
        <v>3366111</v>
      </c>
      <c r="E12" s="4"/>
      <c r="F12" s="22">
        <v>680022</v>
      </c>
      <c r="G12" s="22">
        <v>629020</v>
      </c>
      <c r="H12" s="22">
        <f t="shared" si="0"/>
        <v>51002</v>
      </c>
      <c r="I12" s="4"/>
      <c r="J12" s="22">
        <v>0</v>
      </c>
      <c r="K12" s="22">
        <v>0</v>
      </c>
      <c r="L12" s="22">
        <f t="shared" si="1"/>
        <v>0</v>
      </c>
      <c r="N12" s="22">
        <v>0</v>
      </c>
      <c r="P12" s="22">
        <v>10923</v>
      </c>
      <c r="R12" s="22">
        <f t="shared" si="3"/>
        <v>8787032</v>
      </c>
      <c r="S12" s="22">
        <f t="shared" si="2"/>
        <v>4006054</v>
      </c>
      <c r="T12" s="22">
        <f t="shared" si="4"/>
        <v>12793086</v>
      </c>
    </row>
    <row r="13" spans="1:20" ht="11.25">
      <c r="A13" s="2" t="s">
        <v>7</v>
      </c>
      <c r="B13" s="4"/>
      <c r="C13" s="22">
        <v>426160</v>
      </c>
      <c r="D13" s="22">
        <f>162547+1659</f>
        <v>164206</v>
      </c>
      <c r="E13" s="4"/>
      <c r="F13" s="22">
        <v>33173</v>
      </c>
      <c r="G13" s="22">
        <v>33173</v>
      </c>
      <c r="H13" s="22">
        <f t="shared" si="0"/>
        <v>0</v>
      </c>
      <c r="I13" s="4"/>
      <c r="J13" s="22">
        <v>0</v>
      </c>
      <c r="K13" s="22">
        <v>0</v>
      </c>
      <c r="L13" s="22">
        <f t="shared" si="1"/>
        <v>0</v>
      </c>
      <c r="N13" s="22">
        <v>0</v>
      </c>
      <c r="P13" s="22">
        <v>533</v>
      </c>
      <c r="R13" s="22">
        <f t="shared" si="3"/>
        <v>426160</v>
      </c>
      <c r="S13" s="22">
        <f t="shared" si="2"/>
        <v>197912</v>
      </c>
      <c r="T13" s="22">
        <f t="shared" si="4"/>
        <v>624072</v>
      </c>
    </row>
    <row r="14" spans="1:20" ht="12" thickBot="1">
      <c r="A14" s="2" t="s">
        <v>8</v>
      </c>
      <c r="B14" s="4"/>
      <c r="C14" s="22">
        <v>188634</v>
      </c>
      <c r="D14" s="22">
        <f>71949+735</f>
        <v>72684</v>
      </c>
      <c r="E14" s="4"/>
      <c r="F14" s="22">
        <v>14683</v>
      </c>
      <c r="G14" s="22">
        <v>14683</v>
      </c>
      <c r="H14" s="22">
        <f t="shared" si="0"/>
        <v>0</v>
      </c>
      <c r="I14" s="4"/>
      <c r="J14" s="22">
        <v>0</v>
      </c>
      <c r="K14" s="22">
        <v>0</v>
      </c>
      <c r="L14" s="22">
        <f t="shared" si="1"/>
        <v>0</v>
      </c>
      <c r="N14" s="22">
        <v>0</v>
      </c>
      <c r="P14" s="22">
        <v>237</v>
      </c>
      <c r="R14" s="22">
        <f t="shared" si="3"/>
        <v>188634</v>
      </c>
      <c r="S14" s="22">
        <f t="shared" si="2"/>
        <v>87604</v>
      </c>
      <c r="T14" s="22">
        <f t="shared" si="4"/>
        <v>276238</v>
      </c>
    </row>
    <row r="15" spans="1:20" ht="12" thickBot="1">
      <c r="A15" s="2" t="s">
        <v>9</v>
      </c>
      <c r="B15" s="4"/>
      <c r="C15" s="10">
        <f>SUM(C8:C14)</f>
        <v>13803031</v>
      </c>
      <c r="D15" s="10">
        <f>SUM(D8:D14)</f>
        <v>5318497</v>
      </c>
      <c r="E15" s="4"/>
      <c r="F15" s="24">
        <f>SUM(F8:F14)</f>
        <v>1074443</v>
      </c>
      <c r="G15" s="10">
        <f>SUM(G8:G14)</f>
        <v>926991</v>
      </c>
      <c r="H15" s="10">
        <f>SUM(H8:H14)</f>
        <v>147452</v>
      </c>
      <c r="I15" s="4"/>
      <c r="J15" s="24">
        <f>SUM(J8:J14)</f>
        <v>0</v>
      </c>
      <c r="K15" s="10">
        <f>SUM(K8:K14)</f>
        <v>0</v>
      </c>
      <c r="L15" s="10">
        <f>SUM(L8:L14)</f>
        <v>0</v>
      </c>
      <c r="N15" s="10">
        <f>SUM(N8:N14)</f>
        <v>65163</v>
      </c>
      <c r="P15" s="10">
        <f>SUM(P8:P14)</f>
        <v>15713</v>
      </c>
      <c r="R15" s="10">
        <f>SUM(R8:R14)</f>
        <v>14015646</v>
      </c>
      <c r="S15" s="10">
        <f>SUM(S8:S14)</f>
        <v>6196038</v>
      </c>
      <c r="T15" s="10">
        <f>SUM(T8:T14)</f>
        <v>20211684</v>
      </c>
    </row>
    <row r="16" spans="1:20" ht="12" thickTop="1">
      <c r="A16" s="2"/>
      <c r="B16" s="4"/>
      <c r="C16" s="2"/>
      <c r="D16" s="2"/>
      <c r="E16" s="4"/>
      <c r="F16" s="25"/>
      <c r="G16" s="2"/>
      <c r="H16" s="2"/>
      <c r="I16" s="4"/>
      <c r="J16" s="25"/>
      <c r="K16" s="2"/>
      <c r="L16" s="2"/>
      <c r="N16" s="2"/>
      <c r="P16" s="2"/>
      <c r="R16" s="2"/>
      <c r="S16" s="2"/>
      <c r="T16" s="2"/>
    </row>
    <row r="17" spans="1:20" ht="11.25">
      <c r="A17" s="2" t="s">
        <v>10</v>
      </c>
      <c r="B17" s="4"/>
      <c r="C17" s="2"/>
      <c r="D17" s="2"/>
      <c r="E17" s="4"/>
      <c r="F17" s="25"/>
      <c r="G17" s="2"/>
      <c r="H17" s="2"/>
      <c r="I17" s="4"/>
      <c r="J17" s="25"/>
      <c r="K17" s="2"/>
      <c r="L17" s="2"/>
      <c r="N17" s="2"/>
      <c r="P17" s="2"/>
      <c r="R17" s="2"/>
      <c r="S17" s="2"/>
      <c r="T17" s="2"/>
    </row>
    <row r="18" spans="1:20" ht="11.25">
      <c r="A18" s="2" t="s">
        <v>11</v>
      </c>
      <c r="B18" s="4"/>
      <c r="C18" s="22">
        <v>259228</v>
      </c>
      <c r="D18" s="22">
        <f>98875+1009</f>
        <v>99884</v>
      </c>
      <c r="E18" s="4"/>
      <c r="F18" s="22">
        <v>20179</v>
      </c>
      <c r="G18" s="22">
        <v>20179</v>
      </c>
      <c r="H18" s="22">
        <f aca="true" t="shared" si="5" ref="H18:H26">F18-G18</f>
        <v>0</v>
      </c>
      <c r="I18" s="4"/>
      <c r="J18" s="22">
        <v>0</v>
      </c>
      <c r="K18" s="22">
        <v>0</v>
      </c>
      <c r="L18" s="22">
        <f aca="true" t="shared" si="6" ref="L18:L26">J18-K18</f>
        <v>0</v>
      </c>
      <c r="N18" s="22">
        <v>0</v>
      </c>
      <c r="P18" s="25">
        <v>324</v>
      </c>
      <c r="R18" s="22">
        <f aca="true" t="shared" si="7" ref="R18:R26">C18+H18+L18+N18</f>
        <v>259228</v>
      </c>
      <c r="S18" s="22">
        <f aca="true" t="shared" si="8" ref="S18:S26">D18+G18+K18+P18-N18</f>
        <v>120387</v>
      </c>
      <c r="T18" s="22">
        <f t="shared" si="4"/>
        <v>379615</v>
      </c>
    </row>
    <row r="19" spans="1:20" ht="11.25">
      <c r="A19" s="2" t="s">
        <v>12</v>
      </c>
      <c r="B19" s="4"/>
      <c r="C19" s="22">
        <v>337258</v>
      </c>
      <c r="D19" s="22">
        <f>128638+1313</f>
        <v>129951</v>
      </c>
      <c r="E19" s="4"/>
      <c r="F19" s="22">
        <v>26253</v>
      </c>
      <c r="G19" s="22">
        <v>26253</v>
      </c>
      <c r="H19" s="22">
        <f t="shared" si="5"/>
        <v>0</v>
      </c>
      <c r="I19" s="4"/>
      <c r="J19" s="22">
        <v>0</v>
      </c>
      <c r="K19" s="22">
        <v>0</v>
      </c>
      <c r="L19" s="22">
        <f t="shared" si="6"/>
        <v>0</v>
      </c>
      <c r="N19" s="22">
        <v>0</v>
      </c>
      <c r="P19" s="25">
        <v>422</v>
      </c>
      <c r="R19" s="22">
        <f t="shared" si="7"/>
        <v>337258</v>
      </c>
      <c r="S19" s="22">
        <f t="shared" si="8"/>
        <v>156626</v>
      </c>
      <c r="T19" s="22">
        <f t="shared" si="4"/>
        <v>493884</v>
      </c>
    </row>
    <row r="20" spans="1:20" ht="11.25">
      <c r="A20" s="2" t="s">
        <v>13</v>
      </c>
      <c r="B20" s="4"/>
      <c r="C20" s="22">
        <v>1798940</v>
      </c>
      <c r="D20" s="22">
        <f>686155+7002</f>
        <v>693157</v>
      </c>
      <c r="E20" s="4"/>
      <c r="F20" s="22">
        <v>140032</v>
      </c>
      <c r="G20" s="22">
        <v>140032</v>
      </c>
      <c r="H20" s="22">
        <f t="shared" si="5"/>
        <v>0</v>
      </c>
      <c r="I20" s="4"/>
      <c r="J20" s="22">
        <v>0</v>
      </c>
      <c r="K20" s="22">
        <v>0</v>
      </c>
      <c r="L20" s="22">
        <f t="shared" si="6"/>
        <v>0</v>
      </c>
      <c r="N20" s="22">
        <v>0</v>
      </c>
      <c r="P20" s="22">
        <v>2250</v>
      </c>
      <c r="R20" s="22">
        <f t="shared" si="7"/>
        <v>1798940</v>
      </c>
      <c r="S20" s="22">
        <f t="shared" si="8"/>
        <v>835439</v>
      </c>
      <c r="T20" s="22">
        <f t="shared" si="4"/>
        <v>2634379</v>
      </c>
    </row>
    <row r="21" spans="1:20" ht="11.25">
      <c r="A21" s="2" t="s">
        <v>14</v>
      </c>
      <c r="B21" s="4"/>
      <c r="C21" s="22">
        <v>2616679</v>
      </c>
      <c r="D21" s="22">
        <f>998058+10184</f>
        <v>1008242</v>
      </c>
      <c r="E21" s="4"/>
      <c r="F21" s="22">
        <v>203685</v>
      </c>
      <c r="G21" s="22">
        <v>101842</v>
      </c>
      <c r="H21" s="22">
        <f t="shared" si="5"/>
        <v>101843</v>
      </c>
      <c r="I21" s="4"/>
      <c r="J21" s="22">
        <v>0</v>
      </c>
      <c r="K21" s="22">
        <v>0</v>
      </c>
      <c r="L21" s="22">
        <f t="shared" si="6"/>
        <v>0</v>
      </c>
      <c r="N21" s="22">
        <v>0</v>
      </c>
      <c r="P21" s="22">
        <v>3273</v>
      </c>
      <c r="R21" s="22">
        <f t="shared" si="7"/>
        <v>2718522</v>
      </c>
      <c r="S21" s="22">
        <f t="shared" si="8"/>
        <v>1113357</v>
      </c>
      <c r="T21" s="22">
        <f t="shared" si="4"/>
        <v>3831879</v>
      </c>
    </row>
    <row r="22" spans="1:20" ht="11.25">
      <c r="A22" s="2" t="s">
        <v>15</v>
      </c>
      <c r="B22" s="4"/>
      <c r="C22" s="22">
        <v>4679512</v>
      </c>
      <c r="D22" s="22">
        <f>1784867+18213</f>
        <v>1803080</v>
      </c>
      <c r="E22" s="4"/>
      <c r="F22" s="22">
        <v>364259</v>
      </c>
      <c r="G22" s="22">
        <v>364259</v>
      </c>
      <c r="H22" s="22">
        <f t="shared" si="5"/>
        <v>0</v>
      </c>
      <c r="I22" s="4"/>
      <c r="J22" s="22">
        <v>0</v>
      </c>
      <c r="K22" s="22">
        <v>0</v>
      </c>
      <c r="L22" s="22">
        <f t="shared" si="6"/>
        <v>0</v>
      </c>
      <c r="N22" s="22">
        <v>0</v>
      </c>
      <c r="P22" s="22">
        <v>5853</v>
      </c>
      <c r="R22" s="22">
        <f t="shared" si="7"/>
        <v>4679512</v>
      </c>
      <c r="S22" s="22">
        <f t="shared" si="8"/>
        <v>2173192</v>
      </c>
      <c r="T22" s="22">
        <f t="shared" si="4"/>
        <v>6852704</v>
      </c>
    </row>
    <row r="23" spans="1:20" ht="11.25">
      <c r="A23" s="2" t="s">
        <v>16</v>
      </c>
      <c r="B23" s="4"/>
      <c r="C23" s="22">
        <v>4790488</v>
      </c>
      <c r="D23" s="22">
        <f>1827196+18645</f>
        <v>1845841</v>
      </c>
      <c r="E23" s="4"/>
      <c r="F23" s="22">
        <v>372897</v>
      </c>
      <c r="G23" s="22">
        <v>372897</v>
      </c>
      <c r="H23" s="22">
        <f t="shared" si="5"/>
        <v>0</v>
      </c>
      <c r="I23" s="4"/>
      <c r="J23" s="22">
        <v>0</v>
      </c>
      <c r="K23" s="22">
        <v>0</v>
      </c>
      <c r="L23" s="22">
        <f t="shared" si="6"/>
        <v>0</v>
      </c>
      <c r="N23" s="22">
        <v>0</v>
      </c>
      <c r="P23" s="22">
        <v>5987</v>
      </c>
      <c r="R23" s="22">
        <f t="shared" si="7"/>
        <v>4790488</v>
      </c>
      <c r="S23" s="22">
        <f t="shared" si="8"/>
        <v>2224725</v>
      </c>
      <c r="T23" s="22">
        <f t="shared" si="4"/>
        <v>7015213</v>
      </c>
    </row>
    <row r="24" spans="1:20" ht="11.25">
      <c r="A24" s="2" t="s">
        <v>17</v>
      </c>
      <c r="B24" s="4"/>
      <c r="C24" s="22">
        <v>2383804</v>
      </c>
      <c r="D24" s="22">
        <f>909234+9278</f>
        <v>918512</v>
      </c>
      <c r="E24" s="4"/>
      <c r="F24" s="22">
        <v>185558</v>
      </c>
      <c r="G24" s="22">
        <v>185558</v>
      </c>
      <c r="H24" s="22">
        <f t="shared" si="5"/>
        <v>0</v>
      </c>
      <c r="I24" s="4"/>
      <c r="J24" s="22">
        <v>0</v>
      </c>
      <c r="K24" s="22">
        <v>0</v>
      </c>
      <c r="L24" s="22">
        <f t="shared" si="6"/>
        <v>0</v>
      </c>
      <c r="N24" s="22">
        <v>0</v>
      </c>
      <c r="P24" s="22">
        <v>2981</v>
      </c>
      <c r="R24" s="22">
        <f t="shared" si="7"/>
        <v>2383804</v>
      </c>
      <c r="S24" s="22">
        <f t="shared" si="8"/>
        <v>1107051</v>
      </c>
      <c r="T24" s="22">
        <f t="shared" si="4"/>
        <v>3490855</v>
      </c>
    </row>
    <row r="25" spans="1:20" ht="11.25">
      <c r="A25" s="2" t="s">
        <v>18</v>
      </c>
      <c r="B25" s="4"/>
      <c r="C25" s="22">
        <v>48890</v>
      </c>
      <c r="D25" s="22">
        <f>18648+190</f>
        <v>18838</v>
      </c>
      <c r="E25" s="4"/>
      <c r="F25" s="22">
        <v>3806</v>
      </c>
      <c r="G25" s="22">
        <v>3806</v>
      </c>
      <c r="H25" s="22">
        <f t="shared" si="5"/>
        <v>0</v>
      </c>
      <c r="I25" s="4"/>
      <c r="J25" s="22">
        <v>0</v>
      </c>
      <c r="K25" s="22">
        <v>0</v>
      </c>
      <c r="L25" s="22">
        <f t="shared" si="6"/>
        <v>0</v>
      </c>
      <c r="N25" s="22">
        <v>0</v>
      </c>
      <c r="P25" s="25">
        <v>61</v>
      </c>
      <c r="R25" s="22">
        <f t="shared" si="7"/>
        <v>48890</v>
      </c>
      <c r="S25" s="22">
        <f t="shared" si="8"/>
        <v>22705</v>
      </c>
      <c r="T25" s="22">
        <f t="shared" si="4"/>
        <v>71595</v>
      </c>
    </row>
    <row r="26" spans="1:20" ht="12" thickBot="1">
      <c r="A26" s="2" t="s">
        <v>19</v>
      </c>
      <c r="B26" s="4"/>
      <c r="C26" s="22">
        <v>844355</v>
      </c>
      <c r="D26" s="22">
        <f>322055+3286</f>
        <v>325341</v>
      </c>
      <c r="E26" s="4"/>
      <c r="F26" s="22">
        <v>65726</v>
      </c>
      <c r="G26" s="22">
        <v>65726</v>
      </c>
      <c r="H26" s="22">
        <f t="shared" si="5"/>
        <v>0</v>
      </c>
      <c r="I26" s="4"/>
      <c r="J26" s="22">
        <v>0</v>
      </c>
      <c r="K26" s="22">
        <v>0</v>
      </c>
      <c r="L26" s="22">
        <f t="shared" si="6"/>
        <v>0</v>
      </c>
      <c r="N26" s="22">
        <v>0</v>
      </c>
      <c r="P26" s="22">
        <v>1056</v>
      </c>
      <c r="R26" s="22">
        <f t="shared" si="7"/>
        <v>844355</v>
      </c>
      <c r="S26" s="22">
        <f t="shared" si="8"/>
        <v>392123</v>
      </c>
      <c r="T26" s="22">
        <f t="shared" si="4"/>
        <v>1236478</v>
      </c>
    </row>
    <row r="27" spans="1:20" ht="12" thickBot="1">
      <c r="A27" s="2" t="s">
        <v>20</v>
      </c>
      <c r="B27" s="4"/>
      <c r="C27" s="10">
        <f>SUM(C18:C26)</f>
        <v>17759154</v>
      </c>
      <c r="D27" s="10">
        <f>SUM(D18:D26)</f>
        <v>6842846</v>
      </c>
      <c r="E27" s="4"/>
      <c r="F27" s="24">
        <f>SUM(F18:F26)</f>
        <v>1382395</v>
      </c>
      <c r="G27" s="10">
        <f>SUM(G18:G26)</f>
        <v>1280552</v>
      </c>
      <c r="H27" s="10">
        <f>SUM(H18:H26)</f>
        <v>101843</v>
      </c>
      <c r="I27" s="4"/>
      <c r="J27" s="24">
        <f>SUM(J18:J26)</f>
        <v>0</v>
      </c>
      <c r="K27" s="10">
        <f>SUM(K18:K26)</f>
        <v>0</v>
      </c>
      <c r="L27" s="10">
        <f>SUM(L18:L26)</f>
        <v>0</v>
      </c>
      <c r="N27" s="10">
        <f>SUM(N18:N26)</f>
        <v>0</v>
      </c>
      <c r="P27" s="10">
        <f>SUM(P18:P26)</f>
        <v>22207</v>
      </c>
      <c r="R27" s="10">
        <f>SUM(R18:R26)</f>
        <v>17860997</v>
      </c>
      <c r="S27" s="10">
        <f>SUM(S18:S26)</f>
        <v>8145605</v>
      </c>
      <c r="T27" s="10">
        <f>SUM(T18:T26)</f>
        <v>26006602</v>
      </c>
    </row>
    <row r="28" spans="1:20" ht="12" thickTop="1">
      <c r="A28" s="2"/>
      <c r="B28" s="4"/>
      <c r="C28" s="2"/>
      <c r="D28" s="2"/>
      <c r="E28" s="4"/>
      <c r="F28" s="25"/>
      <c r="G28" s="2"/>
      <c r="H28" s="2"/>
      <c r="I28" s="4"/>
      <c r="J28" s="25"/>
      <c r="K28" s="2"/>
      <c r="L28" s="2"/>
      <c r="N28" s="2"/>
      <c r="P28" s="2"/>
      <c r="R28" s="2"/>
      <c r="S28" s="2"/>
      <c r="T28" s="2"/>
    </row>
    <row r="29" spans="1:20" ht="11.25">
      <c r="A29" s="11" t="s">
        <v>21</v>
      </c>
      <c r="B29" s="4"/>
      <c r="C29" s="2"/>
      <c r="D29" s="2"/>
      <c r="E29" s="4"/>
      <c r="F29" s="25"/>
      <c r="G29" s="2"/>
      <c r="H29" s="2"/>
      <c r="I29" s="4"/>
      <c r="J29" s="25"/>
      <c r="K29" s="2"/>
      <c r="L29" s="2"/>
      <c r="N29" s="2"/>
      <c r="P29" s="2"/>
      <c r="R29" s="2"/>
      <c r="S29" s="2"/>
      <c r="T29" s="2"/>
    </row>
    <row r="30" spans="1:20" ht="11.25">
      <c r="A30" s="2" t="s">
        <v>22</v>
      </c>
      <c r="B30" s="4"/>
      <c r="C30" s="22">
        <v>2016069</v>
      </c>
      <c r="D30" s="22">
        <f>768972+7847</f>
        <v>776819</v>
      </c>
      <c r="E30" s="4"/>
      <c r="F30" s="22">
        <v>156933</v>
      </c>
      <c r="G30" s="22">
        <v>0</v>
      </c>
      <c r="H30" s="22">
        <f aca="true" t="shared" si="9" ref="H30:H37">F30-G30</f>
        <v>156933</v>
      </c>
      <c r="I30" s="4"/>
      <c r="J30" s="22">
        <v>495479</v>
      </c>
      <c r="K30" s="22">
        <v>0</v>
      </c>
      <c r="L30" s="22">
        <f aca="true" t="shared" si="10" ref="L30:L37">J30-K30</f>
        <v>495479</v>
      </c>
      <c r="N30" s="22">
        <v>0</v>
      </c>
      <c r="P30" s="22">
        <v>2520</v>
      </c>
      <c r="R30" s="22">
        <f aca="true" t="shared" si="11" ref="R30:R37">C30+H30+L30+N30</f>
        <v>2668481</v>
      </c>
      <c r="S30" s="22">
        <f aca="true" t="shared" si="12" ref="S30:S37">D30+G30+K30+P30-N30</f>
        <v>779339</v>
      </c>
      <c r="T30" s="22">
        <f t="shared" si="4"/>
        <v>3447820</v>
      </c>
    </row>
    <row r="31" spans="1:20" ht="11.25">
      <c r="A31" s="2" t="s">
        <v>23</v>
      </c>
      <c r="B31" s="4"/>
      <c r="C31" s="22">
        <v>6526715</v>
      </c>
      <c r="D31" s="22">
        <f>2489430+25402</f>
        <v>2514832</v>
      </c>
      <c r="E31" s="4"/>
      <c r="F31" s="22">
        <v>508047</v>
      </c>
      <c r="G31" s="22">
        <v>0</v>
      </c>
      <c r="H31" s="22">
        <f t="shared" si="9"/>
        <v>508047</v>
      </c>
      <c r="I31" s="4"/>
      <c r="J31" s="22">
        <v>103535</v>
      </c>
      <c r="K31" s="22">
        <v>0</v>
      </c>
      <c r="L31" s="22">
        <f t="shared" si="10"/>
        <v>103535</v>
      </c>
      <c r="N31" s="22">
        <v>0</v>
      </c>
      <c r="P31" s="22">
        <v>8161</v>
      </c>
      <c r="R31" s="22">
        <f t="shared" si="11"/>
        <v>7138297</v>
      </c>
      <c r="S31" s="22">
        <f t="shared" si="12"/>
        <v>2522993</v>
      </c>
      <c r="T31" s="22">
        <f t="shared" si="4"/>
        <v>9661290</v>
      </c>
    </row>
    <row r="32" spans="1:20" ht="11.25">
      <c r="A32" s="2" t="s">
        <v>24</v>
      </c>
      <c r="B32" s="4"/>
      <c r="C32" s="22">
        <v>3669199</v>
      </c>
      <c r="D32" s="22">
        <f>1399511+14281</f>
        <v>1413792</v>
      </c>
      <c r="E32" s="4"/>
      <c r="F32" s="22">
        <v>285615</v>
      </c>
      <c r="G32" s="22">
        <v>285615</v>
      </c>
      <c r="H32" s="22">
        <f t="shared" si="9"/>
        <v>0</v>
      </c>
      <c r="I32" s="4"/>
      <c r="J32" s="22">
        <v>139906</v>
      </c>
      <c r="K32" s="22">
        <v>0</v>
      </c>
      <c r="L32" s="22">
        <f t="shared" si="10"/>
        <v>139906</v>
      </c>
      <c r="N32" s="22">
        <v>0</v>
      </c>
      <c r="P32" s="22">
        <v>4589</v>
      </c>
      <c r="R32" s="22">
        <f t="shared" si="11"/>
        <v>3809105</v>
      </c>
      <c r="S32" s="22">
        <f t="shared" si="12"/>
        <v>1703996</v>
      </c>
      <c r="T32" s="22">
        <f t="shared" si="4"/>
        <v>5513101</v>
      </c>
    </row>
    <row r="33" spans="1:20" ht="11.25">
      <c r="A33" s="2" t="s">
        <v>25</v>
      </c>
      <c r="B33" s="4"/>
      <c r="C33" s="22">
        <v>2048193</v>
      </c>
      <c r="D33" s="22">
        <f>781225+7972</f>
        <v>789197</v>
      </c>
      <c r="E33" s="4"/>
      <c r="F33" s="22">
        <v>159434</v>
      </c>
      <c r="G33" s="22">
        <v>159434</v>
      </c>
      <c r="H33" s="22">
        <f t="shared" si="9"/>
        <v>0</v>
      </c>
      <c r="I33" s="4"/>
      <c r="J33" s="22">
        <v>0</v>
      </c>
      <c r="K33" s="22">
        <v>0</v>
      </c>
      <c r="L33" s="22">
        <f t="shared" si="10"/>
        <v>0</v>
      </c>
      <c r="N33" s="22">
        <v>0</v>
      </c>
      <c r="P33" s="22">
        <v>2561</v>
      </c>
      <c r="R33" s="22">
        <f t="shared" si="11"/>
        <v>2048193</v>
      </c>
      <c r="S33" s="22">
        <f t="shared" si="12"/>
        <v>951192</v>
      </c>
      <c r="T33" s="22">
        <f t="shared" si="4"/>
        <v>2999385</v>
      </c>
    </row>
    <row r="34" spans="1:20" ht="11.25">
      <c r="A34" s="2" t="s">
        <v>26</v>
      </c>
      <c r="B34" s="4"/>
      <c r="C34" s="22">
        <v>1637368</v>
      </c>
      <c r="D34" s="22">
        <f>624528+6373</f>
        <v>630901</v>
      </c>
      <c r="E34" s="4"/>
      <c r="F34" s="22">
        <v>127455</v>
      </c>
      <c r="G34" s="22">
        <v>127455</v>
      </c>
      <c r="H34" s="22">
        <f t="shared" si="9"/>
        <v>0</v>
      </c>
      <c r="I34" s="4"/>
      <c r="J34" s="22">
        <v>1836239</v>
      </c>
      <c r="K34" s="22">
        <v>92214</v>
      </c>
      <c r="L34" s="22">
        <f t="shared" si="10"/>
        <v>1744025</v>
      </c>
      <c r="N34" s="22">
        <v>0</v>
      </c>
      <c r="P34" s="25">
        <v>0</v>
      </c>
      <c r="R34" s="22">
        <f t="shared" si="11"/>
        <v>3381393</v>
      </c>
      <c r="S34" s="22">
        <f t="shared" si="12"/>
        <v>850570</v>
      </c>
      <c r="T34" s="22">
        <f t="shared" si="4"/>
        <v>4231963</v>
      </c>
    </row>
    <row r="35" spans="1:20" ht="11.25">
      <c r="A35" s="2" t="s">
        <v>27</v>
      </c>
      <c r="B35" s="4"/>
      <c r="C35" s="22">
        <v>4044818</v>
      </c>
      <c r="D35" s="22">
        <f>1542781+15743</f>
        <v>1558524</v>
      </c>
      <c r="E35" s="4"/>
      <c r="F35" s="22">
        <v>314853</v>
      </c>
      <c r="G35" s="22">
        <v>0</v>
      </c>
      <c r="H35" s="22">
        <f t="shared" si="9"/>
        <v>314853</v>
      </c>
      <c r="I35" s="4"/>
      <c r="J35" s="22">
        <v>0</v>
      </c>
      <c r="K35" s="22">
        <v>0</v>
      </c>
      <c r="L35" s="22">
        <f t="shared" si="10"/>
        <v>0</v>
      </c>
      <c r="N35" s="22">
        <v>0</v>
      </c>
      <c r="P35" s="22">
        <v>5058</v>
      </c>
      <c r="R35" s="22">
        <f t="shared" si="11"/>
        <v>4359671</v>
      </c>
      <c r="S35" s="22">
        <f t="shared" si="12"/>
        <v>1563582</v>
      </c>
      <c r="T35" s="22">
        <f t="shared" si="4"/>
        <v>5923253</v>
      </c>
    </row>
    <row r="36" spans="1:20" ht="11.25">
      <c r="A36" s="2" t="s">
        <v>28</v>
      </c>
      <c r="B36" s="4"/>
      <c r="C36" s="22">
        <v>2010329</v>
      </c>
      <c r="D36" s="22">
        <f>766783+7824</f>
        <v>774607</v>
      </c>
      <c r="E36" s="4"/>
      <c r="F36" s="22">
        <v>156486</v>
      </c>
      <c r="G36" s="22">
        <v>156486</v>
      </c>
      <c r="H36" s="22">
        <f t="shared" si="9"/>
        <v>0</v>
      </c>
      <c r="I36" s="4"/>
      <c r="J36" s="22">
        <v>0</v>
      </c>
      <c r="K36" s="22">
        <v>0</v>
      </c>
      <c r="L36" s="22">
        <f t="shared" si="10"/>
        <v>0</v>
      </c>
      <c r="N36" s="22">
        <v>0</v>
      </c>
      <c r="P36" s="22">
        <v>2514</v>
      </c>
      <c r="R36" s="22">
        <f t="shared" si="11"/>
        <v>2010329</v>
      </c>
      <c r="S36" s="22">
        <f t="shared" si="12"/>
        <v>933607</v>
      </c>
      <c r="T36" s="22">
        <f t="shared" si="4"/>
        <v>2943936</v>
      </c>
    </row>
    <row r="37" spans="1:20" ht="12" thickBot="1">
      <c r="A37" s="2" t="s">
        <v>29</v>
      </c>
      <c r="B37" s="4"/>
      <c r="C37" s="22">
        <v>2896370</v>
      </c>
      <c r="D37" s="22">
        <f>1104738+11273</f>
        <v>1116011</v>
      </c>
      <c r="E37" s="4"/>
      <c r="F37" s="22">
        <v>225457</v>
      </c>
      <c r="G37" s="22">
        <v>225457</v>
      </c>
      <c r="H37" s="22">
        <f t="shared" si="9"/>
        <v>0</v>
      </c>
      <c r="I37" s="4"/>
      <c r="J37" s="22">
        <v>57513</v>
      </c>
      <c r="K37" s="22">
        <v>0</v>
      </c>
      <c r="L37" s="22">
        <f t="shared" si="10"/>
        <v>57513</v>
      </c>
      <c r="N37" s="22">
        <v>0</v>
      </c>
      <c r="P37" s="22">
        <v>3622</v>
      </c>
      <c r="R37" s="22">
        <f t="shared" si="11"/>
        <v>2953883</v>
      </c>
      <c r="S37" s="22">
        <f t="shared" si="12"/>
        <v>1345090</v>
      </c>
      <c r="T37" s="22">
        <f t="shared" si="4"/>
        <v>4298973</v>
      </c>
    </row>
    <row r="38" spans="1:20" ht="12" thickBot="1">
      <c r="A38" s="2" t="s">
        <v>30</v>
      </c>
      <c r="B38" s="4"/>
      <c r="C38" s="10">
        <f>SUM(C30:C37)</f>
        <v>24849061</v>
      </c>
      <c r="D38" s="10">
        <f>SUM(D30:D37)</f>
        <v>9574683</v>
      </c>
      <c r="E38" s="4"/>
      <c r="F38" s="24">
        <f>SUM(F30:F37)</f>
        <v>1934280</v>
      </c>
      <c r="G38" s="10">
        <f>SUM(G30:G37)</f>
        <v>954447</v>
      </c>
      <c r="H38" s="10">
        <f>SUM(H30:H37)</f>
        <v>979833</v>
      </c>
      <c r="I38" s="4"/>
      <c r="J38" s="24">
        <f>SUM(J30:J37)</f>
        <v>2632672</v>
      </c>
      <c r="K38" s="10">
        <f>SUM(K30:K37)</f>
        <v>92214</v>
      </c>
      <c r="L38" s="10">
        <f>SUM(L30:L37)</f>
        <v>2540458</v>
      </c>
      <c r="N38" s="10">
        <f>SUM(N30:N37)</f>
        <v>0</v>
      </c>
      <c r="P38" s="10">
        <f>SUM(P30:P37)</f>
        <v>29025</v>
      </c>
      <c r="R38" s="10">
        <f>SUM(R30:R37)</f>
        <v>28369352</v>
      </c>
      <c r="S38" s="10">
        <f>SUM(S30:S37)</f>
        <v>10650369</v>
      </c>
      <c r="T38" s="10">
        <f>SUM(T30:T37)</f>
        <v>39019721</v>
      </c>
    </row>
    <row r="39" spans="1:20" ht="12" thickTop="1">
      <c r="A39" s="2"/>
      <c r="B39" s="4"/>
      <c r="C39" s="2"/>
      <c r="D39" s="2"/>
      <c r="E39" s="4"/>
      <c r="F39" s="25"/>
      <c r="G39" s="2"/>
      <c r="H39" s="2"/>
      <c r="I39" s="4"/>
      <c r="J39" s="25"/>
      <c r="K39" s="2"/>
      <c r="L39" s="2"/>
      <c r="N39" s="2"/>
      <c r="P39" s="2"/>
      <c r="R39" s="2"/>
      <c r="S39" s="2"/>
      <c r="T39" s="2"/>
    </row>
    <row r="40" spans="1:20" ht="11.25">
      <c r="A40" s="11" t="s">
        <v>31</v>
      </c>
      <c r="B40" s="4"/>
      <c r="C40" s="2"/>
      <c r="D40" s="2"/>
      <c r="E40" s="4"/>
      <c r="F40" s="25"/>
      <c r="G40" s="2"/>
      <c r="H40" s="2"/>
      <c r="I40" s="4"/>
      <c r="J40" s="25"/>
      <c r="K40" s="2"/>
      <c r="L40" s="2"/>
      <c r="N40" s="2"/>
      <c r="P40" s="2"/>
      <c r="R40" s="2"/>
      <c r="S40" s="2"/>
      <c r="T40" s="2"/>
    </row>
    <row r="41" spans="1:20" ht="11.25">
      <c r="A41" s="2" t="s">
        <v>32</v>
      </c>
      <c r="B41" s="4"/>
      <c r="C41" s="22">
        <v>5760822</v>
      </c>
      <c r="D41" s="22">
        <f>2197302+22421</f>
        <v>2219723</v>
      </c>
      <c r="E41" s="4"/>
      <c r="F41" s="22">
        <v>448429</v>
      </c>
      <c r="G41" s="22">
        <v>0</v>
      </c>
      <c r="H41" s="22">
        <f aca="true" t="shared" si="13" ref="H41:H46">F41-G41</f>
        <v>448429</v>
      </c>
      <c r="I41" s="4"/>
      <c r="J41" s="22">
        <v>0</v>
      </c>
      <c r="K41" s="22">
        <v>0</v>
      </c>
      <c r="L41" s="22">
        <f aca="true" t="shared" si="14" ref="L41:L46">J41-K41</f>
        <v>0</v>
      </c>
      <c r="N41" s="22">
        <v>0</v>
      </c>
      <c r="P41" s="22">
        <v>7206</v>
      </c>
      <c r="R41" s="22">
        <f aca="true" t="shared" si="15" ref="R41:R46">C41+H41+L41+N41</f>
        <v>6209251</v>
      </c>
      <c r="S41" s="22">
        <f aca="true" t="shared" si="16" ref="S41:S46">D41+G41+K41+P41-N41</f>
        <v>2226929</v>
      </c>
      <c r="T41" s="22">
        <f t="shared" si="4"/>
        <v>8436180</v>
      </c>
    </row>
    <row r="42" spans="1:20" ht="11.25">
      <c r="A42" s="2" t="s">
        <v>33</v>
      </c>
      <c r="B42" s="4"/>
      <c r="C42" s="22">
        <v>2354829</v>
      </c>
      <c r="D42" s="22">
        <f>898183+9165</f>
        <v>907348</v>
      </c>
      <c r="E42" s="4"/>
      <c r="F42" s="22">
        <v>183303</v>
      </c>
      <c r="G42" s="22">
        <v>183303</v>
      </c>
      <c r="H42" s="22">
        <f t="shared" si="13"/>
        <v>0</v>
      </c>
      <c r="I42" s="4"/>
      <c r="J42" s="22">
        <v>0</v>
      </c>
      <c r="K42" s="22">
        <v>0</v>
      </c>
      <c r="L42" s="22">
        <f t="shared" si="14"/>
        <v>0</v>
      </c>
      <c r="N42" s="22">
        <v>0</v>
      </c>
      <c r="P42" s="22">
        <v>2946</v>
      </c>
      <c r="R42" s="22">
        <f t="shared" si="15"/>
        <v>2354829</v>
      </c>
      <c r="S42" s="22">
        <f t="shared" si="16"/>
        <v>1093597</v>
      </c>
      <c r="T42" s="22">
        <f t="shared" si="4"/>
        <v>3448426</v>
      </c>
    </row>
    <row r="43" spans="1:20" ht="11.25">
      <c r="A43" s="2" t="s">
        <v>34</v>
      </c>
      <c r="B43" s="4"/>
      <c r="C43" s="22">
        <v>4805376</v>
      </c>
      <c r="D43" s="22">
        <f>1832874+18703</f>
        <v>1851577</v>
      </c>
      <c r="E43" s="4"/>
      <c r="F43" s="22">
        <v>374056</v>
      </c>
      <c r="G43" s="22">
        <v>374056</v>
      </c>
      <c r="H43" s="22">
        <f t="shared" si="13"/>
        <v>0</v>
      </c>
      <c r="I43" s="4"/>
      <c r="J43" s="22">
        <v>0</v>
      </c>
      <c r="K43" s="22">
        <v>0</v>
      </c>
      <c r="L43" s="22">
        <f t="shared" si="14"/>
        <v>0</v>
      </c>
      <c r="N43" s="22">
        <v>0</v>
      </c>
      <c r="P43" s="22">
        <v>6012</v>
      </c>
      <c r="R43" s="22">
        <f t="shared" si="15"/>
        <v>4805376</v>
      </c>
      <c r="S43" s="22">
        <f t="shared" si="16"/>
        <v>2231645</v>
      </c>
      <c r="T43" s="22">
        <f t="shared" si="4"/>
        <v>7037021</v>
      </c>
    </row>
    <row r="44" spans="1:20" ht="11.25">
      <c r="A44" s="2" t="s">
        <v>35</v>
      </c>
      <c r="B44" s="4"/>
      <c r="C44" s="22">
        <v>1480950</v>
      </c>
      <c r="D44" s="22">
        <f>564866+5764</f>
        <v>570630</v>
      </c>
      <c r="E44" s="4"/>
      <c r="F44" s="22">
        <v>115279</v>
      </c>
      <c r="G44" s="22">
        <v>115279</v>
      </c>
      <c r="H44" s="22">
        <f t="shared" si="13"/>
        <v>0</v>
      </c>
      <c r="I44" s="4"/>
      <c r="J44" s="22">
        <v>0</v>
      </c>
      <c r="K44" s="22">
        <v>0</v>
      </c>
      <c r="L44" s="22">
        <f t="shared" si="14"/>
        <v>0</v>
      </c>
      <c r="N44" s="22">
        <v>0</v>
      </c>
      <c r="P44" s="22">
        <v>1853</v>
      </c>
      <c r="R44" s="22">
        <f t="shared" si="15"/>
        <v>1480950</v>
      </c>
      <c r="S44" s="22">
        <f t="shared" si="16"/>
        <v>687762</v>
      </c>
      <c r="T44" s="22">
        <f t="shared" si="4"/>
        <v>2168712</v>
      </c>
    </row>
    <row r="45" spans="1:20" ht="11.25">
      <c r="A45" s="2" t="s">
        <v>36</v>
      </c>
      <c r="B45" s="4"/>
      <c r="C45" s="22">
        <v>4826374</v>
      </c>
      <c r="D45" s="22">
        <f>1840883+18785</f>
        <v>1859668</v>
      </c>
      <c r="E45" s="4"/>
      <c r="F45" s="22">
        <v>375690</v>
      </c>
      <c r="G45" s="22">
        <v>0</v>
      </c>
      <c r="H45" s="22">
        <f t="shared" si="13"/>
        <v>375690</v>
      </c>
      <c r="I45" s="4"/>
      <c r="J45" s="22">
        <v>0</v>
      </c>
      <c r="K45" s="22">
        <v>0</v>
      </c>
      <c r="L45" s="22">
        <f t="shared" si="14"/>
        <v>0</v>
      </c>
      <c r="N45" s="22">
        <v>0</v>
      </c>
      <c r="P45" s="22">
        <v>6038</v>
      </c>
      <c r="R45" s="22">
        <f t="shared" si="15"/>
        <v>5202064</v>
      </c>
      <c r="S45" s="22">
        <f t="shared" si="16"/>
        <v>1865706</v>
      </c>
      <c r="T45" s="22">
        <f t="shared" si="4"/>
        <v>7067770</v>
      </c>
    </row>
    <row r="46" spans="1:20" ht="12" thickBot="1">
      <c r="A46" s="2" t="s">
        <v>37</v>
      </c>
      <c r="B46" s="4"/>
      <c r="C46" s="22">
        <v>2081047</v>
      </c>
      <c r="D46" s="22">
        <f>793756+8100</f>
        <v>801856</v>
      </c>
      <c r="E46" s="4"/>
      <c r="F46" s="22">
        <v>161991</v>
      </c>
      <c r="G46" s="22">
        <v>161991</v>
      </c>
      <c r="H46" s="22">
        <f t="shared" si="13"/>
        <v>0</v>
      </c>
      <c r="I46" s="4"/>
      <c r="J46" s="22">
        <v>0</v>
      </c>
      <c r="K46" s="22">
        <v>0</v>
      </c>
      <c r="L46" s="22">
        <f t="shared" si="14"/>
        <v>0</v>
      </c>
      <c r="N46" s="22">
        <v>0</v>
      </c>
      <c r="P46" s="22">
        <v>2603</v>
      </c>
      <c r="R46" s="22">
        <f t="shared" si="15"/>
        <v>2081047</v>
      </c>
      <c r="S46" s="22">
        <f t="shared" si="16"/>
        <v>966450</v>
      </c>
      <c r="T46" s="22">
        <f t="shared" si="4"/>
        <v>3047497</v>
      </c>
    </row>
    <row r="47" spans="1:20" ht="12" thickBot="1">
      <c r="A47" s="2" t="s">
        <v>38</v>
      </c>
      <c r="B47" s="4"/>
      <c r="C47" s="10">
        <f>SUM(C41:C46)</f>
        <v>21309398</v>
      </c>
      <c r="D47" s="10">
        <f>SUM(D41:D46)</f>
        <v>8210802</v>
      </c>
      <c r="E47" s="4"/>
      <c r="F47" s="24">
        <f>SUM(F41:F46)</f>
        <v>1658748</v>
      </c>
      <c r="G47" s="10">
        <f>SUM(G41:G46)</f>
        <v>834629</v>
      </c>
      <c r="H47" s="10">
        <f>SUM(H41:H46)</f>
        <v>824119</v>
      </c>
      <c r="I47" s="4"/>
      <c r="J47" s="24">
        <f>SUM(J41:J46)</f>
        <v>0</v>
      </c>
      <c r="K47" s="10">
        <f>SUM(K41:K46)</f>
        <v>0</v>
      </c>
      <c r="L47" s="10">
        <f>SUM(L41:L46)</f>
        <v>0</v>
      </c>
      <c r="N47" s="10">
        <f>SUM(N41:N46)</f>
        <v>0</v>
      </c>
      <c r="P47" s="10">
        <f>SUM(P41:P46)</f>
        <v>26658</v>
      </c>
      <c r="R47" s="10">
        <f>SUM(R41:R46)</f>
        <v>22133517</v>
      </c>
      <c r="S47" s="10">
        <f>SUM(S41:S46)</f>
        <v>9072089</v>
      </c>
      <c r="T47" s="10">
        <f>SUM(T41:T46)</f>
        <v>31205606</v>
      </c>
    </row>
    <row r="48" spans="1:20" ht="12" thickTop="1">
      <c r="A48" s="2"/>
      <c r="B48" s="4"/>
      <c r="C48" s="2"/>
      <c r="D48" s="2"/>
      <c r="E48" s="4"/>
      <c r="F48" s="25"/>
      <c r="G48" s="2"/>
      <c r="H48" s="2"/>
      <c r="I48" s="4"/>
      <c r="J48" s="25"/>
      <c r="K48" s="2"/>
      <c r="L48" s="2"/>
      <c r="N48" s="2"/>
      <c r="P48" s="2"/>
      <c r="R48" s="2"/>
      <c r="S48" s="2"/>
      <c r="T48" s="2"/>
    </row>
    <row r="49" spans="1:20" ht="11.25">
      <c r="A49" s="11" t="s">
        <v>39</v>
      </c>
      <c r="B49" s="4"/>
      <c r="C49" s="2"/>
      <c r="D49" s="2"/>
      <c r="E49" s="4"/>
      <c r="F49" s="25"/>
      <c r="G49" s="2"/>
      <c r="H49" s="2"/>
      <c r="I49" s="4"/>
      <c r="J49" s="25"/>
      <c r="K49" s="2"/>
      <c r="L49" s="2"/>
      <c r="N49" s="2"/>
      <c r="P49" s="2"/>
      <c r="R49" s="2"/>
      <c r="S49" s="2"/>
      <c r="T49" s="2"/>
    </row>
    <row r="50" spans="1:20" ht="11.25">
      <c r="A50" s="2" t="s">
        <v>40</v>
      </c>
      <c r="B50" s="4"/>
      <c r="C50" s="22">
        <v>1405554</v>
      </c>
      <c r="D50" s="22">
        <f>536109+5470</f>
        <v>541579</v>
      </c>
      <c r="E50" s="4"/>
      <c r="F50" s="22">
        <v>109410</v>
      </c>
      <c r="G50" s="22">
        <v>109410</v>
      </c>
      <c r="H50" s="22">
        <f>F50-G50</f>
        <v>0</v>
      </c>
      <c r="I50" s="4"/>
      <c r="J50" s="22">
        <v>37989</v>
      </c>
      <c r="K50" s="22">
        <v>0</v>
      </c>
      <c r="L50" s="22">
        <f>J50-K50</f>
        <v>37989</v>
      </c>
      <c r="N50" s="22">
        <v>0</v>
      </c>
      <c r="P50" s="22">
        <v>1757</v>
      </c>
      <c r="R50" s="22">
        <f>C50+H50+L50+N50</f>
        <v>1443543</v>
      </c>
      <c r="S50" s="22">
        <f>D50+G50+K50+P50-N50</f>
        <v>652746</v>
      </c>
      <c r="T50" s="22">
        <f t="shared" si="4"/>
        <v>2096289</v>
      </c>
    </row>
    <row r="51" spans="1:20" ht="11.25">
      <c r="A51" s="2" t="s">
        <v>41</v>
      </c>
      <c r="B51" s="4"/>
      <c r="C51" s="22">
        <v>2309722</v>
      </c>
      <c r="D51" s="22">
        <f>880978+8990</f>
        <v>889968</v>
      </c>
      <c r="E51" s="4"/>
      <c r="F51" s="22">
        <v>179791</v>
      </c>
      <c r="G51" s="22">
        <v>179791</v>
      </c>
      <c r="H51" s="22">
        <f>F51-G51</f>
        <v>0</v>
      </c>
      <c r="I51" s="4"/>
      <c r="J51" s="22">
        <v>2678848</v>
      </c>
      <c r="K51" s="22">
        <v>884020</v>
      </c>
      <c r="L51" s="22">
        <f>J51-K51</f>
        <v>1794828</v>
      </c>
      <c r="N51" s="22">
        <v>0</v>
      </c>
      <c r="P51" s="22">
        <v>2888</v>
      </c>
      <c r="R51" s="22">
        <f>C51+H51+L51+N51</f>
        <v>4104550</v>
      </c>
      <c r="S51" s="22">
        <f>D51+G51+K51+P51-N51</f>
        <v>1956667</v>
      </c>
      <c r="T51" s="22">
        <f t="shared" si="4"/>
        <v>6061217</v>
      </c>
    </row>
    <row r="52" spans="1:20" ht="11.25">
      <c r="A52" s="2" t="s">
        <v>42</v>
      </c>
      <c r="B52" s="4"/>
      <c r="C52" s="22">
        <v>1034931</v>
      </c>
      <c r="D52" s="22">
        <f>394745+4028</f>
        <v>398773</v>
      </c>
      <c r="E52" s="4"/>
      <c r="F52" s="22">
        <v>80560</v>
      </c>
      <c r="G52" s="22">
        <v>80560</v>
      </c>
      <c r="H52" s="22">
        <f>F52-G52</f>
        <v>0</v>
      </c>
      <c r="I52" s="4"/>
      <c r="J52" s="22">
        <v>0</v>
      </c>
      <c r="K52" s="22">
        <v>0</v>
      </c>
      <c r="L52" s="22">
        <f>J52-K52</f>
        <v>0</v>
      </c>
      <c r="N52" s="22">
        <v>0</v>
      </c>
      <c r="P52" s="22">
        <v>1294</v>
      </c>
      <c r="R52" s="22">
        <f>C52+H52+L52+N52</f>
        <v>1034931</v>
      </c>
      <c r="S52" s="22">
        <f>D52+G52+K52+P52-N52</f>
        <v>480627</v>
      </c>
      <c r="T52" s="22">
        <f t="shared" si="4"/>
        <v>1515558</v>
      </c>
    </row>
    <row r="53" spans="1:20" ht="11.25">
      <c r="A53" s="2" t="s">
        <v>43</v>
      </c>
      <c r="B53" s="4"/>
      <c r="C53" s="22">
        <v>1392035</v>
      </c>
      <c r="D53" s="22">
        <f>530952+5418</f>
        <v>536370</v>
      </c>
      <c r="E53" s="4"/>
      <c r="F53" s="22">
        <v>108358</v>
      </c>
      <c r="G53" s="22">
        <v>0</v>
      </c>
      <c r="H53" s="22">
        <f>F53-G53</f>
        <v>108358</v>
      </c>
      <c r="I53" s="4"/>
      <c r="J53" s="22">
        <v>0</v>
      </c>
      <c r="K53" s="22">
        <v>0</v>
      </c>
      <c r="L53" s="22">
        <f>J53-K53</f>
        <v>0</v>
      </c>
      <c r="N53" s="22">
        <v>0</v>
      </c>
      <c r="P53" s="22">
        <v>1741</v>
      </c>
      <c r="R53" s="22">
        <f>C53+H53+L53+N53</f>
        <v>1500393</v>
      </c>
      <c r="S53" s="22">
        <f>D53+G53+K53+P53-N53</f>
        <v>538111</v>
      </c>
      <c r="T53" s="22">
        <f t="shared" si="4"/>
        <v>2038504</v>
      </c>
    </row>
    <row r="54" spans="1:20" ht="12" thickBot="1">
      <c r="A54" s="2" t="s">
        <v>44</v>
      </c>
      <c r="B54" s="4"/>
      <c r="C54" s="22">
        <v>11204440</v>
      </c>
      <c r="D54" s="22">
        <f>4273614+43608</f>
        <v>4317222</v>
      </c>
      <c r="E54" s="4"/>
      <c r="F54" s="22">
        <v>872165</v>
      </c>
      <c r="G54" s="22">
        <v>872165</v>
      </c>
      <c r="H54" s="22">
        <f>F54-G54</f>
        <v>0</v>
      </c>
      <c r="I54" s="4"/>
      <c r="J54" s="22">
        <v>594079</v>
      </c>
      <c r="K54" s="22">
        <v>0</v>
      </c>
      <c r="L54" s="22">
        <f>J54-K54</f>
        <v>594079</v>
      </c>
      <c r="N54" s="22">
        <v>0</v>
      </c>
      <c r="P54" s="22">
        <v>14009</v>
      </c>
      <c r="R54" s="22">
        <f>C54+H54+L54+N54</f>
        <v>11798519</v>
      </c>
      <c r="S54" s="22">
        <f>D54+G54+K54+P54-N54</f>
        <v>5203396</v>
      </c>
      <c r="T54" s="22">
        <f t="shared" si="4"/>
        <v>17001915</v>
      </c>
    </row>
    <row r="55" spans="1:20" ht="12" thickBot="1">
      <c r="A55" s="2" t="s">
        <v>45</v>
      </c>
      <c r="B55" s="4"/>
      <c r="C55" s="10">
        <f>SUM(C50:C54)</f>
        <v>17346682</v>
      </c>
      <c r="D55" s="10">
        <f>SUM(D50:D54)</f>
        <v>6683912</v>
      </c>
      <c r="E55" s="4"/>
      <c r="F55" s="24">
        <f>SUM(F50:F54)</f>
        <v>1350284</v>
      </c>
      <c r="G55" s="10">
        <f>SUM(G50:G54)</f>
        <v>1241926</v>
      </c>
      <c r="H55" s="10">
        <f>SUM(H50:H54)</f>
        <v>108358</v>
      </c>
      <c r="I55" s="4"/>
      <c r="J55" s="24">
        <f>SUM(J50:J54)</f>
        <v>3310916</v>
      </c>
      <c r="K55" s="10">
        <f>SUM(K50:K54)</f>
        <v>884020</v>
      </c>
      <c r="L55" s="10">
        <f>SUM(L50:L54)</f>
        <v>2426896</v>
      </c>
      <c r="N55" s="10">
        <f>SUM(N50:N54)</f>
        <v>0</v>
      </c>
      <c r="P55" s="10">
        <f>SUM(P50:P54)</f>
        <v>21689</v>
      </c>
      <c r="R55" s="10">
        <f>SUM(R50:R54)</f>
        <v>19881936</v>
      </c>
      <c r="S55" s="10">
        <f>SUM(S50:S54)</f>
        <v>8831547</v>
      </c>
      <c r="T55" s="10">
        <f>SUM(T50:T54)</f>
        <v>28713483</v>
      </c>
    </row>
    <row r="56" spans="1:20" ht="12" thickTop="1">
      <c r="A56" s="2"/>
      <c r="B56" s="4"/>
      <c r="C56" s="2"/>
      <c r="D56" s="2"/>
      <c r="E56" s="4"/>
      <c r="F56" s="25"/>
      <c r="G56" s="2"/>
      <c r="H56" s="2"/>
      <c r="I56" s="4"/>
      <c r="J56" s="25"/>
      <c r="K56" s="2"/>
      <c r="L56" s="2"/>
      <c r="N56" s="2"/>
      <c r="P56" s="2"/>
      <c r="R56" s="2"/>
      <c r="S56" s="2"/>
      <c r="T56" s="2"/>
    </row>
    <row r="57" spans="1:20" ht="11.25">
      <c r="A57" s="11" t="s">
        <v>46</v>
      </c>
      <c r="B57" s="4"/>
      <c r="C57" s="2"/>
      <c r="D57" s="2"/>
      <c r="E57" s="4"/>
      <c r="F57" s="25"/>
      <c r="G57" s="2"/>
      <c r="H57" s="2"/>
      <c r="I57" s="4"/>
      <c r="J57" s="25"/>
      <c r="K57" s="2"/>
      <c r="L57" s="2"/>
      <c r="N57" s="2"/>
      <c r="P57" s="2"/>
      <c r="R57" s="2"/>
      <c r="S57" s="2"/>
      <c r="T57" s="2"/>
    </row>
    <row r="58" spans="1:20" ht="11.25">
      <c r="A58" s="2" t="s">
        <v>47</v>
      </c>
      <c r="B58" s="4"/>
      <c r="C58" s="22">
        <v>1774554</v>
      </c>
      <c r="D58" s="22">
        <f>676853+6907</f>
        <v>683760</v>
      </c>
      <c r="E58" s="4"/>
      <c r="F58" s="22">
        <v>138133</v>
      </c>
      <c r="G58" s="22">
        <v>138133</v>
      </c>
      <c r="H58" s="22">
        <f aca="true" t="shared" si="17" ref="H58:H67">F58-G58</f>
        <v>0</v>
      </c>
      <c r="I58" s="4"/>
      <c r="J58" s="22">
        <v>0</v>
      </c>
      <c r="K58" s="22">
        <v>0</v>
      </c>
      <c r="L58" s="22">
        <f aca="true" t="shared" si="18" ref="L58:L67">J58-K58</f>
        <v>0</v>
      </c>
      <c r="N58" s="22">
        <v>0</v>
      </c>
      <c r="P58" s="22">
        <v>2220</v>
      </c>
      <c r="R58" s="22">
        <f aca="true" t="shared" si="19" ref="R58:R67">C58+H58+L58+N58</f>
        <v>1774554</v>
      </c>
      <c r="S58" s="22">
        <f aca="true" t="shared" si="20" ref="S58:S67">D58+G58+K58+P58-N58</f>
        <v>824113</v>
      </c>
      <c r="T58" s="22">
        <f t="shared" si="4"/>
        <v>2598667</v>
      </c>
    </row>
    <row r="59" spans="1:20" ht="11.25">
      <c r="A59" s="2" t="s">
        <v>48</v>
      </c>
      <c r="B59" s="4"/>
      <c r="C59" s="22">
        <v>1079995</v>
      </c>
      <c r="D59" s="22">
        <f>411933+4203</f>
        <v>416136</v>
      </c>
      <c r="E59" s="4"/>
      <c r="F59" s="22">
        <v>84068</v>
      </c>
      <c r="G59" s="22">
        <v>84068</v>
      </c>
      <c r="H59" s="22">
        <f t="shared" si="17"/>
        <v>0</v>
      </c>
      <c r="I59" s="4"/>
      <c r="J59" s="22">
        <v>0</v>
      </c>
      <c r="K59" s="22">
        <v>0</v>
      </c>
      <c r="L59" s="22">
        <f t="shared" si="18"/>
        <v>0</v>
      </c>
      <c r="N59" s="22">
        <v>0</v>
      </c>
      <c r="P59" s="22">
        <v>1351</v>
      </c>
      <c r="R59" s="22">
        <f t="shared" si="19"/>
        <v>1079995</v>
      </c>
      <c r="S59" s="22">
        <f t="shared" si="20"/>
        <v>501555</v>
      </c>
      <c r="T59" s="22">
        <f t="shared" si="4"/>
        <v>1581550</v>
      </c>
    </row>
    <row r="60" spans="1:20" ht="11.25">
      <c r="A60" s="2" t="s">
        <v>49</v>
      </c>
      <c r="B60" s="4"/>
      <c r="C60" s="22">
        <v>1098930</v>
      </c>
      <c r="D60" s="22">
        <f>419155+4277</f>
        <v>423432</v>
      </c>
      <c r="E60" s="4"/>
      <c r="F60" s="22">
        <v>85542</v>
      </c>
      <c r="G60" s="22">
        <v>85542</v>
      </c>
      <c r="H60" s="22">
        <f t="shared" si="17"/>
        <v>0</v>
      </c>
      <c r="I60" s="4"/>
      <c r="J60" s="22">
        <v>0</v>
      </c>
      <c r="K60" s="22">
        <v>0</v>
      </c>
      <c r="L60" s="22">
        <f t="shared" si="18"/>
        <v>0</v>
      </c>
      <c r="N60" s="22">
        <v>0</v>
      </c>
      <c r="P60" s="22">
        <v>1375</v>
      </c>
      <c r="R60" s="22">
        <f t="shared" si="19"/>
        <v>1098930</v>
      </c>
      <c r="S60" s="22">
        <f t="shared" si="20"/>
        <v>510349</v>
      </c>
      <c r="T60" s="22">
        <f t="shared" si="4"/>
        <v>1609279</v>
      </c>
    </row>
    <row r="61" spans="1:20" ht="11.25">
      <c r="A61" s="2" t="s">
        <v>50</v>
      </c>
      <c r="B61" s="4"/>
      <c r="C61" s="22">
        <v>2363365</v>
      </c>
      <c r="D61" s="22">
        <f>901438+9198</f>
        <v>910636</v>
      </c>
      <c r="E61" s="4"/>
      <c r="F61" s="22">
        <v>183967</v>
      </c>
      <c r="G61" s="22">
        <v>183967</v>
      </c>
      <c r="H61" s="22">
        <f t="shared" si="17"/>
        <v>0</v>
      </c>
      <c r="I61" s="4"/>
      <c r="J61" s="22">
        <v>0</v>
      </c>
      <c r="K61" s="22">
        <v>0</v>
      </c>
      <c r="L61" s="22">
        <f t="shared" si="18"/>
        <v>0</v>
      </c>
      <c r="N61" s="22">
        <v>0</v>
      </c>
      <c r="P61" s="22">
        <v>2957</v>
      </c>
      <c r="R61" s="22">
        <f t="shared" si="19"/>
        <v>2363365</v>
      </c>
      <c r="S61" s="22">
        <f t="shared" si="20"/>
        <v>1097560</v>
      </c>
      <c r="T61" s="22">
        <f t="shared" si="4"/>
        <v>3460925</v>
      </c>
    </row>
    <row r="62" spans="1:20" ht="11.25">
      <c r="A62" s="2" t="s">
        <v>51</v>
      </c>
      <c r="B62" s="4"/>
      <c r="C62" s="22">
        <v>408848</v>
      </c>
      <c r="D62" s="22">
        <f>155943+1591</f>
        <v>157534</v>
      </c>
      <c r="E62" s="4"/>
      <c r="F62" s="22">
        <v>31825</v>
      </c>
      <c r="G62" s="22">
        <v>31825</v>
      </c>
      <c r="H62" s="22">
        <f t="shared" si="17"/>
        <v>0</v>
      </c>
      <c r="I62" s="4"/>
      <c r="J62" s="22">
        <v>0</v>
      </c>
      <c r="K62" s="22">
        <v>0</v>
      </c>
      <c r="L62" s="22">
        <f t="shared" si="18"/>
        <v>0</v>
      </c>
      <c r="N62" s="22">
        <v>0</v>
      </c>
      <c r="P62" s="22">
        <v>511</v>
      </c>
      <c r="R62" s="22">
        <f t="shared" si="19"/>
        <v>408848</v>
      </c>
      <c r="S62" s="22">
        <f t="shared" si="20"/>
        <v>189870</v>
      </c>
      <c r="T62" s="22">
        <f t="shared" si="4"/>
        <v>598718</v>
      </c>
    </row>
    <row r="63" spans="1:20" ht="11.25">
      <c r="A63" s="2" t="s">
        <v>52</v>
      </c>
      <c r="B63" s="4"/>
      <c r="C63" s="22">
        <v>605796</v>
      </c>
      <c r="D63" s="22">
        <f>231064+2358</f>
        <v>233422</v>
      </c>
      <c r="E63" s="4"/>
      <c r="F63" s="22">
        <v>47156</v>
      </c>
      <c r="G63" s="22">
        <v>47156</v>
      </c>
      <c r="H63" s="22">
        <f t="shared" si="17"/>
        <v>0</v>
      </c>
      <c r="I63" s="4"/>
      <c r="J63" s="22">
        <v>0</v>
      </c>
      <c r="K63" s="22">
        <v>0</v>
      </c>
      <c r="L63" s="22">
        <f t="shared" si="18"/>
        <v>0</v>
      </c>
      <c r="N63" s="22">
        <v>0</v>
      </c>
      <c r="P63" s="22">
        <v>758</v>
      </c>
      <c r="R63" s="22">
        <f t="shared" si="19"/>
        <v>605796</v>
      </c>
      <c r="S63" s="22">
        <f t="shared" si="20"/>
        <v>281336</v>
      </c>
      <c r="T63" s="22">
        <f t="shared" si="4"/>
        <v>887132</v>
      </c>
    </row>
    <row r="64" spans="1:20" ht="11.25">
      <c r="A64" s="2" t="s">
        <v>53</v>
      </c>
      <c r="B64" s="4"/>
      <c r="C64" s="22">
        <v>214791</v>
      </c>
      <c r="D64" s="22">
        <f>81926+836</f>
        <v>82762</v>
      </c>
      <c r="E64" s="4"/>
      <c r="F64" s="22">
        <v>16720</v>
      </c>
      <c r="G64" s="22">
        <v>16720</v>
      </c>
      <c r="H64" s="22">
        <f t="shared" si="17"/>
        <v>0</v>
      </c>
      <c r="I64" s="4"/>
      <c r="J64" s="22">
        <v>0</v>
      </c>
      <c r="K64" s="22">
        <v>0</v>
      </c>
      <c r="L64" s="22">
        <f t="shared" si="18"/>
        <v>0</v>
      </c>
      <c r="N64" s="22">
        <v>0</v>
      </c>
      <c r="P64" s="22">
        <v>269</v>
      </c>
      <c r="R64" s="22">
        <f t="shared" si="19"/>
        <v>214791</v>
      </c>
      <c r="S64" s="22">
        <f t="shared" si="20"/>
        <v>99751</v>
      </c>
      <c r="T64" s="22">
        <f t="shared" si="4"/>
        <v>314542</v>
      </c>
    </row>
    <row r="65" spans="1:20" ht="11.25">
      <c r="A65" s="2" t="s">
        <v>54</v>
      </c>
      <c r="B65" s="4"/>
      <c r="C65" s="22">
        <v>302616</v>
      </c>
      <c r="D65" s="22">
        <f>115424+1178</f>
        <v>116602</v>
      </c>
      <c r="E65" s="4"/>
      <c r="F65" s="22">
        <v>23556</v>
      </c>
      <c r="G65" s="22">
        <v>23556</v>
      </c>
      <c r="H65" s="22">
        <f t="shared" si="17"/>
        <v>0</v>
      </c>
      <c r="I65" s="4"/>
      <c r="J65" s="22">
        <v>0</v>
      </c>
      <c r="K65" s="22">
        <v>0</v>
      </c>
      <c r="L65" s="22">
        <f t="shared" si="18"/>
        <v>0</v>
      </c>
      <c r="N65" s="22">
        <v>0</v>
      </c>
      <c r="P65" s="22">
        <v>378</v>
      </c>
      <c r="R65" s="22">
        <f t="shared" si="19"/>
        <v>302616</v>
      </c>
      <c r="S65" s="22">
        <f t="shared" si="20"/>
        <v>140536</v>
      </c>
      <c r="T65" s="22">
        <f t="shared" si="4"/>
        <v>443152</v>
      </c>
    </row>
    <row r="66" spans="1:20" ht="11.25">
      <c r="A66" s="2" t="s">
        <v>55</v>
      </c>
      <c r="B66" s="4"/>
      <c r="C66" s="22">
        <v>848263</v>
      </c>
      <c r="D66" s="22">
        <f>323546+3301</f>
        <v>326847</v>
      </c>
      <c r="E66" s="4"/>
      <c r="F66" s="22">
        <v>66030</v>
      </c>
      <c r="G66" s="22">
        <v>66030</v>
      </c>
      <c r="H66" s="22">
        <f t="shared" si="17"/>
        <v>0</v>
      </c>
      <c r="I66" s="4"/>
      <c r="J66" s="22">
        <v>0</v>
      </c>
      <c r="K66" s="22">
        <v>0</v>
      </c>
      <c r="L66" s="22">
        <f t="shared" si="18"/>
        <v>0</v>
      </c>
      <c r="N66" s="22">
        <v>0</v>
      </c>
      <c r="P66" s="22">
        <v>1061</v>
      </c>
      <c r="R66" s="22">
        <f t="shared" si="19"/>
        <v>848263</v>
      </c>
      <c r="S66" s="22">
        <f t="shared" si="20"/>
        <v>393938</v>
      </c>
      <c r="T66" s="22">
        <f t="shared" si="4"/>
        <v>1242201</v>
      </c>
    </row>
    <row r="67" spans="1:20" ht="12" thickBot="1">
      <c r="A67" s="2" t="s">
        <v>56</v>
      </c>
      <c r="B67" s="4"/>
      <c r="C67" s="22">
        <v>171199</v>
      </c>
      <c r="D67" s="22">
        <f>65299+666</f>
        <v>65965</v>
      </c>
      <c r="E67" s="4"/>
      <c r="F67" s="22">
        <v>13326</v>
      </c>
      <c r="G67" s="22">
        <v>13326</v>
      </c>
      <c r="H67" s="22">
        <f t="shared" si="17"/>
        <v>0</v>
      </c>
      <c r="I67" s="4"/>
      <c r="J67" s="22">
        <v>0</v>
      </c>
      <c r="K67" s="22">
        <v>0</v>
      </c>
      <c r="L67" s="22">
        <f t="shared" si="18"/>
        <v>0</v>
      </c>
      <c r="N67" s="22">
        <v>0</v>
      </c>
      <c r="P67" s="22">
        <v>214</v>
      </c>
      <c r="R67" s="22">
        <f t="shared" si="19"/>
        <v>171199</v>
      </c>
      <c r="S67" s="22">
        <f t="shared" si="20"/>
        <v>79505</v>
      </c>
      <c r="T67" s="22">
        <f t="shared" si="4"/>
        <v>250704</v>
      </c>
    </row>
    <row r="68" spans="1:20" ht="12" thickBot="1">
      <c r="A68" s="2" t="s">
        <v>57</v>
      </c>
      <c r="B68" s="4"/>
      <c r="C68" s="10">
        <f>SUM(C58:C67)</f>
        <v>8868357</v>
      </c>
      <c r="D68" s="10">
        <f>SUM(D58:D67)</f>
        <v>3417096</v>
      </c>
      <c r="E68" s="4"/>
      <c r="F68" s="24">
        <f>SUM(F58:F67)</f>
        <v>690323</v>
      </c>
      <c r="G68" s="10">
        <f>SUM(G58:G67)</f>
        <v>690323</v>
      </c>
      <c r="H68" s="10">
        <f>SUM(H58:H67)</f>
        <v>0</v>
      </c>
      <c r="I68" s="4"/>
      <c r="J68" s="24">
        <f>SUM(J58:J67)</f>
        <v>0</v>
      </c>
      <c r="K68" s="10">
        <f>SUM(K58:K67)</f>
        <v>0</v>
      </c>
      <c r="L68" s="10">
        <f>SUM(L58:L67)</f>
        <v>0</v>
      </c>
      <c r="N68" s="10">
        <f>SUM(N58:N67)</f>
        <v>0</v>
      </c>
      <c r="P68" s="10">
        <f>SUM(P58:P67)</f>
        <v>11094</v>
      </c>
      <c r="R68" s="10">
        <f>SUM(R58:R67)</f>
        <v>8868357</v>
      </c>
      <c r="S68" s="10">
        <f>SUM(S58:S67)</f>
        <v>4118513</v>
      </c>
      <c r="T68" s="10">
        <f>SUM(T58:T67)</f>
        <v>12986870</v>
      </c>
    </row>
    <row r="69" spans="1:20" ht="12" thickTop="1">
      <c r="A69" s="2"/>
      <c r="B69" s="4"/>
      <c r="C69" s="2"/>
      <c r="D69" s="2"/>
      <c r="E69" s="4"/>
      <c r="F69" s="25"/>
      <c r="G69" s="2"/>
      <c r="H69" s="2"/>
      <c r="I69" s="4"/>
      <c r="J69" s="25"/>
      <c r="K69" s="2"/>
      <c r="L69" s="2"/>
      <c r="N69" s="2"/>
      <c r="P69" s="2"/>
      <c r="R69" s="2"/>
      <c r="S69" s="2"/>
      <c r="T69" s="2"/>
    </row>
    <row r="70" spans="1:20" ht="11.25">
      <c r="A70" s="11" t="s">
        <v>58</v>
      </c>
      <c r="B70" s="4"/>
      <c r="C70" s="2"/>
      <c r="D70" s="2"/>
      <c r="E70" s="4"/>
      <c r="F70" s="25"/>
      <c r="G70" s="2"/>
      <c r="H70" s="2"/>
      <c r="I70" s="4"/>
      <c r="J70" s="25"/>
      <c r="K70" s="2"/>
      <c r="L70" s="2"/>
      <c r="N70" s="2"/>
      <c r="P70" s="2"/>
      <c r="R70" s="2"/>
      <c r="S70" s="2"/>
      <c r="T70" s="2"/>
    </row>
    <row r="71" spans="1:20" ht="11.25">
      <c r="A71" s="2" t="s">
        <v>59</v>
      </c>
      <c r="B71" s="4"/>
      <c r="C71" s="22">
        <v>265429</v>
      </c>
      <c r="D71" s="22">
        <f>101240+1033</f>
        <v>102273</v>
      </c>
      <c r="E71" s="4"/>
      <c r="F71" s="22">
        <v>20661</v>
      </c>
      <c r="G71" s="22">
        <v>20661</v>
      </c>
      <c r="H71" s="22">
        <f aca="true" t="shared" si="21" ref="H71:H80">F71-G71</f>
        <v>0</v>
      </c>
      <c r="I71" s="4"/>
      <c r="J71" s="22">
        <v>0</v>
      </c>
      <c r="K71" s="22">
        <v>0</v>
      </c>
      <c r="L71" s="22">
        <f aca="true" t="shared" si="22" ref="L71:L80">J71-K71</f>
        <v>0</v>
      </c>
      <c r="N71" s="22">
        <v>0</v>
      </c>
      <c r="P71" s="22">
        <v>0</v>
      </c>
      <c r="R71" s="22">
        <f aca="true" t="shared" si="23" ref="R71:R80">C71+H71+L71+N71</f>
        <v>265429</v>
      </c>
      <c r="S71" s="22">
        <f aca="true" t="shared" si="24" ref="S71:S80">D71+G71+K71+P71-N71</f>
        <v>122934</v>
      </c>
      <c r="T71" s="22">
        <f t="shared" si="4"/>
        <v>388363</v>
      </c>
    </row>
    <row r="72" spans="1:20" ht="11.25">
      <c r="A72" s="2" t="s">
        <v>60</v>
      </c>
      <c r="B72" s="4"/>
      <c r="C72" s="22">
        <v>2455084</v>
      </c>
      <c r="D72" s="22">
        <f>936422+9555</f>
        <v>945977</v>
      </c>
      <c r="E72" s="4"/>
      <c r="F72" s="22">
        <v>191107</v>
      </c>
      <c r="G72" s="22">
        <v>191107</v>
      </c>
      <c r="H72" s="22">
        <f t="shared" si="21"/>
        <v>0</v>
      </c>
      <c r="I72" s="4"/>
      <c r="J72" s="22">
        <v>0</v>
      </c>
      <c r="K72" s="22">
        <v>0</v>
      </c>
      <c r="L72" s="22">
        <f t="shared" si="22"/>
        <v>0</v>
      </c>
      <c r="N72" s="22">
        <v>0</v>
      </c>
      <c r="P72" s="22">
        <v>3070</v>
      </c>
      <c r="R72" s="22">
        <f t="shared" si="23"/>
        <v>2455084</v>
      </c>
      <c r="S72" s="22">
        <f t="shared" si="24"/>
        <v>1140154</v>
      </c>
      <c r="T72" s="22">
        <f t="shared" si="4"/>
        <v>3595238</v>
      </c>
    </row>
    <row r="73" spans="1:20" ht="11.25">
      <c r="A73" s="2" t="s">
        <v>61</v>
      </c>
      <c r="B73" s="4"/>
      <c r="C73" s="22">
        <v>15790910</v>
      </c>
      <c r="D73" s="22">
        <f>6022993+61459</f>
        <v>6084452</v>
      </c>
      <c r="E73" s="4"/>
      <c r="F73" s="22">
        <v>1229182</v>
      </c>
      <c r="G73" s="22">
        <v>1229182</v>
      </c>
      <c r="H73" s="22">
        <f t="shared" si="21"/>
        <v>0</v>
      </c>
      <c r="I73" s="4"/>
      <c r="J73" s="22">
        <v>56412</v>
      </c>
      <c r="K73" s="22">
        <v>0</v>
      </c>
      <c r="L73" s="22">
        <f t="shared" si="22"/>
        <v>56412</v>
      </c>
      <c r="N73" s="22">
        <v>0</v>
      </c>
      <c r="P73" s="22">
        <v>19748</v>
      </c>
      <c r="R73" s="22">
        <f t="shared" si="23"/>
        <v>15847322</v>
      </c>
      <c r="S73" s="22">
        <f t="shared" si="24"/>
        <v>7333382</v>
      </c>
      <c r="T73" s="22">
        <f aca="true" t="shared" si="25" ref="T73:T80">R73+S73</f>
        <v>23180704</v>
      </c>
    </row>
    <row r="74" spans="1:20" ht="11.25">
      <c r="A74" s="2" t="s">
        <v>62</v>
      </c>
      <c r="B74" s="4"/>
      <c r="C74" s="22">
        <v>43977</v>
      </c>
      <c r="D74" s="22">
        <f>16774+171</f>
        <v>16945</v>
      </c>
      <c r="E74" s="4"/>
      <c r="F74" s="22">
        <v>3423</v>
      </c>
      <c r="G74" s="22">
        <v>0</v>
      </c>
      <c r="H74" s="22">
        <f t="shared" si="21"/>
        <v>3423</v>
      </c>
      <c r="I74" s="4"/>
      <c r="J74" s="22">
        <v>0</v>
      </c>
      <c r="K74" s="22">
        <v>0</v>
      </c>
      <c r="L74" s="22">
        <f t="shared" si="22"/>
        <v>0</v>
      </c>
      <c r="N74" s="22">
        <v>0</v>
      </c>
      <c r="P74" s="22">
        <v>55</v>
      </c>
      <c r="R74" s="22">
        <f t="shared" si="23"/>
        <v>47400</v>
      </c>
      <c r="S74" s="22">
        <f t="shared" si="24"/>
        <v>17000</v>
      </c>
      <c r="T74" s="22">
        <f t="shared" si="25"/>
        <v>64400</v>
      </c>
    </row>
    <row r="75" spans="1:20" ht="11.25">
      <c r="A75" s="2" t="s">
        <v>63</v>
      </c>
      <c r="B75" s="4"/>
      <c r="C75" s="22">
        <v>358215</v>
      </c>
      <c r="D75" s="22">
        <f>136631+1394</f>
        <v>138025</v>
      </c>
      <c r="E75" s="4"/>
      <c r="F75" s="22">
        <v>27884</v>
      </c>
      <c r="G75" s="22">
        <v>13942</v>
      </c>
      <c r="H75" s="22">
        <f t="shared" si="21"/>
        <v>13942</v>
      </c>
      <c r="I75" s="4"/>
      <c r="J75" s="22">
        <v>0</v>
      </c>
      <c r="K75" s="22">
        <v>0</v>
      </c>
      <c r="L75" s="22">
        <f t="shared" si="22"/>
        <v>0</v>
      </c>
      <c r="N75" s="22">
        <v>7000</v>
      </c>
      <c r="P75" s="22">
        <v>448</v>
      </c>
      <c r="R75" s="22">
        <f t="shared" si="23"/>
        <v>379157</v>
      </c>
      <c r="S75" s="22">
        <f t="shared" si="24"/>
        <v>145415</v>
      </c>
      <c r="T75" s="22">
        <f t="shared" si="25"/>
        <v>524572</v>
      </c>
    </row>
    <row r="76" spans="1:20" ht="11.25">
      <c r="A76" s="2" t="s">
        <v>64</v>
      </c>
      <c r="B76" s="4"/>
      <c r="C76" s="22">
        <v>482038</v>
      </c>
      <c r="D76" s="22">
        <f>183860+1876</f>
        <v>185736</v>
      </c>
      <c r="E76" s="4"/>
      <c r="F76" s="22">
        <v>37522</v>
      </c>
      <c r="G76" s="22">
        <v>37522</v>
      </c>
      <c r="H76" s="22">
        <f t="shared" si="21"/>
        <v>0</v>
      </c>
      <c r="I76" s="4"/>
      <c r="J76" s="22">
        <v>0</v>
      </c>
      <c r="K76" s="22">
        <v>0</v>
      </c>
      <c r="L76" s="22">
        <f t="shared" si="22"/>
        <v>0</v>
      </c>
      <c r="N76" s="22">
        <v>0</v>
      </c>
      <c r="P76" s="22">
        <v>603</v>
      </c>
      <c r="R76" s="22">
        <f t="shared" si="23"/>
        <v>482038</v>
      </c>
      <c r="S76" s="22">
        <f t="shared" si="24"/>
        <v>223861</v>
      </c>
      <c r="T76" s="22">
        <f t="shared" si="25"/>
        <v>705899</v>
      </c>
    </row>
    <row r="77" spans="1:20" ht="11.25">
      <c r="A77" s="2" t="s">
        <v>65</v>
      </c>
      <c r="B77" s="4"/>
      <c r="C77" s="22">
        <v>796538</v>
      </c>
      <c r="D77" s="22">
        <f>303817+3100</f>
        <v>306917</v>
      </c>
      <c r="E77" s="4"/>
      <c r="F77" s="22">
        <v>62003</v>
      </c>
      <c r="G77" s="22">
        <v>62003</v>
      </c>
      <c r="H77" s="22">
        <f t="shared" si="21"/>
        <v>0</v>
      </c>
      <c r="I77" s="4"/>
      <c r="J77" s="22">
        <v>0</v>
      </c>
      <c r="K77" s="22">
        <v>0</v>
      </c>
      <c r="L77" s="22">
        <f t="shared" si="22"/>
        <v>0</v>
      </c>
      <c r="N77" s="22">
        <v>0</v>
      </c>
      <c r="P77" s="22">
        <v>0</v>
      </c>
      <c r="R77" s="22">
        <f t="shared" si="23"/>
        <v>796538</v>
      </c>
      <c r="S77" s="22">
        <f t="shared" si="24"/>
        <v>368920</v>
      </c>
      <c r="T77" s="22">
        <f t="shared" si="25"/>
        <v>1165458</v>
      </c>
    </row>
    <row r="78" spans="1:20" ht="11.25">
      <c r="A78" s="2" t="s">
        <v>66</v>
      </c>
      <c r="B78" s="4"/>
      <c r="C78" s="22">
        <v>22075</v>
      </c>
      <c r="D78" s="22">
        <f>8420+86</f>
        <v>8506</v>
      </c>
      <c r="F78" s="22">
        <v>1718</v>
      </c>
      <c r="G78" s="22">
        <v>1718</v>
      </c>
      <c r="H78" s="22">
        <f t="shared" si="21"/>
        <v>0</v>
      </c>
      <c r="J78" s="22">
        <v>0</v>
      </c>
      <c r="K78" s="22">
        <v>0</v>
      </c>
      <c r="L78" s="22">
        <f t="shared" si="22"/>
        <v>0</v>
      </c>
      <c r="N78" s="22">
        <v>0</v>
      </c>
      <c r="P78" s="22">
        <v>0</v>
      </c>
      <c r="R78" s="22">
        <f t="shared" si="23"/>
        <v>22075</v>
      </c>
      <c r="S78" s="22">
        <f t="shared" si="24"/>
        <v>10224</v>
      </c>
      <c r="T78" s="22">
        <f t="shared" si="25"/>
        <v>32299</v>
      </c>
    </row>
    <row r="79" spans="1:20" ht="11.25">
      <c r="A79" s="2" t="s">
        <v>67</v>
      </c>
      <c r="B79" s="4"/>
      <c r="C79" s="22">
        <v>1652336</v>
      </c>
      <c r="D79" s="22">
        <f>630237+6431</f>
        <v>636668</v>
      </c>
      <c r="F79" s="22">
        <v>128620</v>
      </c>
      <c r="G79" s="22">
        <v>128620</v>
      </c>
      <c r="H79" s="22">
        <f t="shared" si="21"/>
        <v>0</v>
      </c>
      <c r="J79" s="22">
        <v>0</v>
      </c>
      <c r="K79" s="22">
        <v>0</v>
      </c>
      <c r="L79" s="22">
        <f t="shared" si="22"/>
        <v>0</v>
      </c>
      <c r="N79" s="22">
        <v>0</v>
      </c>
      <c r="P79" s="22">
        <v>2067</v>
      </c>
      <c r="R79" s="22">
        <f t="shared" si="23"/>
        <v>1652336</v>
      </c>
      <c r="S79" s="22">
        <f t="shared" si="24"/>
        <v>767355</v>
      </c>
      <c r="T79" s="22">
        <f t="shared" si="25"/>
        <v>2419691</v>
      </c>
    </row>
    <row r="80" spans="1:20" ht="12" thickBot="1">
      <c r="A80" s="2" t="s">
        <v>68</v>
      </c>
      <c r="B80" s="4"/>
      <c r="C80" s="22">
        <v>2664494</v>
      </c>
      <c r="D80" s="22">
        <f>1016295+10370</f>
        <v>1026665</v>
      </c>
      <c r="F80" s="22">
        <v>207407</v>
      </c>
      <c r="G80" s="22">
        <v>207407</v>
      </c>
      <c r="H80" s="22">
        <f t="shared" si="21"/>
        <v>0</v>
      </c>
      <c r="J80" s="22">
        <v>0</v>
      </c>
      <c r="K80" s="22">
        <v>0</v>
      </c>
      <c r="L80" s="22">
        <f t="shared" si="22"/>
        <v>0</v>
      </c>
      <c r="N80" s="22">
        <v>0</v>
      </c>
      <c r="P80" s="22">
        <v>3333</v>
      </c>
      <c r="R80" s="22">
        <f t="shared" si="23"/>
        <v>2664494</v>
      </c>
      <c r="S80" s="22">
        <f t="shared" si="24"/>
        <v>1237405</v>
      </c>
      <c r="T80" s="22">
        <f t="shared" si="25"/>
        <v>3901899</v>
      </c>
    </row>
    <row r="81" spans="1:20" ht="12" thickBot="1">
      <c r="A81" s="2" t="s">
        <v>69</v>
      </c>
      <c r="B81" s="4"/>
      <c r="C81" s="10">
        <f>SUM(C71:C80)</f>
        <v>24531096</v>
      </c>
      <c r="D81" s="10">
        <f>SUM(D71:D80)</f>
        <v>9452164</v>
      </c>
      <c r="F81" s="24">
        <f>SUM(F71:F80)</f>
        <v>1909527</v>
      </c>
      <c r="G81" s="10">
        <f>SUM(G71:G80)</f>
        <v>1892162</v>
      </c>
      <c r="H81" s="10">
        <f>SUM(H71:H80)</f>
        <v>17365</v>
      </c>
      <c r="J81" s="24">
        <f>SUM(J71:J80)</f>
        <v>56412</v>
      </c>
      <c r="K81" s="10">
        <f>SUM(K71:K80)</f>
        <v>0</v>
      </c>
      <c r="L81" s="10">
        <f>SUM(L71:L80)</f>
        <v>56412</v>
      </c>
      <c r="N81" s="10">
        <f>SUM(N71:N80)</f>
        <v>7000</v>
      </c>
      <c r="P81" s="10">
        <f>SUM(P71:P80)</f>
        <v>29324</v>
      </c>
      <c r="R81" s="10">
        <f>SUM(R71:R80)</f>
        <v>24611873</v>
      </c>
      <c r="S81" s="10">
        <f>SUM(S71:S80)</f>
        <v>11366650</v>
      </c>
      <c r="T81" s="10">
        <f>SUM(T71:T80)</f>
        <v>35978523</v>
      </c>
    </row>
    <row r="82" spans="1:20" ht="12.75" thickBot="1" thickTop="1">
      <c r="A82" s="2"/>
      <c r="B82" s="4"/>
      <c r="C82" s="2"/>
      <c r="D82" s="2"/>
      <c r="F82" s="2"/>
      <c r="G82" s="2"/>
      <c r="H82" s="2"/>
      <c r="J82" s="2"/>
      <c r="K82" s="2"/>
      <c r="L82" s="2"/>
      <c r="N82" s="2"/>
      <c r="P82" s="2"/>
      <c r="R82" s="2"/>
      <c r="S82" s="2"/>
      <c r="T82" s="2"/>
    </row>
    <row r="83" spans="1:20" ht="12" thickBot="1">
      <c r="A83" s="2" t="s">
        <v>70</v>
      </c>
      <c r="B83" s="4"/>
      <c r="C83" s="10">
        <f>C15+C27+C38+C47+C55+C68+C81</f>
        <v>128466779</v>
      </c>
      <c r="D83" s="10">
        <f>D15+D27+D38+D47+D55+D68+D81</f>
        <v>49500000</v>
      </c>
      <c r="F83" s="10">
        <f>F15+F27+F38+F47+F55+F68+F81</f>
        <v>10000000</v>
      </c>
      <c r="G83" s="10">
        <f>G15+G27+G38+G47+G55+G68+G81</f>
        <v>7821030</v>
      </c>
      <c r="H83" s="10">
        <f>H15+H27+H38+H47+H55+H68+H81</f>
        <v>2178970</v>
      </c>
      <c r="J83" s="10">
        <f>J15+J27+J38+J47+J55+J68+J81</f>
        <v>6000000</v>
      </c>
      <c r="K83" s="10">
        <f>K15+K27+K38+K47+K55+K68+K81</f>
        <v>976234</v>
      </c>
      <c r="L83" s="10">
        <f>L15+L27+L38+L47+L55+L68+L81</f>
        <v>5023766</v>
      </c>
      <c r="N83" s="10">
        <f>N15+N27+N38+N47+N55+N68+N81</f>
        <v>72163</v>
      </c>
      <c r="P83" s="10">
        <f>P15+P27+P38+P47+P55+P68+P81</f>
        <v>155710</v>
      </c>
      <c r="R83" s="10">
        <f>R15+R27+R38+R47+R55+R68+R81</f>
        <v>135741678</v>
      </c>
      <c r="S83" s="10">
        <f>S15+S27+S38+S47+S55+S68+S81</f>
        <v>58380811</v>
      </c>
      <c r="T83" s="10">
        <f>T15+T27+T38+T47+T55+T68+T81</f>
        <v>194122489</v>
      </c>
    </row>
    <row r="84" ht="12" thickTop="1"/>
    <row r="88" spans="3:20" ht="11.25">
      <c r="C88" s="35" t="s">
        <v>92</v>
      </c>
      <c r="D88" s="34"/>
      <c r="E88" s="34"/>
      <c r="F88" s="12"/>
      <c r="G88" s="13">
        <v>140000000</v>
      </c>
      <c r="H88" s="13"/>
      <c r="I88" s="13"/>
      <c r="J88" s="12"/>
      <c r="K88" s="13"/>
      <c r="L88" s="13"/>
      <c r="N88" s="13"/>
      <c r="P88" s="13"/>
      <c r="R88" s="13" t="s">
        <v>101</v>
      </c>
      <c r="S88" s="13">
        <f>G92-F89+G97+J83</f>
        <v>193966779</v>
      </c>
      <c r="T88" s="13"/>
    </row>
    <row r="89" spans="3:20" ht="12" thickBot="1">
      <c r="C89" s="33" t="s">
        <v>78</v>
      </c>
      <c r="D89" s="34"/>
      <c r="E89" s="34"/>
      <c r="F89" s="14">
        <v>-10000000</v>
      </c>
      <c r="G89" s="12"/>
      <c r="H89" s="12"/>
      <c r="I89" s="12"/>
      <c r="J89" s="14"/>
      <c r="K89" s="12"/>
      <c r="L89" s="12"/>
      <c r="N89" s="12"/>
      <c r="P89" s="12"/>
      <c r="R89" s="13" t="s">
        <v>102</v>
      </c>
      <c r="S89" s="23">
        <f>P83</f>
        <v>155710</v>
      </c>
      <c r="T89" s="12"/>
    </row>
    <row r="90" spans="3:20" ht="11.25">
      <c r="C90" s="33" t="s">
        <v>74</v>
      </c>
      <c r="D90" s="34"/>
      <c r="E90" s="34"/>
      <c r="F90" s="14">
        <v>-983221</v>
      </c>
      <c r="G90" s="12"/>
      <c r="H90" s="12"/>
      <c r="I90" s="12"/>
      <c r="J90" s="14"/>
      <c r="K90" s="26"/>
      <c r="L90" s="26"/>
      <c r="N90" s="12"/>
      <c r="P90" s="12"/>
      <c r="R90" s="13" t="s">
        <v>88</v>
      </c>
      <c r="S90" s="13">
        <f>S88+S89</f>
        <v>194122489</v>
      </c>
      <c r="T90" s="12"/>
    </row>
    <row r="91" spans="3:20" ht="12" thickBot="1">
      <c r="C91" s="33" t="s">
        <v>75</v>
      </c>
      <c r="D91" s="34"/>
      <c r="E91" s="34"/>
      <c r="F91" s="16">
        <v>-550000</v>
      </c>
      <c r="G91" s="15">
        <f>SUM(F89:F91)</f>
        <v>-11533221</v>
      </c>
      <c r="H91" s="16"/>
      <c r="I91" s="16"/>
      <c r="J91" s="16"/>
      <c r="K91" s="16"/>
      <c r="L91" s="16"/>
      <c r="N91" s="16"/>
      <c r="O91" s="18"/>
      <c r="P91" s="16"/>
      <c r="R91" s="16"/>
      <c r="S91" s="16"/>
      <c r="T91" s="16"/>
    </row>
    <row r="92" spans="3:20" ht="11.25">
      <c r="C92" s="33" t="s">
        <v>76</v>
      </c>
      <c r="D92" s="34"/>
      <c r="E92" s="34"/>
      <c r="F92" s="12"/>
      <c r="G92" s="13">
        <f>SUM(G88:G91)</f>
        <v>128466779</v>
      </c>
      <c r="H92" s="13"/>
      <c r="I92" s="13"/>
      <c r="J92" s="12"/>
      <c r="K92" s="17"/>
      <c r="L92" s="17"/>
      <c r="N92" s="17"/>
      <c r="O92" s="18"/>
      <c r="P92" s="17"/>
      <c r="R92" s="17"/>
      <c r="S92" s="17"/>
      <c r="T92" s="17"/>
    </row>
    <row r="93" spans="11:20" ht="11.25">
      <c r="K93" s="18"/>
      <c r="L93" s="18"/>
      <c r="N93" s="18"/>
      <c r="O93" s="18"/>
      <c r="P93" s="18"/>
      <c r="R93" s="18"/>
      <c r="S93" s="18"/>
      <c r="T93" s="18"/>
    </row>
    <row r="94" spans="11:20" ht="11.25">
      <c r="K94" s="18"/>
      <c r="L94" s="18"/>
      <c r="N94" s="18"/>
      <c r="O94" s="18"/>
      <c r="P94" s="18"/>
      <c r="R94" s="18"/>
      <c r="S94" s="18"/>
      <c r="T94" s="18"/>
    </row>
    <row r="95" spans="3:20" ht="11.25">
      <c r="C95" s="31" t="s">
        <v>89</v>
      </c>
      <c r="D95" s="31"/>
      <c r="E95" s="31"/>
      <c r="G95" s="13">
        <v>50000000</v>
      </c>
      <c r="H95" s="13"/>
      <c r="I95" s="13"/>
      <c r="K95" s="17"/>
      <c r="L95" s="17"/>
      <c r="N95" s="17"/>
      <c r="O95" s="18"/>
      <c r="P95" s="17"/>
      <c r="R95" s="17"/>
      <c r="S95" s="17"/>
      <c r="T95" s="17"/>
    </row>
    <row r="96" spans="3:20" ht="12" thickBot="1">
      <c r="C96" s="31" t="s">
        <v>99</v>
      </c>
      <c r="D96" s="31"/>
      <c r="E96" s="31"/>
      <c r="G96" s="15">
        <f>-G95*1%</f>
        <v>-500000</v>
      </c>
      <c r="H96" s="16"/>
      <c r="I96" s="16"/>
      <c r="K96" s="16"/>
      <c r="L96" s="16"/>
      <c r="N96" s="16"/>
      <c r="O96" s="18"/>
      <c r="P96" s="16"/>
      <c r="R96" s="16"/>
      <c r="S96" s="16"/>
      <c r="T96" s="16"/>
    </row>
    <row r="97" spans="3:20" ht="11.25">
      <c r="C97" s="31" t="s">
        <v>83</v>
      </c>
      <c r="D97" s="31"/>
      <c r="E97" s="31"/>
      <c r="G97" s="13">
        <f>SUM(G95:G96)</f>
        <v>49500000</v>
      </c>
      <c r="H97" s="13"/>
      <c r="I97" s="13"/>
      <c r="K97" s="17"/>
      <c r="L97" s="17"/>
      <c r="N97" s="17"/>
      <c r="O97" s="18"/>
      <c r="P97" s="17"/>
      <c r="R97" s="13"/>
      <c r="S97" s="13"/>
      <c r="T97" s="13"/>
    </row>
    <row r="98" spans="3:12" ht="21.75" customHeight="1">
      <c r="C98" s="32" t="s">
        <v>100</v>
      </c>
      <c r="D98" s="32"/>
      <c r="E98" s="32"/>
      <c r="K98" s="18"/>
      <c r="L98" s="18"/>
    </row>
  </sheetData>
  <mergeCells count="23">
    <mergeCell ref="R3:R5"/>
    <mergeCell ref="S3:S5"/>
    <mergeCell ref="T3:T5"/>
    <mergeCell ref="C95:E95"/>
    <mergeCell ref="C91:E91"/>
    <mergeCell ref="C88:E88"/>
    <mergeCell ref="C89:E89"/>
    <mergeCell ref="C90:E90"/>
    <mergeCell ref="F3:F5"/>
    <mergeCell ref="G3:G5"/>
    <mergeCell ref="C96:E96"/>
    <mergeCell ref="C97:E97"/>
    <mergeCell ref="C98:E98"/>
    <mergeCell ref="C92:E92"/>
    <mergeCell ref="H3:H5"/>
    <mergeCell ref="A2:A5"/>
    <mergeCell ref="C3:C5"/>
    <mergeCell ref="D3:D5"/>
    <mergeCell ref="J3:J5"/>
    <mergeCell ref="K3:K5"/>
    <mergeCell ref="L3:L5"/>
    <mergeCell ref="P3:P5"/>
    <mergeCell ref="N3:N5"/>
  </mergeCells>
  <printOptions/>
  <pageMargins left="0.31" right="0.24" top="0.85" bottom="1.5" header="0.5" footer="0.5"/>
  <pageSetup fitToHeight="5" horizontalDpi="600" verticalDpi="600" orientation="landscape" paperSize="5" scale="57" r:id="rId1"/>
  <rowBreaks count="1" manualBreakCount="1">
    <brk id="5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S. Machelski</dc:creator>
  <cp:keywords/>
  <dc:description/>
  <cp:lastModifiedBy>Jeffrey S. Machelski</cp:lastModifiedBy>
  <cp:lastPrinted>2006-07-07T10:44:42Z</cp:lastPrinted>
  <dcterms:created xsi:type="dcterms:W3CDTF">2004-05-21T19:19:14Z</dcterms:created>
  <dcterms:modified xsi:type="dcterms:W3CDTF">2006-07-07T10:44:59Z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