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885" windowWidth="15480" windowHeight="8565" activeTab="1"/>
  </bookViews>
  <sheets>
    <sheet name="MGMT FUND" sheetId="1" r:id="rId1"/>
    <sheet name="SSF ASSESS" sheetId="2" r:id="rId2"/>
    <sheet name="CSR" sheetId="3" r:id="rId3"/>
    <sheet name="CIT" sheetId="4" r:id="rId4"/>
    <sheet name="CC" sheetId="5" r:id="rId5"/>
    <sheet name="OD" sheetId="6" r:id="rId6"/>
    <sheet name="ORS" sheetId="7" r:id="rId7"/>
    <sheet name="ORF" sheetId="8" r:id="rId8"/>
    <sheet name="NSABB" sheetId="9" r:id="rId9"/>
    <sheet name="DHHS Assess" sheetId="10" r:id="rId10"/>
    <sheet name="Reserve " sheetId="11" r:id="rId11"/>
    <sheet name="WCF PMS" sheetId="12" r:id="rId12"/>
    <sheet name="Unempl &amp; work comp" sheetId="13" r:id="rId13"/>
    <sheet name="EIT" sheetId="14" r:id="rId14"/>
    <sheet name="OTT" sheetId="15" r:id="rId15"/>
    <sheet name="Telcom" sheetId="16" r:id="rId16"/>
    <sheet name="IT Software Dev" sheetId="17" r:id="rId17"/>
    <sheet name="eRA Ongoing" sheetId="18" r:id="rId18"/>
    <sheet name="HR Ongoing" sheetId="19" r:id="rId19"/>
    <sheet name="IV&amp;V" sheetId="20" r:id="rId20"/>
    <sheet name="CIT Assessments" sheetId="21" r:id="rId21"/>
    <sheet name="Bioethics" sheetId="22" r:id="rId22"/>
    <sheet name="Grad Prog" sheetId="23" r:id="rId23"/>
    <sheet name="NRSA Payback" sheetId="24" r:id="rId24"/>
    <sheet name="Intern Prog" sheetId="25" r:id="rId25"/>
    <sheet name="NIH OHR  " sheetId="26" r:id="rId26"/>
    <sheet name=" HR Residual" sheetId="27" r:id="rId27"/>
    <sheet name="OFM" sheetId="28" r:id="rId28"/>
    <sheet name="UFMS" sheetId="29" r:id="rId29"/>
    <sheet name="Census" sheetId="30" r:id="rId30"/>
    <sheet name="FTEs &amp; onbrd" sheetId="31" r:id="rId31"/>
    <sheet name="School Tax" sheetId="32" r:id="rId32"/>
    <sheet name="TCR Model" sheetId="33" r:id="rId33"/>
    <sheet name="FY07 PB" sheetId="34" r:id="rId34"/>
    <sheet name="Notes" sheetId="35" r:id="rId35"/>
    <sheet name="Document Nos." sheetId="36" r:id="rId36"/>
    <sheet name="placeholder1" sheetId="37" r:id="rId37"/>
  </sheets>
  <definedNames>
    <definedName name="_xlnm.Print_Area" localSheetId="30">'FTEs &amp; onbrd'!$A$1:$K$40</definedName>
    <definedName name="_xlnm.Print_Area" localSheetId="0">'MGMT FUND'!$A$1:$P$44</definedName>
    <definedName name="_xlnm.Print_Area" localSheetId="31">'School Tax'!$A$1:$G$41</definedName>
    <definedName name="_xlnm.Print_Area" localSheetId="11">'WCF PMS'!$A$1:$L$42</definedName>
  </definedNames>
  <calcPr fullCalcOnLoad="1"/>
</workbook>
</file>

<file path=xl/comments29.xml><?xml version="1.0" encoding="utf-8"?>
<comments xmlns="http://schemas.openxmlformats.org/spreadsheetml/2006/main">
  <authors>
    <author>stonec</author>
  </authors>
  <commentList>
    <comment ref="D38" authorId="0">
      <text>
        <r>
          <rPr>
            <b/>
            <sz val="8"/>
            <rFont val="Tahoma"/>
            <family val="0"/>
          </rPr>
          <t>ston.ec:</t>
        </r>
        <r>
          <rPr>
            <sz val="8"/>
            <rFont val="Tahoma"/>
            <family val="0"/>
          </rPr>
          <t xml:space="preserve">
sum(</t>
        </r>
      </text>
    </comment>
  </commentList>
</comments>
</file>

<file path=xl/comments34.xml><?xml version="1.0" encoding="utf-8"?>
<comments xmlns="http://schemas.openxmlformats.org/spreadsheetml/2006/main">
  <authors>
    <author>Ricci</author>
  </authors>
  <commentList>
    <comment ref="J19" authorId="0">
      <text>
        <r>
          <rPr>
            <sz val="10"/>
            <rFont val="Tahoma"/>
            <family val="0"/>
          </rPr>
          <t xml:space="preserve">
Original table had this number at 306 (a typo)
</t>
        </r>
      </text>
    </comment>
  </commentList>
</comments>
</file>

<file path=xl/sharedStrings.xml><?xml version="1.0" encoding="utf-8"?>
<sst xmlns="http://schemas.openxmlformats.org/spreadsheetml/2006/main" count="1686" uniqueCount="335">
  <si>
    <t>NCI</t>
  </si>
  <si>
    <t>DHHS</t>
  </si>
  <si>
    <t>Wrk Cap</t>
  </si>
  <si>
    <t>Workmn</t>
  </si>
  <si>
    <t>Subtotal</t>
  </si>
  <si>
    <t>CSR</t>
  </si>
  <si>
    <t>CIT</t>
  </si>
  <si>
    <t xml:space="preserve">CC  </t>
  </si>
  <si>
    <t>OD</t>
  </si>
  <si>
    <t>ORS</t>
  </si>
  <si>
    <t>Assess</t>
  </si>
  <si>
    <t>Reserve</t>
  </si>
  <si>
    <t>Pmt Mgt</t>
  </si>
  <si>
    <t>Comp</t>
  </si>
  <si>
    <t>MF</t>
  </si>
  <si>
    <t>NHLBI</t>
  </si>
  <si>
    <t>NIDCR</t>
  </si>
  <si>
    <t>NIDDK</t>
  </si>
  <si>
    <t>NINDS</t>
  </si>
  <si>
    <t>NIAID</t>
  </si>
  <si>
    <t>NIGMS</t>
  </si>
  <si>
    <t>NICHD</t>
  </si>
  <si>
    <t>NEI</t>
  </si>
  <si>
    <t>NIEHS</t>
  </si>
  <si>
    <t>NIA</t>
  </si>
  <si>
    <t>NIAMS</t>
  </si>
  <si>
    <t>NIDCD</t>
  </si>
  <si>
    <t>NIMH</t>
  </si>
  <si>
    <t>NIDA</t>
  </si>
  <si>
    <t>NIAAA</t>
  </si>
  <si>
    <t>NINR</t>
  </si>
  <si>
    <t>NHGRI</t>
  </si>
  <si>
    <t>NIBIB</t>
  </si>
  <si>
    <t>NCRR</t>
  </si>
  <si>
    <t>NCCAM</t>
  </si>
  <si>
    <t>NCMHD</t>
  </si>
  <si>
    <t>FIC</t>
  </si>
  <si>
    <t>NLM</t>
  </si>
  <si>
    <t>FDA</t>
  </si>
  <si>
    <t>CC</t>
  </si>
  <si>
    <t>Total</t>
  </si>
  <si>
    <t>Factor</t>
  </si>
  <si>
    <t>Percent</t>
  </si>
  <si>
    <t>Amount</t>
  </si>
  <si>
    <t>DHHS Assessment</t>
  </si>
  <si>
    <t>Intramural</t>
  </si>
  <si>
    <t>RMS</t>
  </si>
  <si>
    <t>Extramural</t>
  </si>
  <si>
    <t>Unemployment and Workers Compensation</t>
  </si>
  <si>
    <t>Cancer</t>
  </si>
  <si>
    <t>Control</t>
  </si>
  <si>
    <t>OD/CS</t>
  </si>
  <si>
    <t>Mgmt Fnd</t>
  </si>
  <si>
    <t>SSF</t>
  </si>
  <si>
    <t>AUX</t>
  </si>
  <si>
    <t>OTT</t>
  </si>
  <si>
    <t>Telcom</t>
  </si>
  <si>
    <t>Network</t>
  </si>
  <si>
    <t>eRA</t>
  </si>
  <si>
    <t>Ongoing</t>
  </si>
  <si>
    <t>HR</t>
  </si>
  <si>
    <t>Grad</t>
  </si>
  <si>
    <t>Program</t>
  </si>
  <si>
    <t>NRSA</t>
  </si>
  <si>
    <t>Payback</t>
  </si>
  <si>
    <t>UFMS</t>
  </si>
  <si>
    <t>EIM</t>
  </si>
  <si>
    <t>DHHS Enterprise Infrastructure</t>
  </si>
  <si>
    <t>Factor - President's Budget</t>
  </si>
  <si>
    <t>Factor - School Tax</t>
  </si>
  <si>
    <t>Office of Technology Transfer (OTT)</t>
  </si>
  <si>
    <t>Telecommunications</t>
  </si>
  <si>
    <t>eRA Ongoing</t>
  </si>
  <si>
    <t>HR Ongoing</t>
  </si>
  <si>
    <t>Graduate Program</t>
  </si>
  <si>
    <t>NRSA Payback</t>
  </si>
  <si>
    <t>Unified Financial Management System</t>
  </si>
  <si>
    <t>PB</t>
  </si>
  <si>
    <t>NATIONAL INSTITUTES OF HEALTH</t>
  </si>
  <si>
    <t>Intramural Budget by IC</t>
  </si>
  <si>
    <t>Adjusted</t>
  </si>
  <si>
    <t>of Total 2/</t>
  </si>
  <si>
    <t xml:space="preserve">Budget </t>
  </si>
  <si>
    <t>NIGMS*</t>
  </si>
  <si>
    <t xml:space="preserve"> 1/</t>
  </si>
  <si>
    <t>NIA*</t>
  </si>
  <si>
    <t>NIDA*</t>
  </si>
  <si>
    <t>FTEs</t>
  </si>
  <si>
    <t>Factor -  Payback file open records</t>
  </si>
  <si>
    <t xml:space="preserve"> (open records include all records in the Payback File which</t>
  </si>
  <si>
    <t xml:space="preserve">  have unsatisfied obligations, does not include records</t>
  </si>
  <si>
    <t xml:space="preserve">  without Termination Notices)</t>
  </si>
  <si>
    <t>Management Intern Program</t>
  </si>
  <si>
    <t>Mgmt</t>
  </si>
  <si>
    <t>Intern Prog</t>
  </si>
  <si>
    <t>Factor - On-board strength</t>
  </si>
  <si>
    <t>Factor -  Number of phone lines</t>
  </si>
  <si>
    <t xml:space="preserve">Factor -  Weighted usage of CRADAs, EIRs, </t>
  </si>
  <si>
    <t xml:space="preserve">               Applications filed/pending, Licenses</t>
  </si>
  <si>
    <t>IT Software Development Account</t>
  </si>
  <si>
    <t>(dollars in thousands)</t>
  </si>
  <si>
    <t>$ in thousands</t>
  </si>
  <si>
    <t>IT Software</t>
  </si>
  <si>
    <t xml:space="preserve">note:  excludes summers </t>
  </si>
  <si>
    <t>PSC/HRS Tap</t>
  </si>
  <si>
    <t>Percent of</t>
  </si>
  <si>
    <t>Total, ICs</t>
  </si>
  <si>
    <t>Grand Ttl</t>
  </si>
  <si>
    <t>Total w/ CS</t>
  </si>
  <si>
    <t>% of Total</t>
  </si>
  <si>
    <t>w/o CS</t>
  </si>
  <si>
    <t xml:space="preserve">Subtotal </t>
  </si>
  <si>
    <t>Single Investigator</t>
  </si>
  <si>
    <t>Other</t>
  </si>
  <si>
    <t>INSTITUTE</t>
  </si>
  <si>
    <t>New</t>
  </si>
  <si>
    <t>Renewal</t>
  </si>
  <si>
    <t xml:space="preserve">PSC </t>
  </si>
  <si>
    <t>AR includes open files from AM</t>
  </si>
  <si>
    <t>Office of Financial Management</t>
  </si>
  <si>
    <t xml:space="preserve">CIT </t>
  </si>
  <si>
    <t>OFM</t>
  </si>
  <si>
    <t>Assessmnts</t>
  </si>
  <si>
    <t>Clinical Center</t>
  </si>
  <si>
    <t>Center for Scientific Review</t>
  </si>
  <si>
    <t>Center for Information Technology</t>
  </si>
  <si>
    <t>Office of Research Services</t>
  </si>
  <si>
    <t>MF Reserve</t>
  </si>
  <si>
    <t>OHR</t>
  </si>
  <si>
    <t xml:space="preserve">Factor </t>
  </si>
  <si>
    <t>Pres. Budget</t>
  </si>
  <si>
    <t>Clinical Ctr</t>
  </si>
  <si>
    <t>"School Tax"</t>
  </si>
  <si>
    <t xml:space="preserve">Management Fund  </t>
  </si>
  <si>
    <t xml:space="preserve">Service and Supply Fund Assessments </t>
  </si>
  <si>
    <t>Workcomp</t>
  </si>
  <si>
    <t>Unemploy</t>
  </si>
  <si>
    <t>Number</t>
  </si>
  <si>
    <t>of Rsrch Grants</t>
  </si>
  <si>
    <t>Construction</t>
  </si>
  <si>
    <t>Cancer Control/</t>
  </si>
  <si>
    <t>Local</t>
  </si>
  <si>
    <t>Campus</t>
  </si>
  <si>
    <t>Field</t>
  </si>
  <si>
    <t>NIHAC</t>
  </si>
  <si>
    <t>ORF</t>
  </si>
  <si>
    <t>On-Board</t>
  </si>
  <si>
    <t>Strength</t>
  </si>
  <si>
    <t>Percent of TL Amt</t>
  </si>
  <si>
    <t>Includes Biodefense, Type I Diabetes, and Roadmap</t>
  </si>
  <si>
    <t>Office of Research Facilities</t>
  </si>
  <si>
    <t>Development &amp; Operations</t>
  </si>
  <si>
    <t>* Work Life Center; Training Mgmt; NIH Intern Mgmt;</t>
  </si>
  <si>
    <t xml:space="preserve">   Commissioned Corps Mgmt</t>
  </si>
  <si>
    <t>A-76 Studies</t>
  </si>
  <si>
    <t>Transition Center</t>
  </si>
  <si>
    <t>R &amp; D</t>
  </si>
  <si>
    <t>Contracts</t>
  </si>
  <si>
    <t>Factor -  Grants</t>
  </si>
  <si>
    <t>Parklawn Service Center and Payment Management System</t>
  </si>
  <si>
    <t xml:space="preserve">note:  Parklawn Service Center was formerly Working Capital Fund (WCF) </t>
  </si>
  <si>
    <t>Factor - Grants, Contracts &amp;</t>
  </si>
  <si>
    <t xml:space="preserve">   on-board</t>
  </si>
  <si>
    <t>NSABB</t>
  </si>
  <si>
    <t xml:space="preserve">OTT </t>
  </si>
  <si>
    <t>eRA ongoing</t>
  </si>
  <si>
    <t>HR ongoing</t>
  </si>
  <si>
    <t>Telcommunications</t>
  </si>
  <si>
    <t>IT Software Develop.</t>
  </si>
  <si>
    <t>CIT Assessments:</t>
  </si>
  <si>
    <t xml:space="preserve">   Network</t>
  </si>
  <si>
    <t>Document number</t>
  </si>
  <si>
    <t>Graduate Prog</t>
  </si>
  <si>
    <t>Mgmt Intern Prog</t>
  </si>
  <si>
    <t>Programs for S&amp;SF</t>
  </si>
  <si>
    <t>Programs for MF</t>
  </si>
  <si>
    <t>ORFDO</t>
  </si>
  <si>
    <t>DHHS Assess</t>
  </si>
  <si>
    <t>Work Cap/Pymt Mgmt</t>
  </si>
  <si>
    <t>Workman Comp/Unempl</t>
  </si>
  <si>
    <t>CC MIS</t>
  </si>
  <si>
    <t>DHHS EIT</t>
  </si>
  <si>
    <t>O.C.</t>
  </si>
  <si>
    <t>25.9X</t>
  </si>
  <si>
    <t>646TELCOM SSF</t>
  </si>
  <si>
    <t>25.9N</t>
  </si>
  <si>
    <t>25.3Q</t>
  </si>
  <si>
    <t>25.9Y</t>
  </si>
  <si>
    <t>81.2Q</t>
  </si>
  <si>
    <t>81.2P</t>
  </si>
  <si>
    <t>81.2N</t>
  </si>
  <si>
    <t>NIH OHR</t>
  </si>
  <si>
    <t>900MGMT FUND</t>
  </si>
  <si>
    <t xml:space="preserve"> </t>
  </si>
  <si>
    <t>Devlopmnt</t>
  </si>
  <si>
    <t>Tier 1 Help Desk</t>
  </si>
  <si>
    <t xml:space="preserve">   Help Desk</t>
  </si>
  <si>
    <t>Bioethics</t>
  </si>
  <si>
    <t>NBIS &amp; ADB Ongoing</t>
  </si>
  <si>
    <t>Factor - Total Census</t>
  </si>
  <si>
    <t xml:space="preserve">Factor - 50% Total Census </t>
  </si>
  <si>
    <t xml:space="preserve">    and 50% Usage</t>
  </si>
  <si>
    <t>Factor - TCR Model</t>
  </si>
  <si>
    <t>Factor - Census by Campus; Local; Field; Poolesville</t>
  </si>
  <si>
    <t>Factor - Research Grants PB</t>
  </si>
  <si>
    <t>NIH HR Consolidation</t>
  </si>
  <si>
    <t>Road Map</t>
  </si>
  <si>
    <t xml:space="preserve">PMS </t>
  </si>
  <si>
    <t>DEAS</t>
  </si>
  <si>
    <t>Common Services *</t>
  </si>
  <si>
    <t>(formerly called Business Intelligence)</t>
  </si>
  <si>
    <t>Factor - 50% Amended PB</t>
  </si>
  <si>
    <t>Factor - 50% Total Census</t>
  </si>
  <si>
    <t xml:space="preserve">Transition Center </t>
  </si>
  <si>
    <t>Office of the Director 1/</t>
  </si>
  <si>
    <t>1/ Includes Ethics Database; Ethics Office;</t>
  </si>
  <si>
    <t>Factor # of students</t>
  </si>
  <si>
    <t>Amount per Student</t>
  </si>
  <si>
    <t xml:space="preserve">    Human Capital; Transition Center; DEAS;</t>
  </si>
  <si>
    <t>OHR/CS</t>
  </si>
  <si>
    <t>Includes DEAS</t>
  </si>
  <si>
    <t>Management Fund</t>
  </si>
  <si>
    <t>Ethics Office</t>
  </si>
  <si>
    <t>Human Capital</t>
  </si>
  <si>
    <t>Obesity</t>
  </si>
  <si>
    <t>Security</t>
  </si>
  <si>
    <t>Smoking Cessation</t>
  </si>
  <si>
    <t>HHS University</t>
  </si>
  <si>
    <t>HR Software Maintenance</t>
  </si>
  <si>
    <t>Strategic Sourcing</t>
  </si>
  <si>
    <t>Small Business</t>
  </si>
  <si>
    <t>Program:</t>
  </si>
  <si>
    <t>CSOC:</t>
  </si>
  <si>
    <t>CSBAB</t>
  </si>
  <si>
    <t>Human Resources</t>
  </si>
  <si>
    <t>FTEs &amp; On-Board Strength</t>
  </si>
  <si>
    <t>*</t>
  </si>
  <si>
    <t xml:space="preserve">note: (There is no longer </t>
  </si>
  <si>
    <t xml:space="preserve">  an assessment for IT </t>
  </si>
  <si>
    <t xml:space="preserve">  Consolidation)</t>
  </si>
  <si>
    <t>MBWG approved CC budg. less NIA,NIGMS,NIDA</t>
  </si>
  <si>
    <t xml:space="preserve">           </t>
  </si>
  <si>
    <t>HR Residual</t>
  </si>
  <si>
    <t>(formerly OD HR Related Core Functions *)</t>
  </si>
  <si>
    <t xml:space="preserve">   ADB/NBIS</t>
  </si>
  <si>
    <t>NIH HR</t>
  </si>
  <si>
    <t xml:space="preserve">   Common Services</t>
  </si>
  <si>
    <t>Smart Card</t>
  </si>
  <si>
    <t>ORS/CIT</t>
  </si>
  <si>
    <t>Flexible Spending</t>
  </si>
  <si>
    <t>Ethics Database (NEES)</t>
  </si>
  <si>
    <t>A-76</t>
  </si>
  <si>
    <t>Service and Supply Fund</t>
  </si>
  <si>
    <t>Factor - 50% Amended PB and</t>
  </si>
  <si>
    <t xml:space="preserve">   50% Census</t>
  </si>
  <si>
    <t>FY2007</t>
  </si>
  <si>
    <t>FY 2007 President's Budget</t>
  </si>
  <si>
    <t>Roadmap</t>
  </si>
  <si>
    <t>FY 2007</t>
  </si>
  <si>
    <t>Number of Applications (Phase III)</t>
  </si>
  <si>
    <t xml:space="preserve">    IC TOTAL</t>
  </si>
  <si>
    <t>ROADMAP-ML</t>
  </si>
  <si>
    <t>ROADMAP-BB</t>
  </si>
  <si>
    <t>ROADMAP-SB</t>
  </si>
  <si>
    <t>ROADMAP-BC</t>
  </si>
  <si>
    <t>ROADMAP-NM</t>
  </si>
  <si>
    <t>ROADMAP-IR</t>
  </si>
  <si>
    <t>ROADMAP-HR</t>
  </si>
  <si>
    <t>ROADMAP-CR</t>
  </si>
  <si>
    <t xml:space="preserve">    RM TOTAL</t>
  </si>
  <si>
    <t>104OTT2007</t>
  </si>
  <si>
    <t>104ITINVEST07</t>
  </si>
  <si>
    <t>104ERAONGO07</t>
  </si>
  <si>
    <t>104HRONGO2007</t>
  </si>
  <si>
    <t>104ADB2007</t>
  </si>
  <si>
    <t>104NETWORK07</t>
  </si>
  <si>
    <t>104COMMON07</t>
  </si>
  <si>
    <t>104HELPDESK07</t>
  </si>
  <si>
    <t>104BIOETHIC07</t>
  </si>
  <si>
    <t>104GRADPROG07</t>
  </si>
  <si>
    <t>104NRSAPYBK07</t>
  </si>
  <si>
    <t>104INTRNPRG07</t>
  </si>
  <si>
    <t>104NIHHR2007</t>
  </si>
  <si>
    <t>104ODHR2007</t>
  </si>
  <si>
    <t>104OFM2007</t>
  </si>
  <si>
    <t>104NIHUFMS07</t>
  </si>
  <si>
    <t>900MFEIT07</t>
  </si>
  <si>
    <t>900MFRDMAP07</t>
  </si>
  <si>
    <t>FY2007 PB</t>
  </si>
  <si>
    <t>w/o Roadmap</t>
  </si>
  <si>
    <t>FY 2007 FTEs</t>
  </si>
  <si>
    <t>FTE w/o RdMp</t>
  </si>
  <si>
    <t>exclude RdMp</t>
  </si>
  <si>
    <t>Fiscal Year 2007</t>
  </si>
  <si>
    <t>*In FY 2007, NIGMS, NIA and NIDA will remain at the FY 1999 level</t>
  </si>
  <si>
    <t>FY 2006 Census</t>
  </si>
  <si>
    <t xml:space="preserve">OD </t>
  </si>
  <si>
    <t>Road-map 1/</t>
  </si>
  <si>
    <t>2007 CJ  Target</t>
  </si>
  <si>
    <t>as of 9/30/2006</t>
  </si>
  <si>
    <t xml:space="preserve">National Science Advisory Board for Biosecurity </t>
  </si>
  <si>
    <t>CIT Assessments 2007</t>
  </si>
  <si>
    <t>NEES</t>
  </si>
  <si>
    <t>NIDB</t>
  </si>
  <si>
    <t>IV&amp;V</t>
  </si>
  <si>
    <t>Factor - Number of graduate students x $2,012</t>
  </si>
  <si>
    <t>Factor - # of transactions processed in FY 06</t>
  </si>
  <si>
    <t>CRIS M&amp;O (formerly MIS)</t>
  </si>
  <si>
    <t>Note:  Total amount assessed excludes $2.7 mil to account for</t>
  </si>
  <si>
    <t>Factor -  President's Budget</t>
  </si>
  <si>
    <t xml:space="preserve">Factor -  Extramural Budget </t>
  </si>
  <si>
    <t xml:space="preserve">               based on the Presidents Budget</t>
  </si>
  <si>
    <t xml:space="preserve">Factor -  OD contributes $1,557k; remainder is distributed </t>
  </si>
  <si>
    <t xml:space="preserve">1/ excludes $38,457k for NTP and  facility support </t>
  </si>
  <si>
    <t>Adjusted IR budget less NIA, NIGMS, NIDA</t>
  </si>
  <si>
    <t>OD-CS</t>
  </si>
  <si>
    <t>FY07 Revised Ceiling</t>
  </si>
  <si>
    <t>Factor - FY07 PB</t>
  </si>
  <si>
    <t>Factor -   Revised FY2007 FTE Ceiling</t>
  </si>
  <si>
    <t>Factor -   FY 2007 Revised FTE Ceiling</t>
  </si>
  <si>
    <t>Factor -  FY 2007 Revised FTE Ceiling+A14</t>
  </si>
  <si>
    <t>Note:  Total amount assessed excludes $9.8 mil to account for</t>
  </si>
  <si>
    <t xml:space="preserve">           carryover from FY06 Smart Card; $10 mil will be collected </t>
  </si>
  <si>
    <t xml:space="preserve">           this FY, for a total of $19.8 mil for Smart Card funding.</t>
  </si>
  <si>
    <t xml:space="preserve">           will be collected for Smart Card this FY.</t>
  </si>
  <si>
    <t xml:space="preserve">           carryover from FY06 Smart Card; $0 additional funds</t>
  </si>
  <si>
    <t xml:space="preserve">NIH Intramural Data Base (NIDB) </t>
  </si>
  <si>
    <t xml:space="preserve">   NIDB</t>
  </si>
  <si>
    <t xml:space="preserve">   NEES</t>
  </si>
  <si>
    <t>104NIDB2007</t>
  </si>
  <si>
    <t>104NEES2007</t>
  </si>
  <si>
    <t>in 4th QTR</t>
  </si>
  <si>
    <t>REVISED
Subtotal</t>
  </si>
  <si>
    <t>ORIGINAL
Subtotal</t>
  </si>
  <si>
    <t>Difference to 
be adjusted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</si>
</sst>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0.0%"/>
    <numFmt numFmtId="172" formatCode="&quot;$&quot;#,##0.00"/>
    <numFmt numFmtId="173" formatCode="&quot;$&quot;#,##0.0"/>
    <numFmt numFmtId="174" formatCode="mmmm\ d\,\ yyyy"/>
    <numFmt numFmtId="175" formatCode="_(* #,##0.000_);_(* \(#,##0.000\);_(* &quot;-&quot;??_);_(@_)"/>
    <numFmt numFmtId="176" formatCode="_(* #,##0.0_);_(* \(#,##0.0\);_(* &quot;-&quot;?_);_(@_)"/>
    <numFmt numFmtId="177" formatCode="0.0"/>
    <numFmt numFmtId="178" formatCode="[$$-409]#,##0.0"/>
    <numFmt numFmtId="179" formatCode="#,##0.0"/>
    <numFmt numFmtId="180" formatCode="_(&quot;$&quot;* #,##0.000_);_(&quot;$&quot;* \(#,##0.000\);_(&quot;$&quot;* &quot;-&quot;??_);_(@_)"/>
    <numFmt numFmtId="181" formatCode="[$$-409]#,##0.00"/>
    <numFmt numFmtId="182" formatCode="[$$-409]#,##0.000"/>
    <numFmt numFmtId="183" formatCode="0.000"/>
    <numFmt numFmtId="184" formatCode="&quot;$&quot;#,##0.000"/>
    <numFmt numFmtId="185" formatCode="_(&quot;$&quot;* #,##0.0000_);_(&quot;$&quot;* \(#,##0.0000\);_(&quot;$&quot;* &quot;-&quot;??_);_(@_)"/>
    <numFmt numFmtId="186" formatCode="0.000%"/>
    <numFmt numFmtId="187" formatCode="_(* #,##0.0000_);_(* \(#,##0.00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&quot;$&quot;#,##0.0_);[Red]\(&quot;$&quot;#,##0.0\)"/>
    <numFmt numFmtId="195" formatCode="&quot;$&quot;#,##0.000_);[Red]\(&quot;$&quot;#,##0.000\)"/>
  </numFmts>
  <fonts count="3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SWISS"/>
      <family val="0"/>
    </font>
    <font>
      <sz val="10"/>
      <color indexed="18"/>
      <name val="Arial"/>
      <family val="0"/>
    </font>
    <font>
      <sz val="10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14"/>
      <name val="SWISS"/>
      <family val="0"/>
    </font>
    <font>
      <b/>
      <sz val="12"/>
      <name val="SWISS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u val="singleAccounting"/>
      <sz val="10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2" xfId="15" applyNumberFormat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0" xfId="15" applyNumberFormat="1" applyAlignment="1">
      <alignment/>
    </xf>
    <xf numFmtId="169" fontId="0" fillId="0" borderId="2" xfId="17" applyNumberFormat="1" applyBorder="1" applyAlignment="1">
      <alignment/>
    </xf>
    <xf numFmtId="169" fontId="0" fillId="0" borderId="6" xfId="17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11" xfId="15" applyNumberFormat="1" applyBorder="1" applyAlignment="1">
      <alignment/>
    </xf>
    <xf numFmtId="169" fontId="0" fillId="0" borderId="12" xfId="17" applyNumberFormat="1" applyBorder="1" applyAlignment="1">
      <alignment/>
    </xf>
    <xf numFmtId="0" fontId="0" fillId="0" borderId="0" xfId="0" applyAlignment="1">
      <alignment horizontal="center"/>
    </xf>
    <xf numFmtId="167" fontId="0" fillId="0" borderId="7" xfId="15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3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1" xfId="15" applyNumberFormat="1" applyBorder="1" applyAlignment="1">
      <alignment/>
    </xf>
    <xf numFmtId="167" fontId="0" fillId="0" borderId="6" xfId="0" applyNumberFormat="1" applyBorder="1" applyAlignment="1">
      <alignment/>
    </xf>
    <xf numFmtId="10" fontId="0" fillId="0" borderId="2" xfId="21" applyNumberFormat="1" applyBorder="1" applyAlignment="1">
      <alignment/>
    </xf>
    <xf numFmtId="10" fontId="0" fillId="0" borderId="3" xfId="0" applyNumberFormat="1" applyBorder="1" applyAlignment="1">
      <alignment/>
    </xf>
    <xf numFmtId="170" fontId="0" fillId="0" borderId="3" xfId="0" applyNumberFormat="1" applyBorder="1" applyAlignment="1">
      <alignment/>
    </xf>
    <xf numFmtId="167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0" fontId="0" fillId="0" borderId="2" xfId="0" applyNumberFormat="1" applyBorder="1" applyAlignment="1">
      <alignment/>
    </xf>
    <xf numFmtId="169" fontId="0" fillId="0" borderId="1" xfId="17" applyNumberFormat="1" applyBorder="1" applyAlignment="1">
      <alignment/>
    </xf>
    <xf numFmtId="169" fontId="0" fillId="0" borderId="3" xfId="17" applyNumberFormat="1" applyBorder="1" applyAlignment="1">
      <alignment/>
    </xf>
    <xf numFmtId="16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9" fontId="8" fillId="0" borderId="0" xfId="17" applyNumberFormat="1" applyFont="1" applyBorder="1" applyAlignment="1">
      <alignment/>
    </xf>
    <xf numFmtId="167" fontId="8" fillId="0" borderId="0" xfId="15" applyNumberFormat="1" applyFont="1" applyBorder="1" applyAlignment="1">
      <alignment/>
    </xf>
    <xf numFmtId="10" fontId="0" fillId="0" borderId="0" xfId="21" applyNumberFormat="1" applyAlignment="1">
      <alignment/>
    </xf>
    <xf numFmtId="167" fontId="10" fillId="0" borderId="0" xfId="15" applyNumberFormat="1" applyFont="1" applyBorder="1" applyAlignment="1" quotePrefix="1">
      <alignment horizontal="right"/>
    </xf>
    <xf numFmtId="167" fontId="8" fillId="0" borderId="0" xfId="15" applyNumberFormat="1" applyFont="1" applyBorder="1" applyAlignment="1" quotePrefix="1">
      <alignment horizontal="left"/>
    </xf>
    <xf numFmtId="167" fontId="8" fillId="0" borderId="0" xfId="15" applyNumberFormat="1" applyFont="1" applyBorder="1" applyAlignment="1" quotePrefix="1">
      <alignment horizontal="center"/>
    </xf>
    <xf numFmtId="167" fontId="8" fillId="0" borderId="0" xfId="15" applyNumberFormat="1" applyFont="1" applyBorder="1" applyAlignment="1">
      <alignment horizontal="left"/>
    </xf>
    <xf numFmtId="42" fontId="8" fillId="0" borderId="0" xfId="15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42" fontId="8" fillId="0" borderId="14" xfId="15" applyNumberFormat="1" applyFont="1" applyBorder="1" applyAlignment="1">
      <alignment/>
    </xf>
    <xf numFmtId="169" fontId="0" fillId="0" borderId="0" xfId="0" applyNumberFormat="1" applyAlignment="1">
      <alignment/>
    </xf>
    <xf numFmtId="171" fontId="0" fillId="0" borderId="2" xfId="21" applyNumberFormat="1" applyBorder="1" applyAlignment="1">
      <alignment/>
    </xf>
    <xf numFmtId="10" fontId="8" fillId="0" borderId="0" xfId="21" applyNumberFormat="1" applyFont="1" applyBorder="1" applyAlignment="1">
      <alignment/>
    </xf>
    <xf numFmtId="10" fontId="8" fillId="0" borderId="0" xfId="15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2" xfId="0" applyBorder="1" applyAlignment="1">
      <alignment horizontal="center"/>
    </xf>
    <xf numFmtId="169" fontId="0" fillId="0" borderId="2" xfId="17" applyNumberFormat="1" applyBorder="1" applyAlignment="1">
      <alignment horizontal="right"/>
    </xf>
    <xf numFmtId="169" fontId="0" fillId="0" borderId="3" xfId="17" applyNumberFormat="1" applyBorder="1" applyAlignment="1">
      <alignment horizontal="right"/>
    </xf>
    <xf numFmtId="0" fontId="11" fillId="0" borderId="0" xfId="0" applyFont="1" applyAlignment="1">
      <alignment/>
    </xf>
    <xf numFmtId="167" fontId="0" fillId="0" borderId="12" xfId="15" applyNumberFormat="1" applyBorder="1" applyAlignment="1">
      <alignment/>
    </xf>
    <xf numFmtId="171" fontId="0" fillId="0" borderId="3" xfId="0" applyNumberFormat="1" applyBorder="1" applyAlignment="1">
      <alignment/>
    </xf>
    <xf numFmtId="0" fontId="2" fillId="0" borderId="2" xfId="0" applyNumberFormat="1" applyFont="1" applyFill="1" applyBorder="1" applyAlignment="1">
      <alignment/>
    </xf>
    <xf numFmtId="169" fontId="0" fillId="0" borderId="2" xfId="17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0" fontId="14" fillId="0" borderId="0" xfId="0" applyFont="1" applyAlignment="1">
      <alignment/>
    </xf>
    <xf numFmtId="167" fontId="0" fillId="0" borderId="2" xfId="15" applyNumberFormat="1" applyFont="1" applyBorder="1" applyAlignment="1">
      <alignment/>
    </xf>
    <xf numFmtId="167" fontId="0" fillId="0" borderId="2" xfId="15" applyNumberFormat="1" applyFont="1" applyBorder="1" applyAlignment="1">
      <alignment/>
    </xf>
    <xf numFmtId="167" fontId="0" fillId="0" borderId="0" xfId="15" applyNumberFormat="1" applyFont="1" applyAlignment="1">
      <alignment/>
    </xf>
    <xf numFmtId="0" fontId="0" fillId="0" borderId="7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6" fillId="0" borderId="15" xfId="0" applyFont="1" applyBorder="1" applyAlignment="1" applyProtection="1">
      <alignment/>
      <protection/>
    </xf>
    <xf numFmtId="14" fontId="15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16" fillId="0" borderId="0" xfId="0" applyFont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 horizontal="centerContinuous"/>
      <protection/>
    </xf>
    <xf numFmtId="0" fontId="16" fillId="0" borderId="18" xfId="0" applyFont="1" applyBorder="1" applyAlignment="1" applyProtection="1">
      <alignment horizontal="centerContinuous"/>
      <protection/>
    </xf>
    <xf numFmtId="0" fontId="16" fillId="0" borderId="19" xfId="0" applyFont="1" applyBorder="1" applyAlignment="1" applyProtection="1">
      <alignment/>
      <protection/>
    </xf>
    <xf numFmtId="0" fontId="16" fillId="0" borderId="20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37" fontId="16" fillId="0" borderId="24" xfId="0" applyNumberFormat="1" applyFont="1" applyBorder="1" applyAlignment="1" applyProtection="1">
      <alignment/>
      <protection/>
    </xf>
    <xf numFmtId="37" fontId="16" fillId="0" borderId="25" xfId="0" applyNumberFormat="1" applyFont="1" applyBorder="1" applyAlignment="1" applyProtection="1">
      <alignment/>
      <protection/>
    </xf>
    <xf numFmtId="37" fontId="16" fillId="0" borderId="26" xfId="0" applyNumberFormat="1" applyFont="1" applyBorder="1" applyAlignment="1" applyProtection="1">
      <alignment/>
      <protection/>
    </xf>
    <xf numFmtId="170" fontId="0" fillId="0" borderId="0" xfId="0" applyNumberFormat="1" applyAlignment="1">
      <alignment/>
    </xf>
    <xf numFmtId="0" fontId="0" fillId="0" borderId="5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2" fillId="0" borderId="0" xfId="0" applyFont="1" applyAlignment="1">
      <alignment/>
    </xf>
    <xf numFmtId="0" fontId="0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8" fillId="0" borderId="7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67" fontId="0" fillId="0" borderId="6" xfId="15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21" applyNumberFormat="1" applyFont="1" applyAlignment="1">
      <alignment/>
    </xf>
    <xf numFmtId="167" fontId="0" fillId="0" borderId="0" xfId="15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67" fontId="17" fillId="0" borderId="2" xfId="15" applyNumberFormat="1" applyFont="1" applyBorder="1" applyAlignment="1">
      <alignment/>
    </xf>
    <xf numFmtId="186" fontId="0" fillId="0" borderId="2" xfId="0" applyNumberFormat="1" applyBorder="1" applyAlignment="1">
      <alignment/>
    </xf>
    <xf numFmtId="10" fontId="0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43" fontId="0" fillId="0" borderId="3" xfId="15" applyBorder="1" applyAlignment="1">
      <alignment/>
    </xf>
    <xf numFmtId="43" fontId="0" fillId="0" borderId="2" xfId="15" applyBorder="1" applyAlignment="1">
      <alignment/>
    </xf>
    <xf numFmtId="43" fontId="11" fillId="0" borderId="2" xfId="15" applyFont="1" applyBorder="1" applyAlignment="1">
      <alignment/>
    </xf>
    <xf numFmtId="43" fontId="0" fillId="0" borderId="6" xfId="15" applyBorder="1" applyAlignment="1">
      <alignment/>
    </xf>
    <xf numFmtId="0" fontId="2" fillId="0" borderId="0" xfId="0" applyFont="1" applyFill="1" applyBorder="1" applyAlignment="1">
      <alignment/>
    </xf>
    <xf numFmtId="167" fontId="0" fillId="0" borderId="2" xfId="15" applyNumberFormat="1" applyBorder="1" applyAlignment="1">
      <alignment horizontal="right"/>
    </xf>
    <xf numFmtId="43" fontId="0" fillId="0" borderId="0" xfId="15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1" fillId="0" borderId="2" xfId="0" applyFont="1" applyBorder="1" applyAlignment="1">
      <alignment/>
    </xf>
    <xf numFmtId="167" fontId="0" fillId="0" borderId="6" xfId="15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18" fillId="0" borderId="1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/>
    </xf>
    <xf numFmtId="5" fontId="18" fillId="0" borderId="2" xfId="0" applyNumberFormat="1" applyFont="1" applyBorder="1" applyAlignment="1">
      <alignment/>
    </xf>
    <xf numFmtId="37" fontId="18" fillId="0" borderId="2" xfId="0" applyNumberFormat="1" applyFont="1" applyBorder="1" applyAlignment="1">
      <alignment/>
    </xf>
    <xf numFmtId="5" fontId="18" fillId="0" borderId="3" xfId="0" applyNumberFormat="1" applyFont="1" applyBorder="1" applyAlignment="1">
      <alignment/>
    </xf>
    <xf numFmtId="167" fontId="18" fillId="0" borderId="2" xfId="15" applyNumberFormat="1" applyFont="1" applyBorder="1" applyAlignment="1">
      <alignment/>
    </xf>
    <xf numFmtId="167" fontId="18" fillId="0" borderId="3" xfId="15" applyNumberFormat="1" applyFont="1" applyBorder="1" applyAlignment="1">
      <alignment/>
    </xf>
    <xf numFmtId="0" fontId="1" fillId="0" borderId="0" xfId="0" applyFont="1" applyAlignment="1">
      <alignment horizontal="left" indent="4"/>
    </xf>
    <xf numFmtId="0" fontId="2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43" fontId="0" fillId="0" borderId="0" xfId="0" applyNumberFormat="1" applyAlignment="1">
      <alignment/>
    </xf>
    <xf numFmtId="169" fontId="18" fillId="0" borderId="2" xfId="17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10" fontId="0" fillId="0" borderId="7" xfId="21" applyNumberFormat="1" applyBorder="1" applyAlignment="1">
      <alignment/>
    </xf>
    <xf numFmtId="10" fontId="0" fillId="0" borderId="13" xfId="21" applyNumberFormat="1" applyBorder="1" applyAlignment="1">
      <alignment/>
    </xf>
    <xf numFmtId="0" fontId="0" fillId="0" borderId="29" xfId="0" applyBorder="1" applyAlignment="1">
      <alignment horizontal="center"/>
    </xf>
    <xf numFmtId="167" fontId="2" fillId="0" borderId="12" xfId="15" applyNumberFormat="1" applyFont="1" applyBorder="1" applyAlignment="1">
      <alignment/>
    </xf>
    <xf numFmtId="0" fontId="2" fillId="0" borderId="7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5" xfId="0" applyNumberFormat="1" applyFill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2" fillId="0" borderId="1" xfId="0" applyNumberFormat="1" applyFont="1" applyFill="1" applyBorder="1" applyAlignment="1">
      <alignment horizontal="center"/>
    </xf>
    <xf numFmtId="10" fontId="0" fillId="0" borderId="3" xfId="21" applyNumberFormat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195" fontId="0" fillId="0" borderId="2" xfId="0" applyNumberFormat="1" applyBorder="1" applyAlignment="1">
      <alignment/>
    </xf>
    <xf numFmtId="175" fontId="0" fillId="0" borderId="2" xfId="15" applyNumberFormat="1" applyBorder="1" applyAlignment="1">
      <alignment/>
    </xf>
    <xf numFmtId="167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169" fontId="0" fillId="0" borderId="12" xfId="0" applyNumberFormat="1" applyBorder="1" applyAlignment="1">
      <alignment/>
    </xf>
    <xf numFmtId="0" fontId="2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2" xfId="21" applyNumberFormat="1" applyBorder="1" applyAlignment="1">
      <alignment/>
    </xf>
    <xf numFmtId="0" fontId="2" fillId="0" borderId="6" xfId="0" applyNumberFormat="1" applyFont="1" applyFill="1" applyBorder="1" applyAlignment="1">
      <alignment/>
    </xf>
    <xf numFmtId="167" fontId="0" fillId="0" borderId="0" xfId="15" applyNumberFormat="1" applyBorder="1" applyAlignment="1">
      <alignment/>
    </xf>
    <xf numFmtId="0" fontId="22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6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167" fontId="10" fillId="0" borderId="0" xfId="15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0" fillId="0" borderId="2" xfId="17" applyNumberFormat="1" applyBorder="1" applyAlignment="1">
      <alignment/>
    </xf>
    <xf numFmtId="184" fontId="0" fillId="0" borderId="3" xfId="17" applyNumberFormat="1" applyBorder="1" applyAlignment="1">
      <alignment/>
    </xf>
    <xf numFmtId="171" fontId="18" fillId="0" borderId="2" xfId="21" applyNumberFormat="1" applyFont="1" applyBorder="1" applyAlignment="1">
      <alignment/>
    </xf>
    <xf numFmtId="0" fontId="25" fillId="0" borderId="8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69" fontId="25" fillId="0" borderId="2" xfId="17" applyNumberFormat="1" applyFont="1" applyBorder="1" applyAlignment="1">
      <alignment/>
    </xf>
    <xf numFmtId="10" fontId="25" fillId="0" borderId="2" xfId="21" applyNumberFormat="1" applyFont="1" applyBorder="1" applyAlignment="1">
      <alignment/>
    </xf>
    <xf numFmtId="167" fontId="25" fillId="0" borderId="1" xfId="0" applyNumberFormat="1" applyFont="1" applyBorder="1" applyAlignment="1">
      <alignment/>
    </xf>
    <xf numFmtId="167" fontId="25" fillId="0" borderId="2" xfId="15" applyNumberFormat="1" applyFont="1" applyBorder="1" applyAlignment="1">
      <alignment/>
    </xf>
    <xf numFmtId="167" fontId="25" fillId="0" borderId="2" xfId="0" applyNumberFormat="1" applyFont="1" applyBorder="1" applyAlignment="1">
      <alignment/>
    </xf>
    <xf numFmtId="167" fontId="25" fillId="0" borderId="6" xfId="15" applyNumberFormat="1" applyFont="1" applyBorder="1" applyAlignment="1">
      <alignment/>
    </xf>
    <xf numFmtId="167" fontId="25" fillId="0" borderId="3" xfId="15" applyNumberFormat="1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3" xfId="0" applyFont="1" applyBorder="1" applyAlignment="1">
      <alignment/>
    </xf>
    <xf numFmtId="167" fontId="25" fillId="0" borderId="3" xfId="0" applyNumberFormat="1" applyFont="1" applyBorder="1" applyAlignment="1">
      <alignment/>
    </xf>
    <xf numFmtId="10" fontId="25" fillId="0" borderId="3" xfId="0" applyNumberFormat="1" applyFont="1" applyBorder="1" applyAlignment="1">
      <alignment/>
    </xf>
    <xf numFmtId="169" fontId="25" fillId="0" borderId="3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0" xfId="0" applyFont="1" applyBorder="1" applyAlignment="1">
      <alignment/>
    </xf>
    <xf numFmtId="169" fontId="25" fillId="0" borderId="0" xfId="17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43" fontId="25" fillId="0" borderId="0" xfId="15" applyFont="1" applyBorder="1" applyAlignment="1">
      <alignment/>
    </xf>
    <xf numFmtId="169" fontId="2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9" fontId="0" fillId="0" borderId="3" xfId="17" applyNumberFormat="1" applyFill="1" applyBorder="1" applyAlignment="1">
      <alignment horizontal="center"/>
    </xf>
    <xf numFmtId="167" fontId="0" fillId="0" borderId="6" xfId="15" applyNumberFormat="1" applyBorder="1" applyAlignment="1">
      <alignment/>
    </xf>
    <xf numFmtId="0" fontId="0" fillId="0" borderId="1" xfId="0" applyFill="1" applyBorder="1" applyAlignment="1">
      <alignment/>
    </xf>
    <xf numFmtId="171" fontId="0" fillId="0" borderId="2" xfId="21" applyNumberFormat="1" applyFill="1" applyBorder="1" applyAlignment="1">
      <alignment/>
    </xf>
    <xf numFmtId="169" fontId="0" fillId="0" borderId="2" xfId="17" applyNumberFormat="1" applyFill="1" applyBorder="1" applyAlignment="1">
      <alignment/>
    </xf>
    <xf numFmtId="167" fontId="0" fillId="0" borderId="1" xfId="15" applyNumberFormat="1" applyFill="1" applyBorder="1" applyAlignment="1">
      <alignment/>
    </xf>
    <xf numFmtId="0" fontId="0" fillId="0" borderId="2" xfId="0" applyFill="1" applyBorder="1" applyAlignment="1">
      <alignment/>
    </xf>
    <xf numFmtId="167" fontId="0" fillId="0" borderId="2" xfId="15" applyNumberFormat="1" applyFill="1" applyBorder="1" applyAlignment="1">
      <alignment/>
    </xf>
    <xf numFmtId="171" fontId="0" fillId="0" borderId="2" xfId="21" applyNumberFormat="1" applyFont="1" applyBorder="1" applyAlignment="1">
      <alignment/>
    </xf>
    <xf numFmtId="167" fontId="0" fillId="0" borderId="2" xfId="15" applyNumberFormat="1" applyBorder="1" applyAlignment="1">
      <alignment/>
    </xf>
    <xf numFmtId="0" fontId="0" fillId="0" borderId="8" xfId="0" applyFill="1" applyBorder="1" applyAlignment="1">
      <alignment/>
    </xf>
    <xf numFmtId="167" fontId="0" fillId="0" borderId="11" xfId="15" applyNumberFormat="1" applyFill="1" applyBorder="1" applyAlignment="1">
      <alignment/>
    </xf>
    <xf numFmtId="167" fontId="0" fillId="0" borderId="3" xfId="15" applyNumberFormat="1" applyFill="1" applyBorder="1" applyAlignment="1">
      <alignment/>
    </xf>
    <xf numFmtId="0" fontId="0" fillId="0" borderId="12" xfId="0" applyFill="1" applyBorder="1" applyAlignment="1">
      <alignment/>
    </xf>
    <xf numFmtId="171" fontId="0" fillId="0" borderId="3" xfId="0" applyNumberFormat="1" applyFill="1" applyBorder="1" applyAlignment="1">
      <alignment/>
    </xf>
    <xf numFmtId="167" fontId="0" fillId="0" borderId="3" xfId="0" applyNumberFormat="1" applyFill="1" applyBorder="1" applyAlignment="1">
      <alignment/>
    </xf>
    <xf numFmtId="169" fontId="0" fillId="0" borderId="3" xfId="0" applyNumberFormat="1" applyFill="1" applyBorder="1" applyAlignment="1">
      <alignment/>
    </xf>
    <xf numFmtId="0" fontId="2" fillId="0" borderId="0" xfId="0" applyFont="1" applyFill="1" applyAlignment="1">
      <alignment/>
    </xf>
    <xf numFmtId="169" fontId="0" fillId="0" borderId="2" xfId="17" applyNumberFormat="1" applyFont="1" applyFill="1" applyBorder="1" applyAlignment="1">
      <alignment/>
    </xf>
    <xf numFmtId="167" fontId="0" fillId="0" borderId="3" xfId="15" applyNumberFormat="1" applyFont="1" applyBorder="1" applyAlignment="1">
      <alignment/>
    </xf>
    <xf numFmtId="167" fontId="0" fillId="0" borderId="1" xfId="15" applyNumberFormat="1" applyFont="1" applyFill="1" applyBorder="1" applyAlignment="1">
      <alignment horizontal="right"/>
    </xf>
    <xf numFmtId="167" fontId="0" fillId="0" borderId="2" xfId="15" applyNumberFormat="1" applyFill="1" applyBorder="1" applyAlignment="1">
      <alignment horizontal="right"/>
    </xf>
    <xf numFmtId="167" fontId="0" fillId="0" borderId="3" xfId="15" applyNumberFormat="1" applyFill="1" applyBorder="1" applyAlignment="1">
      <alignment horizontal="right"/>
    </xf>
    <xf numFmtId="171" fontId="0" fillId="0" borderId="0" xfId="21" applyNumberFormat="1" applyAlignment="1">
      <alignment/>
    </xf>
    <xf numFmtId="171" fontId="0" fillId="0" borderId="0" xfId="0" applyNumberFormat="1" applyAlignment="1">
      <alignment/>
    </xf>
    <xf numFmtId="167" fontId="0" fillId="0" borderId="3" xfId="15" applyNumberFormat="1" applyBorder="1" applyAlignment="1">
      <alignment horizontal="center"/>
    </xf>
    <xf numFmtId="167" fontId="1" fillId="2" borderId="3" xfId="15" applyNumberFormat="1" applyFont="1" applyFill="1" applyBorder="1" applyAlignment="1">
      <alignment horizontal="center"/>
    </xf>
    <xf numFmtId="167" fontId="1" fillId="2" borderId="2" xfId="15" applyNumberFormat="1" applyFont="1" applyFill="1" applyBorder="1" applyAlignment="1">
      <alignment/>
    </xf>
    <xf numFmtId="167" fontId="1" fillId="2" borderId="1" xfId="15" applyNumberFormat="1" applyFont="1" applyFill="1" applyBorder="1" applyAlignment="1">
      <alignment/>
    </xf>
    <xf numFmtId="167" fontId="1" fillId="2" borderId="3" xfId="15" applyNumberFormat="1" applyFont="1" applyFill="1" applyBorder="1" applyAlignment="1">
      <alignment/>
    </xf>
    <xf numFmtId="167" fontId="27" fillId="0" borderId="0" xfId="15" applyNumberFormat="1" applyFont="1" applyAlignment="1">
      <alignment/>
    </xf>
    <xf numFmtId="167" fontId="28" fillId="0" borderId="0" xfId="15" applyNumberFormat="1" applyFont="1" applyAlignment="1">
      <alignment/>
    </xf>
    <xf numFmtId="0" fontId="28" fillId="0" borderId="0" xfId="0" applyFont="1" applyAlignment="1">
      <alignment/>
    </xf>
    <xf numFmtId="167" fontId="1" fillId="3" borderId="3" xfId="15" applyNumberFormat="1" applyFont="1" applyFill="1" applyBorder="1" applyAlignment="1">
      <alignment horizontal="center"/>
    </xf>
    <xf numFmtId="167" fontId="1" fillId="3" borderId="2" xfId="15" applyNumberFormat="1" applyFont="1" applyFill="1" applyBorder="1" applyAlignment="1">
      <alignment/>
    </xf>
    <xf numFmtId="167" fontId="1" fillId="3" borderId="1" xfId="15" applyNumberFormat="1" applyFont="1" applyFill="1" applyBorder="1" applyAlignment="1">
      <alignment/>
    </xf>
    <xf numFmtId="167" fontId="1" fillId="3" borderId="3" xfId="15" applyNumberFormat="1" applyFont="1" applyFill="1" applyBorder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1" fillId="2" borderId="2" xfId="15" applyNumberFormat="1" applyFont="1" applyFill="1" applyBorder="1" applyAlignment="1">
      <alignment horizontal="center" wrapText="1"/>
    </xf>
    <xf numFmtId="167" fontId="1" fillId="3" borderId="2" xfId="15" applyNumberFormat="1" applyFont="1" applyFill="1" applyBorder="1" applyAlignment="1">
      <alignment horizontal="center" wrapText="1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15</xdr:row>
      <xdr:rowOff>0</xdr:rowOff>
    </xdr:from>
    <xdr:ext cx="28575" cy="28575"/>
    <xdr:sp>
      <xdr:nvSpPr>
        <xdr:cNvPr id="1" name="TextBox 1"/>
        <xdr:cNvSpPr txBox="1">
          <a:spLocks noChangeArrowheads="1"/>
        </xdr:cNvSpPr>
      </xdr:nvSpPr>
      <xdr:spPr>
        <a:xfrm>
          <a:off x="3219450" y="2495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50"/>
  <sheetViews>
    <sheetView zoomScale="70" zoomScaleNormal="70" workbookViewId="0" topLeftCell="A1">
      <selection activeCell="A29" sqref="A29:IV29"/>
    </sheetView>
  </sheetViews>
  <sheetFormatPr defaultColWidth="9.140625" defaultRowHeight="12.75"/>
  <cols>
    <col min="1" max="1" width="8.7109375" style="0" customWidth="1"/>
    <col min="2" max="3" width="11.140625" style="0" bestFit="1" customWidth="1"/>
    <col min="4" max="4" width="11.00390625" style="0" customWidth="1"/>
    <col min="5" max="5" width="10.00390625" style="0" customWidth="1"/>
    <col min="6" max="6" width="11.00390625" style="0" customWidth="1"/>
    <col min="7" max="7" width="10.28125" style="0" customWidth="1"/>
    <col min="8" max="8" width="10.00390625" style="0" customWidth="1"/>
    <col min="9" max="9" width="10.421875" style="0" customWidth="1"/>
    <col min="10" max="10" width="10.7109375" style="0" customWidth="1"/>
    <col min="11" max="11" width="10.57421875" style="0" customWidth="1"/>
    <col min="12" max="12" width="10.00390625" style="0" customWidth="1"/>
    <col min="13" max="13" width="9.421875" style="0" customWidth="1"/>
    <col min="14" max="14" width="15.28125" style="33" customWidth="1"/>
    <col min="15" max="15" width="15.00390625" style="33" customWidth="1"/>
    <col min="16" max="16" width="15.57421875" style="33" customWidth="1"/>
    <col min="18" max="20" width="13.8515625" style="0" customWidth="1"/>
  </cols>
  <sheetData>
    <row r="1" spans="1:16" ht="18">
      <c r="A1" s="267" t="s">
        <v>133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</row>
    <row r="2" spans="1:16" ht="15.75">
      <c r="A2" s="270" t="s">
        <v>255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</row>
    <row r="3" spans="1:17" ht="30">
      <c r="A3" s="1"/>
      <c r="B3" s="2"/>
      <c r="C3" s="2"/>
      <c r="D3" s="2"/>
      <c r="E3" s="2"/>
      <c r="F3" s="2"/>
      <c r="G3" s="2"/>
      <c r="H3" s="2" t="s">
        <v>163</v>
      </c>
      <c r="I3" s="2" t="s">
        <v>1</v>
      </c>
      <c r="J3" s="2"/>
      <c r="K3" s="2" t="s">
        <v>2</v>
      </c>
      <c r="L3" s="2" t="s">
        <v>3</v>
      </c>
      <c r="M3" s="2" t="s">
        <v>1</v>
      </c>
      <c r="N3" s="265" t="s">
        <v>332</v>
      </c>
      <c r="O3" s="265" t="s">
        <v>333</v>
      </c>
      <c r="P3" s="266" t="s">
        <v>334</v>
      </c>
      <c r="Q3" s="14"/>
    </row>
    <row r="4" spans="1:17" ht="15">
      <c r="A4" s="3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176</v>
      </c>
      <c r="H4" s="10" t="s">
        <v>296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66</v>
      </c>
      <c r="N4" s="251" t="s">
        <v>14</v>
      </c>
      <c r="O4" s="251" t="s">
        <v>14</v>
      </c>
      <c r="P4" s="258" t="s">
        <v>331</v>
      </c>
      <c r="Q4" s="14"/>
    </row>
    <row r="5" spans="1:18" ht="15">
      <c r="A5" s="4" t="s">
        <v>0</v>
      </c>
      <c r="B5" s="5">
        <f>SUM(CSR!D5)</f>
        <v>9035</v>
      </c>
      <c r="C5" s="5">
        <f>SUM(CIT!D5)</f>
        <v>7524</v>
      </c>
      <c r="D5" s="5">
        <f>SUM('CC'!D5)</f>
        <v>91894</v>
      </c>
      <c r="E5" s="5">
        <f>SUM(OD!B5)</f>
        <v>12727</v>
      </c>
      <c r="F5" s="5">
        <f>SUM(ORS!D5)</f>
        <v>14180</v>
      </c>
      <c r="G5" s="5">
        <f>SUM(ORF!D5)</f>
        <v>2028</v>
      </c>
      <c r="H5" s="5">
        <f>SUM(NSABB!D5)</f>
        <v>308</v>
      </c>
      <c r="I5" s="5">
        <f>SUM('DHHS Assess'!D5)</f>
        <v>2873</v>
      </c>
      <c r="J5" s="5">
        <f>SUM('Reserve '!D5)</f>
        <v>575</v>
      </c>
      <c r="K5" s="5">
        <f>SUM('WCF PMS'!D5)</f>
        <v>3537</v>
      </c>
      <c r="L5" s="5">
        <f>SUM('Unempl &amp; work comp'!D5)</f>
        <v>896.9922701383239</v>
      </c>
      <c r="M5" s="5">
        <f>SUM(EIT!D5)</f>
        <v>1932</v>
      </c>
      <c r="N5" s="252">
        <f aca="true" t="shared" si="0" ref="N5:N37">SUM(B5:M5)</f>
        <v>147509.99227013832</v>
      </c>
      <c r="O5" s="252">
        <v>147911.99227013832</v>
      </c>
      <c r="P5" s="259">
        <f aca="true" t="shared" si="1" ref="P5:P37">+N5-O5</f>
        <v>-402</v>
      </c>
      <c r="R5" s="165"/>
    </row>
    <row r="6" spans="1:18" ht="15">
      <c r="A6" s="4" t="s">
        <v>15</v>
      </c>
      <c r="B6" s="6">
        <f>SUM(CSR!D6)</f>
        <v>5690</v>
      </c>
      <c r="C6" s="6">
        <f>SUM(CIT!D6)</f>
        <v>1826</v>
      </c>
      <c r="D6" s="6">
        <f>SUM('CC'!D6)</f>
        <v>21729</v>
      </c>
      <c r="E6" s="6">
        <f>SUM(OD!B6)</f>
        <v>6022</v>
      </c>
      <c r="F6" s="6">
        <f>SUM(ORS!D6)</f>
        <v>4072</v>
      </c>
      <c r="G6" s="6">
        <f>SUM(ORF!D6)</f>
        <v>521</v>
      </c>
      <c r="H6" s="6">
        <f>SUM(NSABB!D6)</f>
        <v>188</v>
      </c>
      <c r="I6" s="6">
        <f>SUM('DHHS Assess'!D6)</f>
        <v>697</v>
      </c>
      <c r="J6" s="6">
        <f>SUM('Reserve '!D6)</f>
        <v>140</v>
      </c>
      <c r="K6" s="6">
        <f>SUM('WCF PMS'!D6)</f>
        <v>1998</v>
      </c>
      <c r="L6" s="6">
        <f>SUM('Unempl &amp; work comp'!D6)</f>
        <v>255.75194699523422</v>
      </c>
      <c r="M6" s="6">
        <f>SUM(EIT!D6)</f>
        <v>1180</v>
      </c>
      <c r="N6" s="252">
        <f t="shared" si="0"/>
        <v>44318.75194699523</v>
      </c>
      <c r="O6" s="252">
        <v>44613.75194699523</v>
      </c>
      <c r="P6" s="259">
        <f t="shared" si="1"/>
        <v>-295</v>
      </c>
      <c r="R6" s="165"/>
    </row>
    <row r="7" spans="1:18" ht="15">
      <c r="A7" s="4" t="s">
        <v>16</v>
      </c>
      <c r="B7" s="6">
        <f>SUM(CSR!D7)</f>
        <v>1096</v>
      </c>
      <c r="C7" s="6">
        <f>SUM(CIT!D7)</f>
        <v>739</v>
      </c>
      <c r="D7" s="6">
        <f>SUM('CC'!D7)</f>
        <v>7485</v>
      </c>
      <c r="E7" s="6">
        <f>SUM(OD!B7)</f>
        <v>1377</v>
      </c>
      <c r="F7" s="6">
        <f>SUM(ORS!D7)</f>
        <v>1874</v>
      </c>
      <c r="G7" s="6">
        <f>SUM(ORF!D7)</f>
        <v>208</v>
      </c>
      <c r="H7" s="6">
        <f>SUM(NSABB!D7)</f>
        <v>25</v>
      </c>
      <c r="I7" s="6">
        <f>SUM('DHHS Assess'!D7)</f>
        <v>282</v>
      </c>
      <c r="J7" s="6">
        <f>SUM('Reserve '!D7)</f>
        <v>56</v>
      </c>
      <c r="K7" s="6">
        <f>SUM('WCF PMS'!D7)</f>
        <v>364</v>
      </c>
      <c r="L7" s="6">
        <f>SUM('Unempl &amp; work comp'!D7)</f>
        <v>79.48820179007323</v>
      </c>
      <c r="M7" s="6">
        <f>SUM(EIT!D7)</f>
        <v>157</v>
      </c>
      <c r="N7" s="252">
        <f t="shared" si="0"/>
        <v>13742.488201790073</v>
      </c>
      <c r="O7" s="252">
        <v>13791.488201790073</v>
      </c>
      <c r="P7" s="259">
        <f t="shared" si="1"/>
        <v>-49</v>
      </c>
      <c r="R7" s="165"/>
    </row>
    <row r="8" spans="1:18" ht="15">
      <c r="A8" s="4" t="s">
        <v>17</v>
      </c>
      <c r="B8" s="6">
        <f>SUM(CSR!D8)</f>
        <v>5196</v>
      </c>
      <c r="C8" s="6">
        <f>SUM(CIT!D8)</f>
        <v>1675</v>
      </c>
      <c r="D8" s="6">
        <f>SUM('CC'!D8)</f>
        <v>21436</v>
      </c>
      <c r="E8" s="6">
        <f>SUM(OD!B8)</f>
        <v>5114</v>
      </c>
      <c r="F8" s="6">
        <f>SUM(ORS!D8)</f>
        <v>3765</v>
      </c>
      <c r="G8" s="6">
        <f>SUM(ORF!D8)</f>
        <v>467</v>
      </c>
      <c r="H8" s="6">
        <f>SUM(NSABB!D8)</f>
        <v>119</v>
      </c>
      <c r="I8" s="6">
        <f>SUM('DHHS Assess'!D8)</f>
        <v>639</v>
      </c>
      <c r="J8" s="6">
        <f>SUM('Reserve '!D8)</f>
        <v>128</v>
      </c>
      <c r="K8" s="6">
        <f>SUM('WCF PMS'!D8)</f>
        <v>1620</v>
      </c>
      <c r="L8" s="6">
        <f>SUM('Unempl &amp; work comp'!D8)</f>
        <v>204.63245379518773</v>
      </c>
      <c r="M8" s="6">
        <f>SUM(EIT!D8)</f>
        <v>751</v>
      </c>
      <c r="N8" s="252">
        <f t="shared" si="0"/>
        <v>41114.63245379519</v>
      </c>
      <c r="O8" s="252">
        <v>41362.63245379519</v>
      </c>
      <c r="P8" s="259">
        <f t="shared" si="1"/>
        <v>-248</v>
      </c>
      <c r="R8" s="165"/>
    </row>
    <row r="9" spans="1:18" ht="15">
      <c r="A9" s="4" t="s">
        <v>18</v>
      </c>
      <c r="B9" s="6">
        <f>SUM(CSR!D9)</f>
        <v>4853</v>
      </c>
      <c r="C9" s="6">
        <f>SUM(CIT!D9)</f>
        <v>1583</v>
      </c>
      <c r="D9" s="6">
        <f>SUM('CC'!D9)</f>
        <v>18746</v>
      </c>
      <c r="E9" s="6">
        <f>SUM(OD!B9)</f>
        <v>4216</v>
      </c>
      <c r="F9" s="6">
        <f>SUM(ORS!D9)</f>
        <v>3676</v>
      </c>
      <c r="G9" s="6">
        <f>SUM(ORF!D9)</f>
        <v>446</v>
      </c>
      <c r="H9" s="6">
        <f>SUM(NSABB!D9)</f>
        <v>99</v>
      </c>
      <c r="I9" s="6">
        <f>SUM('DHHS Assess'!D9)</f>
        <v>604</v>
      </c>
      <c r="J9" s="6">
        <f>SUM('Reserve '!D9)</f>
        <v>121</v>
      </c>
      <c r="K9" s="6">
        <f>SUM('WCF PMS'!D9)</f>
        <v>1272</v>
      </c>
      <c r="L9" s="6">
        <f>SUM('Unempl &amp; work comp'!D9)</f>
        <v>170.87754271765664</v>
      </c>
      <c r="M9" s="6">
        <f>SUM(EIT!D9)</f>
        <v>620</v>
      </c>
      <c r="N9" s="252">
        <f t="shared" si="0"/>
        <v>36406.87754271766</v>
      </c>
      <c r="O9" s="252">
        <v>36598.87754271766</v>
      </c>
      <c r="P9" s="259">
        <f t="shared" si="1"/>
        <v>-192</v>
      </c>
      <c r="R9" s="165"/>
    </row>
    <row r="10" spans="1:18" ht="15">
      <c r="A10" s="4" t="s">
        <v>19</v>
      </c>
      <c r="B10" s="6">
        <f>SUM(CSR!D10)</f>
        <v>6364</v>
      </c>
      <c r="C10" s="6">
        <f>SUM(CIT!D10)</f>
        <v>4679</v>
      </c>
      <c r="D10" s="6">
        <f>SUM('CC'!D10)</f>
        <v>70847</v>
      </c>
      <c r="E10" s="6">
        <f>SUM(OD!B10)</f>
        <v>8924</v>
      </c>
      <c r="F10" s="6">
        <f>SUM(ORS!D10)</f>
        <v>8489</v>
      </c>
      <c r="G10" s="6">
        <f>SUM(ORF!D10)</f>
        <v>1272</v>
      </c>
      <c r="H10" s="6">
        <f>SUM(NSABB!D10)</f>
        <v>285</v>
      </c>
      <c r="I10" s="6">
        <f>SUM('DHHS Assess'!D10)</f>
        <v>1786</v>
      </c>
      <c r="J10" s="6">
        <f>SUM('Reserve '!D10)</f>
        <v>358</v>
      </c>
      <c r="K10" s="6">
        <f>SUM('WCF PMS'!D10)</f>
        <v>2618</v>
      </c>
      <c r="L10" s="6">
        <f>SUM('Unempl &amp; work comp'!D10)</f>
        <v>512.6326281529699</v>
      </c>
      <c r="M10" s="6">
        <f>SUM(EIT!D10)</f>
        <v>1789</v>
      </c>
      <c r="N10" s="252">
        <f t="shared" si="0"/>
        <v>107923.63262815298</v>
      </c>
      <c r="O10" s="252">
        <v>108237.63262815298</v>
      </c>
      <c r="P10" s="259">
        <f t="shared" si="1"/>
        <v>-314</v>
      </c>
      <c r="R10" s="165"/>
    </row>
    <row r="11" spans="1:18" ht="15">
      <c r="A11" s="4" t="s">
        <v>20</v>
      </c>
      <c r="B11" s="6">
        <f>SUM(CSR!D11)</f>
        <v>4811</v>
      </c>
      <c r="C11" s="6">
        <f>SUM(CIT!D11)</f>
        <v>286</v>
      </c>
      <c r="D11" s="6">
        <f>SUM('CC'!D11)</f>
        <v>153</v>
      </c>
      <c r="E11" s="6">
        <f>SUM(OD!B11)</f>
        <v>4239</v>
      </c>
      <c r="F11" s="6">
        <f>SUM(ORS!D11)</f>
        <v>826</v>
      </c>
      <c r="G11" s="6">
        <f>SUM(ORF!D11)</f>
        <v>91</v>
      </c>
      <c r="H11" s="6">
        <f>SUM(NSABB!D11)</f>
        <v>125</v>
      </c>
      <c r="I11" s="6">
        <f>SUM('DHHS Assess'!D11)</f>
        <v>109</v>
      </c>
      <c r="J11" s="6">
        <f>SUM('Reserve '!D11)</f>
        <v>22</v>
      </c>
      <c r="K11" s="6">
        <f>SUM('WCF PMS'!D11)</f>
        <v>1475</v>
      </c>
      <c r="L11" s="6">
        <f>SUM('Unempl &amp; work comp'!D11)</f>
        <v>40.24410089503662</v>
      </c>
      <c r="M11" s="6">
        <f>SUM(EIT!D11)</f>
        <v>783</v>
      </c>
      <c r="N11" s="252">
        <f t="shared" si="0"/>
        <v>12960.244100895037</v>
      </c>
      <c r="O11" s="252">
        <v>13232.244100895037</v>
      </c>
      <c r="P11" s="259">
        <f t="shared" si="1"/>
        <v>-272</v>
      </c>
      <c r="R11" s="165"/>
    </row>
    <row r="12" spans="1:18" ht="15">
      <c r="A12" s="4" t="s">
        <v>21</v>
      </c>
      <c r="B12" s="6">
        <f>SUM(CSR!D12)</f>
        <v>3578</v>
      </c>
      <c r="C12" s="6">
        <f>SUM(CIT!D12)</f>
        <v>1952</v>
      </c>
      <c r="D12" s="6">
        <f>SUM('CC'!D12)</f>
        <v>20799</v>
      </c>
      <c r="E12" s="6">
        <f>SUM(OD!B12)</f>
        <v>4005</v>
      </c>
      <c r="F12" s="6">
        <f>SUM(ORS!D12)</f>
        <v>4351</v>
      </c>
      <c r="G12" s="6">
        <f>SUM(ORF!D12)</f>
        <v>547</v>
      </c>
      <c r="H12" s="6">
        <f>SUM(NSABB!D12)</f>
        <v>81</v>
      </c>
      <c r="I12" s="6">
        <f>SUM('DHHS Assess'!D12)</f>
        <v>745</v>
      </c>
      <c r="J12" s="6">
        <f>SUM('Reserve '!D12)</f>
        <v>149</v>
      </c>
      <c r="K12" s="6">
        <f>SUM('WCF PMS'!D12)</f>
        <v>1087</v>
      </c>
      <c r="L12" s="6">
        <f>SUM('Unempl &amp; work comp'!D12)</f>
        <v>174.10926421015924</v>
      </c>
      <c r="M12" s="6">
        <f>SUM(EIT!D12)</f>
        <v>512</v>
      </c>
      <c r="N12" s="252">
        <f t="shared" si="0"/>
        <v>37980.10926421016</v>
      </c>
      <c r="O12" s="252">
        <v>38135.10926421016</v>
      </c>
      <c r="P12" s="259">
        <f t="shared" si="1"/>
        <v>-155</v>
      </c>
      <c r="R12" s="165"/>
    </row>
    <row r="13" spans="1:18" ht="15">
      <c r="A13" s="4" t="s">
        <v>22</v>
      </c>
      <c r="B13" s="6">
        <f>SUM(CSR!D13)</f>
        <v>1560</v>
      </c>
      <c r="C13" s="6">
        <f>SUM(CIT!D13)</f>
        <v>734</v>
      </c>
      <c r="D13" s="6">
        <f>SUM('CC'!D13)</f>
        <v>8863</v>
      </c>
      <c r="E13" s="6">
        <f>SUM(OD!B13)</f>
        <v>1923</v>
      </c>
      <c r="F13" s="6">
        <f>SUM(ORS!D13)</f>
        <v>1786</v>
      </c>
      <c r="G13" s="6">
        <f>SUM(ORF!D13)</f>
        <v>205</v>
      </c>
      <c r="H13" s="6">
        <f>SUM(NSABB!D13)</f>
        <v>43</v>
      </c>
      <c r="I13" s="6">
        <f>SUM('DHHS Assess'!D13)</f>
        <v>280</v>
      </c>
      <c r="J13" s="6">
        <f>SUM('Reserve '!D13)</f>
        <v>56</v>
      </c>
      <c r="K13" s="6">
        <f>SUM('WCF PMS'!D13)</f>
        <v>558</v>
      </c>
      <c r="L13" s="6">
        <f>SUM('Unempl &amp; work comp'!D13)</f>
        <v>67.48407532256189</v>
      </c>
      <c r="M13" s="6">
        <f>SUM(EIT!D13)</f>
        <v>269</v>
      </c>
      <c r="N13" s="252">
        <f t="shared" si="0"/>
        <v>16344.484075322562</v>
      </c>
      <c r="O13" s="252">
        <v>16431.48407532256</v>
      </c>
      <c r="P13" s="259">
        <f t="shared" si="1"/>
        <v>-87</v>
      </c>
      <c r="R13" s="165"/>
    </row>
    <row r="14" spans="1:18" ht="15">
      <c r="A14" s="4" t="s">
        <v>23</v>
      </c>
      <c r="B14" s="6">
        <f>SUM(CSR!D14)</f>
        <v>1077</v>
      </c>
      <c r="C14" s="6">
        <f>SUM(CIT!D14)</f>
        <v>2092</v>
      </c>
      <c r="D14" s="6">
        <f>SUM('CC'!D14)</f>
        <v>16930</v>
      </c>
      <c r="E14" s="6">
        <f>SUM(OD!B14)</f>
        <v>2566</v>
      </c>
      <c r="F14" s="6">
        <f>SUM(ORS!D14)</f>
        <v>1908</v>
      </c>
      <c r="G14" s="6">
        <f>SUM(ORF!D14)</f>
        <v>434</v>
      </c>
      <c r="H14" s="6">
        <f>SUM(NSABB!D14)</f>
        <v>41</v>
      </c>
      <c r="I14" s="6">
        <f>SUM('DHHS Assess'!D14)</f>
        <v>798</v>
      </c>
      <c r="J14" s="6">
        <f>SUM('Reserve '!D14)</f>
        <v>160</v>
      </c>
      <c r="K14" s="6">
        <f>SUM('WCF PMS'!D14)</f>
        <v>586</v>
      </c>
      <c r="L14" s="6">
        <f>SUM('Unempl &amp; work comp'!D14)</f>
        <v>211.19888411019411</v>
      </c>
      <c r="M14" s="6">
        <f>SUM(EIT!D14)</f>
        <v>259</v>
      </c>
      <c r="N14" s="252">
        <f t="shared" si="0"/>
        <v>27062.198884110196</v>
      </c>
      <c r="O14" s="252">
        <v>27110.198884110196</v>
      </c>
      <c r="P14" s="259">
        <f t="shared" si="1"/>
        <v>-48</v>
      </c>
      <c r="R14" s="165"/>
    </row>
    <row r="15" spans="1:18" ht="15">
      <c r="A15" s="4" t="s">
        <v>24</v>
      </c>
      <c r="B15" s="6">
        <f>SUM(CSR!D15)</f>
        <v>2930</v>
      </c>
      <c r="C15" s="6">
        <f>SUM(CIT!D15)</f>
        <v>1386</v>
      </c>
      <c r="D15" s="6">
        <f>SUM('CC'!D15)</f>
        <v>7629</v>
      </c>
      <c r="E15" s="6">
        <f>SUM(OD!B15)</f>
        <v>3026</v>
      </c>
      <c r="F15" s="6">
        <f>SUM(ORS!D15)</f>
        <v>1675</v>
      </c>
      <c r="G15" s="6">
        <f>SUM(ORF!D15)</f>
        <v>320</v>
      </c>
      <c r="H15" s="6">
        <f>SUM(NSABB!D15)</f>
        <v>67</v>
      </c>
      <c r="I15" s="6">
        <f>SUM('DHHS Assess'!D15)</f>
        <v>529</v>
      </c>
      <c r="J15" s="6">
        <f>SUM('Reserve '!D15)</f>
        <v>106</v>
      </c>
      <c r="K15" s="6">
        <f>SUM('WCF PMS'!D15)</f>
        <v>835</v>
      </c>
      <c r="L15" s="6">
        <f>SUM('Unempl &amp; work comp'!D15)</f>
        <v>120.80954318261072</v>
      </c>
      <c r="M15" s="6">
        <f>SUM(EIT!D15)</f>
        <v>423</v>
      </c>
      <c r="N15" s="252">
        <f t="shared" si="0"/>
        <v>19046.80954318261</v>
      </c>
      <c r="O15" s="252">
        <v>19168.80954318261</v>
      </c>
      <c r="P15" s="259">
        <f t="shared" si="1"/>
        <v>-122</v>
      </c>
      <c r="R15" s="165"/>
    </row>
    <row r="16" spans="1:18" ht="15">
      <c r="A16" s="4" t="s">
        <v>25</v>
      </c>
      <c r="B16" s="6">
        <f>SUM(CSR!D16)</f>
        <v>1704</v>
      </c>
      <c r="C16" s="6">
        <f>SUM(CIT!D16)</f>
        <v>613</v>
      </c>
      <c r="D16" s="6">
        <f>SUM('CC'!D16)</f>
        <v>6609</v>
      </c>
      <c r="E16" s="6">
        <f>SUM(OD!B16)</f>
        <v>1664</v>
      </c>
      <c r="F16" s="6">
        <f>SUM(ORS!D16)</f>
        <v>1448</v>
      </c>
      <c r="G16" s="6">
        <f>SUM(ORF!D16)</f>
        <v>175</v>
      </c>
      <c r="H16" s="6">
        <f>SUM(NSABB!D16)</f>
        <v>33</v>
      </c>
      <c r="I16" s="6">
        <f>SUM('DHHS Assess'!D16)</f>
        <v>234</v>
      </c>
      <c r="J16" s="6">
        <f>SUM('Reserve '!D16)</f>
        <v>47</v>
      </c>
      <c r="K16" s="6">
        <f>SUM('WCF PMS'!D16)</f>
        <v>492</v>
      </c>
      <c r="L16" s="6">
        <f>SUM('Unempl &amp; work comp'!D16)</f>
        <v>67.50982215506218</v>
      </c>
      <c r="M16" s="6">
        <f>SUM(EIT!D16)</f>
        <v>205</v>
      </c>
      <c r="N16" s="252">
        <f t="shared" si="0"/>
        <v>13291.509822155062</v>
      </c>
      <c r="O16" s="252">
        <v>13369.509822155062</v>
      </c>
      <c r="P16" s="259">
        <f t="shared" si="1"/>
        <v>-78</v>
      </c>
      <c r="R16" s="165"/>
    </row>
    <row r="17" spans="1:18" ht="15">
      <c r="A17" s="4" t="s">
        <v>26</v>
      </c>
      <c r="B17" s="6">
        <f>SUM(CSR!D17)</f>
        <v>1001</v>
      </c>
      <c r="C17" s="6">
        <f>SUM(CIT!D17)</f>
        <v>407</v>
      </c>
      <c r="D17" s="6">
        <f>SUM('CC'!D17)</f>
        <v>4526</v>
      </c>
      <c r="E17" s="6">
        <f>SUM(OD!B17)</f>
        <v>1250</v>
      </c>
      <c r="F17" s="6">
        <f>SUM(ORS!D17)</f>
        <v>803</v>
      </c>
      <c r="G17" s="6">
        <f>SUM(ORF!D17)</f>
        <v>115</v>
      </c>
      <c r="H17" s="6">
        <f>SUM(NSABB!D17)</f>
        <v>25</v>
      </c>
      <c r="I17" s="6">
        <f>SUM('DHHS Assess'!D17)</f>
        <v>155</v>
      </c>
      <c r="J17" s="6">
        <f>SUM('Reserve '!D17)</f>
        <v>31</v>
      </c>
      <c r="K17" s="6">
        <f>SUM('WCF PMS'!D17)</f>
        <v>378</v>
      </c>
      <c r="L17" s="6">
        <f>SUM('Unempl &amp; work comp'!D17)</f>
        <v>43.50156922003952</v>
      </c>
      <c r="M17" s="6">
        <f>SUM(EIT!D17)</f>
        <v>159</v>
      </c>
      <c r="N17" s="252">
        <f t="shared" si="0"/>
        <v>8893.50156922004</v>
      </c>
      <c r="O17" s="252">
        <v>8954.50156922004</v>
      </c>
      <c r="P17" s="259">
        <f t="shared" si="1"/>
        <v>-61</v>
      </c>
      <c r="R17" s="165"/>
    </row>
    <row r="18" spans="1:18" ht="15">
      <c r="A18" s="4" t="s">
        <v>27</v>
      </c>
      <c r="B18" s="6">
        <f>SUM(CSR!D18)</f>
        <v>3680</v>
      </c>
      <c r="C18" s="6">
        <f>SUM(CIT!D18)</f>
        <v>1873</v>
      </c>
      <c r="D18" s="6">
        <f>SUM('CC'!D18)</f>
        <v>20858</v>
      </c>
      <c r="E18" s="6">
        <f>SUM(OD!B18)</f>
        <v>4450</v>
      </c>
      <c r="F18" s="6">
        <f>SUM(ORS!D18)</f>
        <v>4172</v>
      </c>
      <c r="G18" s="6">
        <f>SUM(ORF!D18)</f>
        <v>526</v>
      </c>
      <c r="H18" s="6">
        <f>SUM(NSABB!D18)</f>
        <v>90</v>
      </c>
      <c r="I18" s="6">
        <f>SUM('DHHS Assess'!D18)</f>
        <v>715</v>
      </c>
      <c r="J18" s="6">
        <f>SUM('Reserve '!D18)</f>
        <v>143</v>
      </c>
      <c r="K18" s="6">
        <f>SUM('WCF PMS'!D18)</f>
        <v>867</v>
      </c>
      <c r="L18" s="6">
        <f>SUM('Unempl &amp; work comp'!D18)</f>
        <v>203.50371963268628</v>
      </c>
      <c r="M18" s="6">
        <f>SUM(EIT!D18)</f>
        <v>568</v>
      </c>
      <c r="N18" s="252">
        <f t="shared" si="0"/>
        <v>38145.50371963269</v>
      </c>
      <c r="O18" s="252">
        <v>35439.50371963269</v>
      </c>
      <c r="P18" s="259">
        <f t="shared" si="1"/>
        <v>2706</v>
      </c>
      <c r="R18" s="165"/>
    </row>
    <row r="19" spans="1:18" ht="15">
      <c r="A19" s="4" t="s">
        <v>28</v>
      </c>
      <c r="B19" s="6">
        <f>SUM(CSR!D19)</f>
        <v>2511</v>
      </c>
      <c r="C19" s="6">
        <f>SUM(CIT!D19)</f>
        <v>1161</v>
      </c>
      <c r="D19" s="6">
        <f>SUM('CC'!D19)</f>
        <v>4897</v>
      </c>
      <c r="E19" s="6">
        <f>SUM(OD!B19)</f>
        <v>2687</v>
      </c>
      <c r="F19" s="6">
        <f>SUM(ORS!D19)</f>
        <v>1395</v>
      </c>
      <c r="G19" s="6">
        <f>SUM(ORF!D19)</f>
        <v>283</v>
      </c>
      <c r="H19" s="6">
        <f>SUM(NSABB!D19)</f>
        <v>64</v>
      </c>
      <c r="I19" s="6">
        <f>SUM('DHHS Assess'!D19)</f>
        <v>443</v>
      </c>
      <c r="J19" s="6">
        <f>SUM('Reserve '!D19)</f>
        <v>89</v>
      </c>
      <c r="K19" s="6">
        <f>SUM('WCF PMS'!D19)</f>
        <v>787</v>
      </c>
      <c r="L19" s="6">
        <f>SUM('Unempl &amp; work comp'!D19)</f>
        <v>116.42334069510636</v>
      </c>
      <c r="M19" s="6">
        <f>SUM(EIT!D19)</f>
        <v>405</v>
      </c>
      <c r="N19" s="252">
        <f t="shared" si="0"/>
        <v>14838.423340695106</v>
      </c>
      <c r="O19" s="252">
        <v>14950.423340695106</v>
      </c>
      <c r="P19" s="259">
        <f t="shared" si="1"/>
        <v>-112</v>
      </c>
      <c r="R19" s="165"/>
    </row>
    <row r="20" spans="1:18" ht="15">
      <c r="A20" s="4" t="s">
        <v>29</v>
      </c>
      <c r="B20" s="6">
        <f>SUM(CSR!D20)</f>
        <v>861</v>
      </c>
      <c r="C20" s="6">
        <f>SUM(CIT!D20)</f>
        <v>478</v>
      </c>
      <c r="D20" s="6">
        <f>SUM('CC'!D20)</f>
        <v>5919</v>
      </c>
      <c r="E20" s="6">
        <f>SUM(OD!B20)</f>
        <v>1218</v>
      </c>
      <c r="F20" s="6">
        <f>SUM(ORS!D20)</f>
        <v>802</v>
      </c>
      <c r="G20" s="6">
        <f>SUM(ORF!D20)</f>
        <v>135</v>
      </c>
      <c r="H20" s="6">
        <f>SUM(NSABB!D20)</f>
        <v>28</v>
      </c>
      <c r="I20" s="6">
        <f>SUM('DHHS Assess'!D20)</f>
        <v>182</v>
      </c>
      <c r="J20" s="6">
        <f>SUM('Reserve '!D20)</f>
        <v>37</v>
      </c>
      <c r="K20" s="6">
        <f>SUM('WCF PMS'!D20)</f>
        <v>383</v>
      </c>
      <c r="L20" s="6">
        <f>SUM('Unempl &amp; work comp'!D20)</f>
        <v>71.84453097756597</v>
      </c>
      <c r="M20" s="6">
        <f>SUM(EIT!D20)</f>
        <v>176</v>
      </c>
      <c r="N20" s="252">
        <f t="shared" si="0"/>
        <v>10290.844530977565</v>
      </c>
      <c r="O20" s="252">
        <v>10344.844530977565</v>
      </c>
      <c r="P20" s="259">
        <f t="shared" si="1"/>
        <v>-54</v>
      </c>
      <c r="R20" s="165"/>
    </row>
    <row r="21" spans="1:18" ht="15">
      <c r="A21" s="4" t="s">
        <v>30</v>
      </c>
      <c r="B21" s="6">
        <f>SUM(CSR!D21)</f>
        <v>581</v>
      </c>
      <c r="C21" s="6">
        <f>SUM(CIT!D21)</f>
        <v>104</v>
      </c>
      <c r="D21" s="6">
        <f>SUM('CC'!D21)</f>
        <v>442</v>
      </c>
      <c r="E21" s="6">
        <f>SUM(OD!B21)</f>
        <v>416</v>
      </c>
      <c r="F21" s="6">
        <f>SUM(ORS!D21)</f>
        <v>241</v>
      </c>
      <c r="G21" s="6">
        <f>SUM(ORF!D21)</f>
        <v>31</v>
      </c>
      <c r="H21" s="6">
        <f>SUM(NSABB!D21)</f>
        <v>9</v>
      </c>
      <c r="I21" s="6">
        <f>SUM('DHHS Assess'!D21)</f>
        <v>40</v>
      </c>
      <c r="J21" s="6">
        <f>SUM('Reserve '!D21)</f>
        <v>8</v>
      </c>
      <c r="K21" s="6">
        <f>SUM('WCF PMS'!D21)</f>
        <v>137</v>
      </c>
      <c r="L21" s="6">
        <f>SUM('Unempl &amp; work comp'!D21)</f>
        <v>14.132860630012786</v>
      </c>
      <c r="M21" s="6">
        <f>SUM(EIT!D21)</f>
        <v>56</v>
      </c>
      <c r="N21" s="252">
        <f t="shared" si="0"/>
        <v>2079.132860630013</v>
      </c>
      <c r="O21" s="252">
        <v>2100.132860630013</v>
      </c>
      <c r="P21" s="259">
        <f t="shared" si="1"/>
        <v>-21</v>
      </c>
      <c r="R21" s="165"/>
    </row>
    <row r="22" spans="1:18" ht="15">
      <c r="A22" s="4" t="s">
        <v>31</v>
      </c>
      <c r="B22" s="6">
        <f>SUM(CSR!D22)</f>
        <v>466</v>
      </c>
      <c r="C22" s="6">
        <f>SUM(CIT!D22)</f>
        <v>851</v>
      </c>
      <c r="D22" s="6">
        <f>SUM('CC'!D22)</f>
        <v>12864</v>
      </c>
      <c r="E22" s="6">
        <f>SUM(OD!B22)</f>
        <v>1066</v>
      </c>
      <c r="F22" s="6">
        <f>SUM(ORS!D22)</f>
        <v>1881</v>
      </c>
      <c r="G22" s="6">
        <f>SUM(ORF!D22)</f>
        <v>236</v>
      </c>
      <c r="H22" s="6">
        <f>SUM(NSABB!D22)</f>
        <v>31</v>
      </c>
      <c r="I22" s="6">
        <f>SUM('DHHS Assess'!D22)</f>
        <v>325</v>
      </c>
      <c r="J22" s="6">
        <f>SUM('Reserve '!D22)</f>
        <v>65</v>
      </c>
      <c r="K22" s="6">
        <f>SUM('WCF PMS'!D22)</f>
        <v>268</v>
      </c>
      <c r="L22" s="6">
        <f>SUM('Unempl &amp; work comp'!D22)</f>
        <v>95.74979658258746</v>
      </c>
      <c r="M22" s="6">
        <f>SUM(EIT!D22)</f>
        <v>197</v>
      </c>
      <c r="N22" s="252">
        <f t="shared" si="0"/>
        <v>18345.749796582586</v>
      </c>
      <c r="O22" s="252">
        <v>18365.749796582586</v>
      </c>
      <c r="P22" s="259">
        <f t="shared" si="1"/>
        <v>-20</v>
      </c>
      <c r="R22" s="165"/>
    </row>
    <row r="23" spans="1:18" ht="15">
      <c r="A23" s="4" t="s">
        <v>32</v>
      </c>
      <c r="B23" s="6">
        <f>SUM(CSR!D23)</f>
        <v>1697</v>
      </c>
      <c r="C23" s="6">
        <f>SUM(CIT!D23)</f>
        <v>131</v>
      </c>
      <c r="D23" s="6">
        <f>SUM('CC'!D23)</f>
        <v>1019</v>
      </c>
      <c r="E23" s="6">
        <f>SUM(OD!B23)</f>
        <v>831</v>
      </c>
      <c r="F23" s="6">
        <f>SUM(ORS!D23)</f>
        <v>256</v>
      </c>
      <c r="G23" s="6">
        <f>SUM(ORF!D23)</f>
        <v>40</v>
      </c>
      <c r="H23" s="6">
        <f>SUM(NSABB!D23)</f>
        <v>19</v>
      </c>
      <c r="I23" s="6">
        <f>SUM('DHHS Assess'!D23)</f>
        <v>50</v>
      </c>
      <c r="J23" s="6">
        <f>SUM('Reserve '!D23)</f>
        <v>10</v>
      </c>
      <c r="K23" s="6">
        <f>SUM('WCF PMS'!D23)</f>
        <v>277</v>
      </c>
      <c r="L23" s="6">
        <f>SUM('Unempl &amp; work comp'!D23)</f>
        <v>16.28734162501453</v>
      </c>
      <c r="M23" s="6">
        <f>SUM(EIT!D23)</f>
        <v>120</v>
      </c>
      <c r="N23" s="252">
        <f t="shared" si="0"/>
        <v>4466.287341625015</v>
      </c>
      <c r="O23" s="252">
        <v>4515.287341625015</v>
      </c>
      <c r="P23" s="259">
        <f t="shared" si="1"/>
        <v>-49</v>
      </c>
      <c r="R23" s="165"/>
    </row>
    <row r="24" spans="1:18" ht="15">
      <c r="A24" s="4" t="s">
        <v>33</v>
      </c>
      <c r="B24" s="6">
        <f>SUM(CSR!D24)</f>
        <v>315</v>
      </c>
      <c r="C24" s="6">
        <f>SUM(CIT!D24)</f>
        <v>179</v>
      </c>
      <c r="D24" s="6">
        <f>SUM('CC'!D24)</f>
        <v>0</v>
      </c>
      <c r="E24" s="6">
        <f>SUM(OD!B24)</f>
        <v>1194</v>
      </c>
      <c r="F24" s="6">
        <f>SUM(ORS!D24)</f>
        <v>316</v>
      </c>
      <c r="G24" s="6">
        <f>SUM(ORF!D24)</f>
        <v>55</v>
      </c>
      <c r="H24" s="6">
        <f>SUM(NSABB!D24)</f>
        <v>71</v>
      </c>
      <c r="I24" s="6">
        <f>SUM('DHHS Assess'!D24)</f>
        <v>68</v>
      </c>
      <c r="J24" s="6">
        <f>SUM('Reserve '!D24)</f>
        <v>14</v>
      </c>
      <c r="K24" s="6">
        <f>SUM('WCF PMS'!D24)</f>
        <v>485</v>
      </c>
      <c r="L24" s="6">
        <f>SUM('Unempl &amp; work comp'!D24)</f>
        <v>33.78065791003139</v>
      </c>
      <c r="M24" s="6">
        <f>SUM(EIT!D24)</f>
        <v>447</v>
      </c>
      <c r="N24" s="252">
        <f t="shared" si="0"/>
        <v>3177.7806579100316</v>
      </c>
      <c r="O24" s="252">
        <v>3244.7806579100316</v>
      </c>
      <c r="P24" s="259">
        <f t="shared" si="1"/>
        <v>-67</v>
      </c>
      <c r="R24" s="165"/>
    </row>
    <row r="25" spans="1:18" ht="15">
      <c r="A25" s="4" t="s">
        <v>34</v>
      </c>
      <c r="B25" s="6">
        <f>SUM(CSR!D25)</f>
        <v>763</v>
      </c>
      <c r="C25" s="6">
        <f>SUM(CIT!D25)</f>
        <v>179</v>
      </c>
      <c r="D25" s="6">
        <f>SUM('CC'!D25)</f>
        <v>940</v>
      </c>
      <c r="E25" s="6">
        <f>SUM(OD!B25)</f>
        <v>427</v>
      </c>
      <c r="F25" s="6">
        <f>SUM(ORS!D25)</f>
        <v>389</v>
      </c>
      <c r="G25" s="6">
        <f>SUM(ORF!D25)</f>
        <v>53</v>
      </c>
      <c r="H25" s="6">
        <f>SUM(NSABB!D25)</f>
        <v>8</v>
      </c>
      <c r="I25" s="6">
        <f>SUM('DHHS Assess'!D25)</f>
        <v>68</v>
      </c>
      <c r="J25" s="6">
        <f>SUM('Reserve '!D25)</f>
        <v>14</v>
      </c>
      <c r="K25" s="6">
        <f>SUM('WCF PMS'!D25)</f>
        <v>128</v>
      </c>
      <c r="L25" s="6">
        <f>SUM('Unempl &amp; work comp'!D25)</f>
        <v>23.956759270022086</v>
      </c>
      <c r="M25" s="6">
        <f>SUM(EIT!D25)</f>
        <v>49</v>
      </c>
      <c r="N25" s="252">
        <f t="shared" si="0"/>
        <v>3041.9567592700223</v>
      </c>
      <c r="O25" s="252">
        <v>3059.9567592700223</v>
      </c>
      <c r="P25" s="259">
        <f t="shared" si="1"/>
        <v>-18</v>
      </c>
      <c r="R25" s="165"/>
    </row>
    <row r="26" spans="1:18" ht="15">
      <c r="A26" s="4" t="s">
        <v>35</v>
      </c>
      <c r="B26" s="6">
        <f>SUM(CSR!D26)</f>
        <v>0</v>
      </c>
      <c r="C26" s="6">
        <f>SUM(CIT!D26)</f>
        <v>56</v>
      </c>
      <c r="D26" s="6">
        <f>SUM('CC'!D26)</f>
        <v>247</v>
      </c>
      <c r="E26" s="6">
        <f>SUM(OD!B26)</f>
        <v>213</v>
      </c>
      <c r="F26" s="6">
        <f>SUM(ORS!D26)</f>
        <v>95</v>
      </c>
      <c r="G26" s="6">
        <f>SUM(ORF!D26)</f>
        <v>17</v>
      </c>
      <c r="H26" s="6">
        <f>SUM(NSABB!D26)</f>
        <v>13</v>
      </c>
      <c r="I26" s="6">
        <f>SUM('DHHS Assess'!D26)</f>
        <v>21</v>
      </c>
      <c r="J26" s="6">
        <f>SUM('Reserve '!D26)</f>
        <v>4</v>
      </c>
      <c r="K26" s="6">
        <f>SUM('WCF PMS'!D26)</f>
        <v>115</v>
      </c>
      <c r="L26" s="6">
        <f>SUM('Unempl &amp; work comp'!D26)</f>
        <v>8.746658142508426</v>
      </c>
      <c r="M26" s="6">
        <f>SUM(EIT!D26)</f>
        <v>79</v>
      </c>
      <c r="N26" s="252">
        <f t="shared" si="0"/>
        <v>868.7466581425084</v>
      </c>
      <c r="O26" s="252">
        <v>878.7466581425084</v>
      </c>
      <c r="P26" s="259">
        <f t="shared" si="1"/>
        <v>-10</v>
      </c>
      <c r="R26" s="165"/>
    </row>
    <row r="27" spans="1:18" ht="15">
      <c r="A27" s="4" t="s">
        <v>36</v>
      </c>
      <c r="B27" s="6">
        <f>SUM(CSR!D27)</f>
        <v>471</v>
      </c>
      <c r="C27" s="6">
        <f>SUM(CIT!D27)</f>
        <v>107</v>
      </c>
      <c r="D27" s="6">
        <f>SUM('CC'!D27)</f>
        <v>0</v>
      </c>
      <c r="E27" s="6">
        <f>SUM(OD!B27)</f>
        <v>405</v>
      </c>
      <c r="F27" s="6">
        <f>SUM(ORS!D27)</f>
        <v>284</v>
      </c>
      <c r="G27" s="6">
        <f>SUM(ORF!D27)</f>
        <v>31</v>
      </c>
      <c r="H27" s="6">
        <f>SUM(NSABB!D27)</f>
        <v>4</v>
      </c>
      <c r="I27" s="6">
        <f>SUM('DHHS Assess'!D27)</f>
        <v>41</v>
      </c>
      <c r="J27" s="6">
        <f>SUM('Reserve '!D27)</f>
        <v>8</v>
      </c>
      <c r="K27" s="6">
        <f>SUM('WCF PMS'!D27)</f>
        <v>130</v>
      </c>
      <c r="L27" s="6">
        <f>SUM('Unempl &amp; work comp'!D27)</f>
        <v>17.390328955015693</v>
      </c>
      <c r="M27" s="6">
        <f>SUM(EIT!D27)</f>
        <v>27</v>
      </c>
      <c r="N27" s="252">
        <f t="shared" si="0"/>
        <v>1525.3903289550158</v>
      </c>
      <c r="O27" s="252">
        <v>1546.3903289550158</v>
      </c>
      <c r="P27" s="259">
        <f t="shared" si="1"/>
        <v>-21</v>
      </c>
      <c r="R27" s="165"/>
    </row>
    <row r="28" spans="1:18" ht="15">
      <c r="A28" s="4" t="s">
        <v>37</v>
      </c>
      <c r="B28" s="6">
        <f>SUM(CSR!D28)</f>
        <v>0</v>
      </c>
      <c r="C28" s="6">
        <f>SUM(CIT!D28)</f>
        <v>2085</v>
      </c>
      <c r="D28" s="6">
        <f>SUM('CC'!D28)</f>
        <v>0</v>
      </c>
      <c r="E28" s="6">
        <f>SUM(OD!B28)</f>
        <v>2014</v>
      </c>
      <c r="F28" s="6">
        <f>SUM(ORS!D28)</f>
        <v>4274</v>
      </c>
      <c r="G28" s="6">
        <f>SUM(ORF!D28)</f>
        <v>560</v>
      </c>
      <c r="H28" s="6">
        <f>SUM(NSABB!D28)</f>
        <v>20</v>
      </c>
      <c r="I28" s="6">
        <f>SUM('DHHS Assess'!D28)</f>
        <v>796</v>
      </c>
      <c r="J28" s="6">
        <f>SUM('Reserve '!D28)</f>
        <v>159</v>
      </c>
      <c r="K28" s="6">
        <f>SUM('WCF PMS'!D28)</f>
        <v>378</v>
      </c>
      <c r="L28" s="6">
        <f>SUM('Unempl &amp; work comp'!D28)</f>
        <v>210.04440311519238</v>
      </c>
      <c r="M28" s="6">
        <f>SUM(EIT!D28)</f>
        <v>127</v>
      </c>
      <c r="N28" s="252">
        <f t="shared" si="0"/>
        <v>10623.044403115193</v>
      </c>
      <c r="O28" s="252">
        <v>10634.044403115193</v>
      </c>
      <c r="P28" s="259">
        <f t="shared" si="1"/>
        <v>-11</v>
      </c>
      <c r="R28" s="165"/>
    </row>
    <row r="29" spans="1:18" ht="15">
      <c r="A29" s="4" t="s">
        <v>38</v>
      </c>
      <c r="B29" s="6">
        <f>SUM(CSR!D29)</f>
        <v>0</v>
      </c>
      <c r="C29" s="6">
        <f>SUM(CIT!D29)</f>
        <v>617</v>
      </c>
      <c r="D29" s="6">
        <f>SUM('CC'!D29)</f>
        <v>0</v>
      </c>
      <c r="E29" s="6">
        <f>SUM(OD!E29)</f>
        <v>0</v>
      </c>
      <c r="F29" s="6">
        <f>SUM(ORS!D29)</f>
        <v>1532</v>
      </c>
      <c r="G29" s="6">
        <f>SUM(ORF!D29)</f>
        <v>170</v>
      </c>
      <c r="H29" s="6">
        <f>SUM(NSABB!D29)</f>
        <v>0</v>
      </c>
      <c r="I29" s="6">
        <f>SUM('DHHS Assess'!D29)</f>
        <v>0</v>
      </c>
      <c r="J29" s="6">
        <f>SUM('Reserve '!D29)</f>
        <v>0</v>
      </c>
      <c r="K29" s="6">
        <f>SUM('WCF PMS'!D29)</f>
        <v>0</v>
      </c>
      <c r="L29" s="6">
        <f>SUM('Unempl &amp; work comp'!D29)</f>
        <v>0</v>
      </c>
      <c r="M29" s="6">
        <f>SUM(EIT!D29)</f>
        <v>0</v>
      </c>
      <c r="N29" s="252">
        <f t="shared" si="0"/>
        <v>2319</v>
      </c>
      <c r="O29" s="252">
        <v>2319</v>
      </c>
      <c r="P29" s="259">
        <f t="shared" si="1"/>
        <v>0</v>
      </c>
      <c r="R29" s="165"/>
    </row>
    <row r="30" spans="1:18" ht="15">
      <c r="A30" s="4" t="s">
        <v>8</v>
      </c>
      <c r="B30" s="6">
        <f>SUM(CSR!D30)</f>
        <v>0</v>
      </c>
      <c r="C30" s="6">
        <f>SUM(CIT!D30)</f>
        <v>0</v>
      </c>
      <c r="D30" s="6">
        <f>SUM('CC'!D30)</f>
        <v>0</v>
      </c>
      <c r="E30" s="6">
        <f>SUM(OD!E30)</f>
        <v>0</v>
      </c>
      <c r="F30" s="6">
        <f>SUM(ORS!D30)</f>
        <v>2447</v>
      </c>
      <c r="G30" s="6">
        <f>SUM(ORF!D30)</f>
        <v>426</v>
      </c>
      <c r="H30" s="6">
        <f>SUM(NSABB!D30)</f>
        <v>0</v>
      </c>
      <c r="I30" s="6">
        <f>SUM('DHHS Assess'!D30)</f>
        <v>0</v>
      </c>
      <c r="J30" s="6">
        <f>SUM('Reserve '!D30)</f>
        <v>0</v>
      </c>
      <c r="K30" s="6">
        <f>SUM('WCF PMS'!D30)</f>
        <v>0</v>
      </c>
      <c r="L30" s="6">
        <f>SUM('Unempl &amp; work comp'!D30)</f>
        <v>198.11751714518192</v>
      </c>
      <c r="M30" s="6">
        <f>SUM(EIT!D30)</f>
        <v>164</v>
      </c>
      <c r="N30" s="252">
        <f t="shared" si="0"/>
        <v>3235.117517145182</v>
      </c>
      <c r="O30" s="252">
        <v>3235.117517145182</v>
      </c>
      <c r="P30" s="259">
        <f t="shared" si="1"/>
        <v>0</v>
      </c>
      <c r="R30" s="165"/>
    </row>
    <row r="31" spans="1:18" ht="15">
      <c r="A31" s="4" t="s">
        <v>51</v>
      </c>
      <c r="B31" s="6">
        <f>SUM(CSR!D31)</f>
        <v>0</v>
      </c>
      <c r="C31" s="6">
        <f>SUM(CIT!D31)</f>
        <v>0</v>
      </c>
      <c r="D31" s="6">
        <f>SUM('CC'!D31)</f>
        <v>0</v>
      </c>
      <c r="E31" s="6">
        <f>SUM(OD!E31)</f>
        <v>0</v>
      </c>
      <c r="F31" s="6">
        <f>SUM(ORS!D31)</f>
        <v>0</v>
      </c>
      <c r="G31" s="6">
        <f>SUM(ORF!D31)</f>
        <v>0</v>
      </c>
      <c r="H31" s="6">
        <f>SUM(NSABB!D31)</f>
        <v>0</v>
      </c>
      <c r="I31" s="6">
        <f>SUM('DHHS Assess'!D31)</f>
        <v>0</v>
      </c>
      <c r="J31" s="6">
        <f>SUM('Reserve '!D31)</f>
        <v>0</v>
      </c>
      <c r="K31" s="6">
        <f>SUM('WCF PMS'!D31)</f>
        <v>0</v>
      </c>
      <c r="L31" s="6">
        <f>SUM('Unempl &amp; work comp'!D31)</f>
        <v>348.34726258281995</v>
      </c>
      <c r="M31" s="6">
        <f>SUM(EIT!D31)</f>
        <v>0</v>
      </c>
      <c r="N31" s="252">
        <f t="shared" si="0"/>
        <v>348.34726258281995</v>
      </c>
      <c r="O31" s="252">
        <v>348.34726258281995</v>
      </c>
      <c r="P31" s="259">
        <f t="shared" si="1"/>
        <v>0</v>
      </c>
      <c r="R31" s="165"/>
    </row>
    <row r="32" spans="1:18" ht="15">
      <c r="A32" s="4" t="s">
        <v>39</v>
      </c>
      <c r="B32" s="6">
        <f>SUM(CSR!D32)</f>
        <v>0</v>
      </c>
      <c r="C32" s="6">
        <f>SUM(CIT!D32)</f>
        <v>0</v>
      </c>
      <c r="D32" s="6">
        <f>SUM('CC'!D32)</f>
        <v>0</v>
      </c>
      <c r="E32" s="6">
        <f>SUM(OD!E32)</f>
        <v>0</v>
      </c>
      <c r="F32" s="6">
        <f>SUM(ORS!D32)</f>
        <v>8323</v>
      </c>
      <c r="G32" s="6">
        <f>SUM(ORF!D32)</f>
        <v>935</v>
      </c>
      <c r="H32" s="6">
        <f>SUM(NSABB!D32)</f>
        <v>0</v>
      </c>
      <c r="I32" s="6">
        <f>SUM('DHHS Assess'!D32)</f>
        <v>0</v>
      </c>
      <c r="J32" s="6">
        <f>SUM('Reserve '!D32)</f>
        <v>0</v>
      </c>
      <c r="K32" s="6">
        <f>SUM('WCF PMS'!D32)</f>
        <v>0</v>
      </c>
      <c r="L32" s="6">
        <f>SUM('Unempl &amp; work comp'!D32)</f>
        <v>588.8118679530396</v>
      </c>
      <c r="M32" s="6">
        <f>SUM(EIT!D32)</f>
        <v>0</v>
      </c>
      <c r="N32" s="252">
        <f t="shared" si="0"/>
        <v>9846.81186795304</v>
      </c>
      <c r="O32" s="252">
        <v>9846.81186795304</v>
      </c>
      <c r="P32" s="259">
        <f t="shared" si="1"/>
        <v>0</v>
      </c>
      <c r="R32" s="165"/>
    </row>
    <row r="33" spans="1:18" ht="15">
      <c r="A33" s="4" t="s">
        <v>5</v>
      </c>
      <c r="B33" s="6">
        <f>SUM(CSR!D33)</f>
        <v>0</v>
      </c>
      <c r="C33" s="6">
        <f>SUM(CIT!D33)</f>
        <v>0</v>
      </c>
      <c r="D33" s="6">
        <f>SUM('CC'!D33)</f>
        <v>0</v>
      </c>
      <c r="E33" s="6">
        <f>SUM(OD!E33)</f>
        <v>0</v>
      </c>
      <c r="F33" s="6">
        <f>SUM(ORS!D33)</f>
        <v>961</v>
      </c>
      <c r="G33" s="6">
        <f>SUM(ORF!D33)</f>
        <v>178</v>
      </c>
      <c r="H33" s="6">
        <f>SUM(NSABB!D33)</f>
        <v>0</v>
      </c>
      <c r="I33" s="6">
        <f>SUM('DHHS Assess'!D33)</f>
        <v>0</v>
      </c>
      <c r="J33" s="6">
        <f>SUM('Reserve '!D33)</f>
        <v>0</v>
      </c>
      <c r="K33" s="6">
        <f>SUM('WCF PMS'!D33)</f>
        <v>0</v>
      </c>
      <c r="L33" s="6">
        <f>SUM('Unempl &amp; work comp'!D33)</f>
        <v>93.64680925258631</v>
      </c>
      <c r="M33" s="6">
        <f>SUM(EIT!D33)</f>
        <v>0</v>
      </c>
      <c r="N33" s="252">
        <f t="shared" si="0"/>
        <v>1232.6468092525863</v>
      </c>
      <c r="O33" s="252">
        <v>1232.6468092525863</v>
      </c>
      <c r="P33" s="259">
        <f t="shared" si="1"/>
        <v>0</v>
      </c>
      <c r="R33" s="165"/>
    </row>
    <row r="34" spans="1:18" ht="15">
      <c r="A34" s="4" t="s">
        <v>6</v>
      </c>
      <c r="B34" s="6">
        <f>SUM(CSR!D34)</f>
        <v>0</v>
      </c>
      <c r="C34" s="6">
        <f>SUM(CIT!D34)</f>
        <v>0</v>
      </c>
      <c r="D34" s="6">
        <f>SUM('CC'!D34)</f>
        <v>0</v>
      </c>
      <c r="E34" s="6">
        <f>SUM(OD!E34)</f>
        <v>0</v>
      </c>
      <c r="F34" s="6">
        <f>SUM(ORS!D34)</f>
        <v>2421</v>
      </c>
      <c r="G34" s="6">
        <f>SUM(ORF!D34)</f>
        <v>356</v>
      </c>
      <c r="H34" s="6">
        <f>SUM(NSABB!D34)</f>
        <v>0</v>
      </c>
      <c r="I34" s="6">
        <f>SUM('DHHS Assess'!D34)</f>
        <v>0</v>
      </c>
      <c r="J34" s="6">
        <f>SUM('Reserve '!D34)</f>
        <v>0</v>
      </c>
      <c r="K34" s="6">
        <f>SUM('WCF PMS'!D34)</f>
        <v>0</v>
      </c>
      <c r="L34" s="6">
        <f>SUM('Unempl &amp; work comp'!D34)</f>
        <v>120.8610368476113</v>
      </c>
      <c r="M34" s="6">
        <f>SUM(EIT!D34)</f>
        <v>0</v>
      </c>
      <c r="N34" s="252">
        <f t="shared" si="0"/>
        <v>2897.861036847611</v>
      </c>
      <c r="O34" s="252">
        <v>2897.861036847611</v>
      </c>
      <c r="P34" s="259">
        <f t="shared" si="1"/>
        <v>0</v>
      </c>
      <c r="R34" s="165"/>
    </row>
    <row r="35" spans="1:18" ht="15">
      <c r="A35" s="4" t="s">
        <v>9</v>
      </c>
      <c r="B35" s="6">
        <f>SUM(CSR!D35)</f>
        <v>0</v>
      </c>
      <c r="C35" s="6">
        <f>SUM(CIT!D35)</f>
        <v>0</v>
      </c>
      <c r="D35" s="6">
        <f>SUM('CC'!D35)</f>
        <v>0</v>
      </c>
      <c r="E35" s="6">
        <f>SUM(OD!E35)</f>
        <v>0</v>
      </c>
      <c r="F35" s="6">
        <f>SUM(ORS!D35)</f>
        <v>0</v>
      </c>
      <c r="G35" s="6">
        <f>SUM(ORF!D35)</f>
        <v>0</v>
      </c>
      <c r="H35" s="6">
        <f>SUM(NSABB!D35)</f>
        <v>0</v>
      </c>
      <c r="I35" s="6">
        <f>SUM('DHHS Assess'!D35)</f>
        <v>0</v>
      </c>
      <c r="J35" s="6">
        <f>SUM('Reserve '!D35)</f>
        <v>0</v>
      </c>
      <c r="K35" s="6">
        <f>SUM('WCF PMS'!D35)</f>
        <v>0</v>
      </c>
      <c r="L35" s="6">
        <f>SUM('Unempl &amp; work comp'!D35)</f>
        <v>198.06602348018134</v>
      </c>
      <c r="M35" s="6">
        <f>SUM(EIT!D35)</f>
        <v>0</v>
      </c>
      <c r="N35" s="252">
        <f t="shared" si="0"/>
        <v>198.06602348018134</v>
      </c>
      <c r="O35" s="252">
        <v>198.06602348018134</v>
      </c>
      <c r="P35" s="259">
        <f t="shared" si="1"/>
        <v>0</v>
      </c>
      <c r="R35" s="165"/>
    </row>
    <row r="36" spans="1:18" ht="15">
      <c r="A36" s="4" t="s">
        <v>145</v>
      </c>
      <c r="B36" s="6">
        <f>SUM(CSR!D36)</f>
        <v>0</v>
      </c>
      <c r="C36" s="6">
        <f>SUM(CIT!D36)</f>
        <v>0</v>
      </c>
      <c r="D36" s="6">
        <f>SUM('CC'!D36)</f>
        <v>0</v>
      </c>
      <c r="E36" s="6">
        <f>SUM(OD!E36)</f>
        <v>0</v>
      </c>
      <c r="F36" s="6">
        <f>SUM(ORS!D36)</f>
        <v>0</v>
      </c>
      <c r="G36" s="6">
        <f>SUM(ORF!D36)</f>
        <v>0</v>
      </c>
      <c r="H36" s="6">
        <f>SUM(NSABB!D36)</f>
        <v>0</v>
      </c>
      <c r="I36" s="6">
        <f>SUM('DHHS Assess'!D36)</f>
        <v>0</v>
      </c>
      <c r="J36" s="6">
        <f>SUM('Reserve '!D36)</f>
        <v>0</v>
      </c>
      <c r="K36" s="6">
        <f>SUM('WCF PMS'!D36)</f>
        <v>0</v>
      </c>
      <c r="L36" s="6">
        <f>SUM('Unempl &amp; work comp'!D36)</f>
        <v>161.05364407764733</v>
      </c>
      <c r="M36" s="6">
        <f>SUM(EIT!D36)</f>
        <v>0</v>
      </c>
      <c r="N36" s="252">
        <f t="shared" si="0"/>
        <v>161.05364407764733</v>
      </c>
      <c r="O36" s="252">
        <v>161.05364407764733</v>
      </c>
      <c r="P36" s="259">
        <f t="shared" si="1"/>
        <v>0</v>
      </c>
      <c r="R36" s="165"/>
    </row>
    <row r="37" spans="1:18" ht="15">
      <c r="A37" s="11" t="s">
        <v>128</v>
      </c>
      <c r="B37" s="12">
        <f>SUM(CSR!D37)</f>
        <v>0</v>
      </c>
      <c r="C37" s="12">
        <f>SUM(CIT!D37)</f>
        <v>0</v>
      </c>
      <c r="D37" s="12">
        <f>SUM('CC'!D37)</f>
        <v>0</v>
      </c>
      <c r="E37" s="12">
        <f>SUM(OD!E37)</f>
        <v>0</v>
      </c>
      <c r="F37" s="12">
        <f>SUM(ORS!D37)</f>
        <v>986</v>
      </c>
      <c r="G37" s="12">
        <f>SUM(ORF!D37)</f>
        <v>149</v>
      </c>
      <c r="H37" s="12">
        <f>SUM(NSABB!D37)</f>
        <v>0</v>
      </c>
      <c r="I37" s="12">
        <f>SUM('DHHS Assess'!D37)</f>
        <v>0</v>
      </c>
      <c r="J37" s="12">
        <f>SUM('Reserve '!D37)</f>
        <v>0</v>
      </c>
      <c r="K37" s="12">
        <f>SUM('WCF PMS'!D37)</f>
        <v>0</v>
      </c>
      <c r="L37" s="12">
        <f>SUM('Unempl &amp; work comp'!D37)</f>
        <v>86.00313844007904</v>
      </c>
      <c r="M37" s="12">
        <f>SUM(EIT!D37)</f>
        <v>0</v>
      </c>
      <c r="N37" s="252">
        <f t="shared" si="0"/>
        <v>1221.003138440079</v>
      </c>
      <c r="O37" s="252">
        <v>1221.003138440079</v>
      </c>
      <c r="P37" s="259">
        <f t="shared" si="1"/>
        <v>0</v>
      </c>
      <c r="R37" s="165"/>
    </row>
    <row r="38" spans="1:16" ht="15.75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53"/>
      <c r="O38" s="253"/>
      <c r="P38" s="260"/>
    </row>
    <row r="39" spans="1:16" ht="15.75">
      <c r="A39" s="8" t="s">
        <v>40</v>
      </c>
      <c r="B39" s="9">
        <f aca="true" t="shared" si="2" ref="B39:M39">SUM(B5:B38)</f>
        <v>60240</v>
      </c>
      <c r="C39" s="9">
        <f t="shared" si="2"/>
        <v>33317</v>
      </c>
      <c r="D39" s="9">
        <f t="shared" si="2"/>
        <v>344832</v>
      </c>
      <c r="E39" s="9">
        <f t="shared" si="2"/>
        <v>71974</v>
      </c>
      <c r="F39" s="9">
        <f t="shared" si="2"/>
        <v>79628</v>
      </c>
      <c r="G39" s="9">
        <f t="shared" si="2"/>
        <v>11010</v>
      </c>
      <c r="H39" s="9">
        <f t="shared" si="2"/>
        <v>1796</v>
      </c>
      <c r="I39" s="9">
        <f t="shared" si="2"/>
        <v>12480</v>
      </c>
      <c r="J39" s="9">
        <f t="shared" si="2"/>
        <v>2500</v>
      </c>
      <c r="K39" s="9">
        <f t="shared" si="2"/>
        <v>20775</v>
      </c>
      <c r="L39" s="9">
        <f t="shared" si="2"/>
        <v>5452.000000000002</v>
      </c>
      <c r="M39" s="9">
        <f t="shared" si="2"/>
        <v>11454</v>
      </c>
      <c r="N39" s="254">
        <f>SUM(N5:N38)</f>
        <v>655458</v>
      </c>
      <c r="O39" s="254">
        <f>SUM(O5:O38)</f>
        <v>655458</v>
      </c>
      <c r="P39" s="261">
        <f>SUM(P5:P38)</f>
        <v>0</v>
      </c>
    </row>
    <row r="40" spans="1:17" ht="12.75">
      <c r="A40" s="81" t="s">
        <v>101</v>
      </c>
      <c r="N40" s="262"/>
      <c r="O40" s="262"/>
      <c r="P40" s="262"/>
      <c r="Q40" s="257"/>
    </row>
    <row r="41" spans="3:17" ht="15">
      <c r="C41" s="114"/>
      <c r="N41" s="255"/>
      <c r="O41" s="263"/>
      <c r="P41" s="263"/>
      <c r="Q41" s="257"/>
    </row>
    <row r="42" spans="14:17" ht="12.75">
      <c r="N42" s="263"/>
      <c r="O42" s="263"/>
      <c r="P42" s="263"/>
      <c r="Q42" s="257"/>
    </row>
    <row r="43" spans="14:17" ht="15">
      <c r="N43" s="255"/>
      <c r="O43" s="263"/>
      <c r="P43" s="263"/>
      <c r="Q43" s="257"/>
    </row>
    <row r="44" spans="14:17" ht="12.75">
      <c r="N44" s="264"/>
      <c r="O44" s="263"/>
      <c r="P44" s="263"/>
      <c r="Q44" s="257"/>
    </row>
    <row r="45" spans="14:17" ht="12.75">
      <c r="N45" s="263"/>
      <c r="O45" s="263"/>
      <c r="P45" s="263"/>
      <c r="Q45" s="257"/>
    </row>
    <row r="46" spans="14:17" ht="12.75">
      <c r="N46" s="256"/>
      <c r="O46" s="256"/>
      <c r="P46" s="256"/>
      <c r="Q46" s="257"/>
    </row>
    <row r="47" spans="14:17" ht="12.75">
      <c r="N47" s="256"/>
      <c r="O47" s="256"/>
      <c r="P47" s="256"/>
      <c r="Q47" s="257"/>
    </row>
    <row r="48" spans="14:17" ht="12.75">
      <c r="N48" s="256"/>
      <c r="O48" s="256"/>
      <c r="P48" s="256"/>
      <c r="Q48" s="257"/>
    </row>
    <row r="49" spans="14:17" ht="12.75">
      <c r="N49" s="256"/>
      <c r="O49" s="256"/>
      <c r="P49" s="256"/>
      <c r="Q49" s="257"/>
    </row>
    <row r="50" spans="14:17" ht="12.75">
      <c r="N50" s="256"/>
      <c r="O50" s="256"/>
      <c r="P50" s="256"/>
      <c r="Q50" s="257"/>
    </row>
  </sheetData>
  <mergeCells count="2">
    <mergeCell ref="A1:P1"/>
    <mergeCell ref="A2:P2"/>
  </mergeCells>
  <printOptions/>
  <pageMargins left="0.22" right="0.25" top="0.72" bottom="1" header="0.5" footer="0.5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2:D43"/>
  <sheetViews>
    <sheetView workbookViewId="0" topLeftCell="A18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57421875" style="0" customWidth="1"/>
  </cols>
  <sheetData>
    <row r="2" ht="18">
      <c r="A2" s="25" t="s">
        <v>44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45">
        <f>SUM(Census!H5)</f>
        <v>5215</v>
      </c>
      <c r="C5" s="46">
        <f>SUM(B5/$B$38)</f>
        <v>0.2300904478270461</v>
      </c>
      <c r="D5" s="34">
        <f>ROUND(C5*$D$43,0)+1</f>
        <v>2873</v>
      </c>
    </row>
    <row r="6" spans="1:4" ht="12.75">
      <c r="A6" s="4" t="s">
        <v>15</v>
      </c>
      <c r="B6" s="45">
        <f>SUM(Census!H6)</f>
        <v>1266</v>
      </c>
      <c r="C6" s="46">
        <f aca="true" t="shared" si="0" ref="C6:C28">SUM(B6/$B$38)</f>
        <v>0.05585704831237591</v>
      </c>
      <c r="D6" s="31">
        <f>ROUND(C6*$D$43,0)</f>
        <v>697</v>
      </c>
    </row>
    <row r="7" spans="1:4" ht="12.75">
      <c r="A7" s="4" t="s">
        <v>16</v>
      </c>
      <c r="B7" s="45">
        <f>SUM(Census!H7)</f>
        <v>512</v>
      </c>
      <c r="C7" s="46">
        <f t="shared" si="0"/>
        <v>0.02258989631590558</v>
      </c>
      <c r="D7" s="31">
        <f aca="true" t="shared" si="1" ref="D7:D28">ROUND(C7*$D$43,0)</f>
        <v>282</v>
      </c>
    </row>
    <row r="8" spans="1:4" ht="12.75">
      <c r="A8" s="4" t="s">
        <v>17</v>
      </c>
      <c r="B8" s="45">
        <f>SUM(Census!H8)</f>
        <v>1161</v>
      </c>
      <c r="C8" s="46">
        <f t="shared" si="0"/>
        <v>0.051224354731965585</v>
      </c>
      <c r="D8" s="31">
        <f t="shared" si="1"/>
        <v>639</v>
      </c>
    </row>
    <row r="9" spans="1:4" ht="12.75">
      <c r="A9" s="4" t="s">
        <v>18</v>
      </c>
      <c r="B9" s="45">
        <f>SUM(Census!H9)</f>
        <v>1097</v>
      </c>
      <c r="C9" s="46">
        <f t="shared" si="0"/>
        <v>0.04840061769247739</v>
      </c>
      <c r="D9" s="31">
        <f t="shared" si="1"/>
        <v>604</v>
      </c>
    </row>
    <row r="10" spans="1:4" ht="12.75">
      <c r="A10" s="4" t="s">
        <v>19</v>
      </c>
      <c r="B10" s="45">
        <f>SUM(Census!H10)</f>
        <v>3243</v>
      </c>
      <c r="C10" s="46">
        <f t="shared" si="0"/>
        <v>0.143084050297816</v>
      </c>
      <c r="D10" s="31">
        <f t="shared" si="1"/>
        <v>1786</v>
      </c>
    </row>
    <row r="11" spans="1:4" ht="12.75">
      <c r="A11" s="4" t="s">
        <v>20</v>
      </c>
      <c r="B11" s="45">
        <f>SUM(Census!H11)</f>
        <v>198</v>
      </c>
      <c r="C11" s="46">
        <f t="shared" si="0"/>
        <v>0.008735936465916612</v>
      </c>
      <c r="D11" s="31">
        <f t="shared" si="1"/>
        <v>109</v>
      </c>
    </row>
    <row r="12" spans="1:4" ht="12.75">
      <c r="A12" s="4" t="s">
        <v>21</v>
      </c>
      <c r="B12" s="45">
        <f>SUM(Census!H12)</f>
        <v>1353</v>
      </c>
      <c r="C12" s="46">
        <f t="shared" si="0"/>
        <v>0.05969556585043018</v>
      </c>
      <c r="D12" s="31">
        <f t="shared" si="1"/>
        <v>745</v>
      </c>
    </row>
    <row r="13" spans="1:4" ht="12.75">
      <c r="A13" s="4" t="s">
        <v>22</v>
      </c>
      <c r="B13" s="45">
        <f>SUM(Census!H13)</f>
        <v>509</v>
      </c>
      <c r="C13" s="46">
        <f t="shared" si="0"/>
        <v>0.02245753364217957</v>
      </c>
      <c r="D13" s="31">
        <f t="shared" si="1"/>
        <v>280</v>
      </c>
    </row>
    <row r="14" spans="1:4" ht="12.75">
      <c r="A14" s="4" t="s">
        <v>23</v>
      </c>
      <c r="B14" s="45">
        <f>SUM(Census!H14)</f>
        <v>1450</v>
      </c>
      <c r="C14" s="46">
        <f t="shared" si="0"/>
        <v>0.06397529230090448</v>
      </c>
      <c r="D14" s="31">
        <f t="shared" si="1"/>
        <v>798</v>
      </c>
    </row>
    <row r="15" spans="1:4" ht="12.75">
      <c r="A15" s="4" t="s">
        <v>24</v>
      </c>
      <c r="B15" s="45">
        <f>SUM(Census!H15)</f>
        <v>961</v>
      </c>
      <c r="C15" s="46">
        <f t="shared" si="0"/>
        <v>0.04240017648356497</v>
      </c>
      <c r="D15" s="31">
        <f t="shared" si="1"/>
        <v>529</v>
      </c>
    </row>
    <row r="16" spans="1:4" ht="12.75">
      <c r="A16" s="4" t="s">
        <v>25</v>
      </c>
      <c r="B16" s="45">
        <f>SUM(Census!H16)</f>
        <v>425</v>
      </c>
      <c r="C16" s="46">
        <f t="shared" si="0"/>
        <v>0.018751378777851314</v>
      </c>
      <c r="D16" s="31">
        <f t="shared" si="1"/>
        <v>234</v>
      </c>
    </row>
    <row r="17" spans="1:4" ht="12.75">
      <c r="A17" s="4" t="s">
        <v>26</v>
      </c>
      <c r="B17" s="45">
        <f>SUM(Census!H17)</f>
        <v>282</v>
      </c>
      <c r="C17" s="46">
        <f t="shared" si="0"/>
        <v>0.01244209133024487</v>
      </c>
      <c r="D17" s="31">
        <f t="shared" si="1"/>
        <v>155</v>
      </c>
    </row>
    <row r="18" spans="1:4" ht="12.75">
      <c r="A18" s="4" t="s">
        <v>27</v>
      </c>
      <c r="B18" s="45">
        <f>SUM(Census!H18)</f>
        <v>1298</v>
      </c>
      <c r="C18" s="46">
        <f t="shared" si="0"/>
        <v>0.05726891683212001</v>
      </c>
      <c r="D18" s="31">
        <f t="shared" si="1"/>
        <v>715</v>
      </c>
    </row>
    <row r="19" spans="1:4" ht="12.75">
      <c r="A19" s="4" t="s">
        <v>28</v>
      </c>
      <c r="B19" s="45">
        <f>SUM(Census!H19)</f>
        <v>805</v>
      </c>
      <c r="C19" s="46">
        <f t="shared" si="0"/>
        <v>0.035517317449812486</v>
      </c>
      <c r="D19" s="31">
        <f t="shared" si="1"/>
        <v>443</v>
      </c>
    </row>
    <row r="20" spans="1:4" ht="12.75">
      <c r="A20" s="4" t="s">
        <v>29</v>
      </c>
      <c r="B20" s="45">
        <f>SUM(Census!H20)</f>
        <v>331</v>
      </c>
      <c r="C20" s="46">
        <f t="shared" si="0"/>
        <v>0.014604015001103022</v>
      </c>
      <c r="D20" s="31">
        <f t="shared" si="1"/>
        <v>182</v>
      </c>
    </row>
    <row r="21" spans="1:4" ht="12.75">
      <c r="A21" s="4" t="s">
        <v>30</v>
      </c>
      <c r="B21" s="45">
        <f>SUM(Census!H21)</f>
        <v>72</v>
      </c>
      <c r="C21" s="46">
        <f t="shared" si="0"/>
        <v>0.0031767041694242223</v>
      </c>
      <c r="D21" s="31">
        <f t="shared" si="1"/>
        <v>40</v>
      </c>
    </row>
    <row r="22" spans="1:4" ht="12.75">
      <c r="A22" s="4" t="s">
        <v>31</v>
      </c>
      <c r="B22" s="45">
        <f>SUM(Census!H22)</f>
        <v>590</v>
      </c>
      <c r="C22" s="46">
        <f t="shared" si="0"/>
        <v>0.026031325832781824</v>
      </c>
      <c r="D22" s="31">
        <f t="shared" si="1"/>
        <v>325</v>
      </c>
    </row>
    <row r="23" spans="1:4" ht="12.75">
      <c r="A23" s="4" t="s">
        <v>32</v>
      </c>
      <c r="B23" s="45">
        <f>SUM(Census!H23)</f>
        <v>91</v>
      </c>
      <c r="C23" s="46">
        <f t="shared" si="0"/>
        <v>0.004015001103022281</v>
      </c>
      <c r="D23" s="31">
        <f t="shared" si="1"/>
        <v>50</v>
      </c>
    </row>
    <row r="24" spans="1:4" ht="12.75">
      <c r="A24" s="4" t="s">
        <v>33</v>
      </c>
      <c r="B24" s="45">
        <f>SUM(Census!H24)</f>
        <v>124</v>
      </c>
      <c r="C24" s="46">
        <f t="shared" si="0"/>
        <v>0.005470990514008383</v>
      </c>
      <c r="D24" s="31">
        <f t="shared" si="1"/>
        <v>68</v>
      </c>
    </row>
    <row r="25" spans="1:4" ht="12.75">
      <c r="A25" s="4" t="s">
        <v>34</v>
      </c>
      <c r="B25" s="45">
        <f>SUM(Census!H25)</f>
        <v>124</v>
      </c>
      <c r="C25" s="46">
        <f t="shared" si="0"/>
        <v>0.005470990514008383</v>
      </c>
      <c r="D25" s="31">
        <f t="shared" si="1"/>
        <v>68</v>
      </c>
    </row>
    <row r="26" spans="1:4" ht="12.75">
      <c r="A26" s="4" t="s">
        <v>35</v>
      </c>
      <c r="B26" s="45">
        <f>SUM(Census!H26)</f>
        <v>39</v>
      </c>
      <c r="C26" s="46">
        <f t="shared" si="0"/>
        <v>0.0017207147584381204</v>
      </c>
      <c r="D26" s="31">
        <f t="shared" si="1"/>
        <v>21</v>
      </c>
    </row>
    <row r="27" spans="1:4" ht="12.75">
      <c r="A27" s="4" t="s">
        <v>36</v>
      </c>
      <c r="B27" s="45">
        <f>SUM(Census!H27)</f>
        <v>74</v>
      </c>
      <c r="C27" s="46">
        <f t="shared" si="0"/>
        <v>0.0032649459519082285</v>
      </c>
      <c r="D27" s="31">
        <f t="shared" si="1"/>
        <v>41</v>
      </c>
    </row>
    <row r="28" spans="1:4" ht="12.75">
      <c r="A28" s="4" t="s">
        <v>37</v>
      </c>
      <c r="B28" s="45">
        <f>SUM(Census!H28)</f>
        <v>1445</v>
      </c>
      <c r="C28" s="46">
        <f t="shared" si="0"/>
        <v>0.06375468784469446</v>
      </c>
      <c r="D28" s="31">
        <f t="shared" si="1"/>
        <v>796</v>
      </c>
    </row>
    <row r="29" spans="1:4" ht="12.75">
      <c r="A29" s="4" t="s">
        <v>38</v>
      </c>
      <c r="B29" s="45"/>
      <c r="C29" s="17"/>
      <c r="D29" s="45"/>
    </row>
    <row r="30" spans="1:4" ht="12.75">
      <c r="A30" s="4" t="s">
        <v>8</v>
      </c>
      <c r="B30" s="45"/>
      <c r="C30" s="46"/>
      <c r="D30" s="17"/>
    </row>
    <row r="31" spans="1:4" ht="12.75">
      <c r="A31" s="4" t="s">
        <v>51</v>
      </c>
      <c r="B31" s="45"/>
      <c r="C31" s="17"/>
      <c r="D31" s="17"/>
    </row>
    <row r="32" spans="1:4" ht="12.75">
      <c r="A32" s="4" t="s">
        <v>39</v>
      </c>
      <c r="B32" s="45"/>
      <c r="C32" s="17"/>
      <c r="D32" s="17"/>
    </row>
    <row r="33" spans="1:4" ht="12.75">
      <c r="A33" s="4" t="s">
        <v>5</v>
      </c>
      <c r="B33" s="45"/>
      <c r="C33" s="17"/>
      <c r="D33" s="17"/>
    </row>
    <row r="34" spans="1:4" ht="12.75">
      <c r="A34" s="4" t="s">
        <v>6</v>
      </c>
      <c r="B34" s="45"/>
      <c r="C34" s="17"/>
      <c r="D34" s="17"/>
    </row>
    <row r="35" spans="1:4" ht="12.75">
      <c r="A35" s="4" t="s">
        <v>9</v>
      </c>
      <c r="B35" s="45"/>
      <c r="C35" s="32"/>
      <c r="D35" s="49"/>
    </row>
    <row r="36" spans="1:4" ht="12.75">
      <c r="A36" s="4" t="s">
        <v>145</v>
      </c>
      <c r="B36" s="45"/>
      <c r="C36" s="32"/>
      <c r="D36" s="49"/>
    </row>
    <row r="37" spans="1:4" ht="12.75">
      <c r="A37" s="4" t="s">
        <v>128</v>
      </c>
      <c r="B37" s="43"/>
      <c r="C37" s="17"/>
      <c r="D37" s="18"/>
    </row>
    <row r="38" spans="1:4" ht="12.75">
      <c r="A38" s="20" t="s">
        <v>40</v>
      </c>
      <c r="B38" s="43">
        <f>SUM(B5:B37)</f>
        <v>22665</v>
      </c>
      <c r="C38" s="47">
        <f>SUM(C5:C37)</f>
        <v>0.9999999999999998</v>
      </c>
      <c r="D38" s="53">
        <f>SUM(D5:D37)</f>
        <v>12480</v>
      </c>
    </row>
    <row r="39" ht="12.75">
      <c r="A39" s="23" t="s">
        <v>199</v>
      </c>
    </row>
    <row r="43" ht="12.75">
      <c r="D43" s="92">
        <v>12480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2:G43"/>
  <sheetViews>
    <sheetView workbookViewId="0" topLeftCell="A1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  <col min="6" max="6" width="13.00390625" style="0" hidden="1" customWidth="1"/>
    <col min="7" max="7" width="12.7109375" style="0" hidden="1" customWidth="1"/>
    <col min="8" max="8" width="0" style="0" hidden="1" customWidth="1"/>
  </cols>
  <sheetData>
    <row r="2" ht="18">
      <c r="A2" s="25" t="s">
        <v>127</v>
      </c>
    </row>
    <row r="3" spans="1:4" ht="12.75">
      <c r="A3" s="13"/>
      <c r="B3" s="273" t="s">
        <v>40</v>
      </c>
      <c r="C3" s="274"/>
      <c r="D3" s="275"/>
    </row>
    <row r="4" spans="1:7" ht="12.75">
      <c r="A4" s="14"/>
      <c r="B4" s="21" t="s">
        <v>41</v>
      </c>
      <c r="C4" s="21" t="s">
        <v>42</v>
      </c>
      <c r="D4" s="22" t="s">
        <v>43</v>
      </c>
      <c r="F4" s="75" t="s">
        <v>11</v>
      </c>
      <c r="G4" s="75" t="s">
        <v>154</v>
      </c>
    </row>
    <row r="5" spans="1:7" ht="12.75">
      <c r="A5" s="4" t="s">
        <v>0</v>
      </c>
      <c r="B5" s="45">
        <f>SUM(Census!H5)</f>
        <v>5215</v>
      </c>
      <c r="C5" s="46">
        <f>SUM(B5/$B$38)</f>
        <v>0.2300904478270461</v>
      </c>
      <c r="D5" s="34">
        <f>ROUND(C5*$D$43,0)</f>
        <v>575</v>
      </c>
      <c r="F5" s="34">
        <f>ROUND(C5*$F$43,0)</f>
        <v>0</v>
      </c>
      <c r="G5" s="34">
        <f>ROUND(C5*$G$43,0)</f>
        <v>0</v>
      </c>
    </row>
    <row r="6" spans="1:7" ht="12.75">
      <c r="A6" s="4" t="s">
        <v>15</v>
      </c>
      <c r="B6" s="45">
        <f>SUM(Census!H6)</f>
        <v>1266</v>
      </c>
      <c r="C6" s="46">
        <f aca="true" t="shared" si="0" ref="C6:C28">SUM(B6/$B$38)</f>
        <v>0.05585704831237591</v>
      </c>
      <c r="D6" s="31">
        <f>ROUND(C6*$D$43,0)</f>
        <v>140</v>
      </c>
      <c r="F6" s="49">
        <f>ROUND(C6*$F$43,0)</f>
        <v>0</v>
      </c>
      <c r="G6" s="49">
        <f>ROUND(C6*$G$43,0)</f>
        <v>0</v>
      </c>
    </row>
    <row r="7" spans="1:7" ht="12.75">
      <c r="A7" s="4" t="s">
        <v>16</v>
      </c>
      <c r="B7" s="45">
        <f>SUM(Census!H7)</f>
        <v>512</v>
      </c>
      <c r="C7" s="46">
        <f t="shared" si="0"/>
        <v>0.02258989631590558</v>
      </c>
      <c r="D7" s="31">
        <f aca="true" t="shared" si="1" ref="D7:D28">ROUND(C7*$D$43,0)</f>
        <v>56</v>
      </c>
      <c r="F7" s="49">
        <f aca="true" t="shared" si="2" ref="F7:F27">ROUND(C7*$F$43,0)</f>
        <v>0</v>
      </c>
      <c r="G7" s="49">
        <f aca="true" t="shared" si="3" ref="G7:G28">ROUND(C7*$G$43,0)</f>
        <v>0</v>
      </c>
    </row>
    <row r="8" spans="1:7" ht="12.75">
      <c r="A8" s="4" t="s">
        <v>17</v>
      </c>
      <c r="B8" s="45">
        <f>SUM(Census!H8)</f>
        <v>1161</v>
      </c>
      <c r="C8" s="46">
        <f t="shared" si="0"/>
        <v>0.051224354731965585</v>
      </c>
      <c r="D8" s="31">
        <f t="shared" si="1"/>
        <v>128</v>
      </c>
      <c r="F8" s="49">
        <f t="shared" si="2"/>
        <v>0</v>
      </c>
      <c r="G8" s="49">
        <f t="shared" si="3"/>
        <v>0</v>
      </c>
    </row>
    <row r="9" spans="1:7" ht="12.75">
      <c r="A9" s="4" t="s">
        <v>18</v>
      </c>
      <c r="B9" s="45">
        <f>SUM(Census!H9)</f>
        <v>1097</v>
      </c>
      <c r="C9" s="46">
        <f t="shared" si="0"/>
        <v>0.04840061769247739</v>
      </c>
      <c r="D9" s="31">
        <f t="shared" si="1"/>
        <v>121</v>
      </c>
      <c r="F9" s="49">
        <f t="shared" si="2"/>
        <v>0</v>
      </c>
      <c r="G9" s="49">
        <f t="shared" si="3"/>
        <v>0</v>
      </c>
    </row>
    <row r="10" spans="1:7" ht="12.75">
      <c r="A10" s="4" t="s">
        <v>19</v>
      </c>
      <c r="B10" s="45">
        <f>SUM(Census!H10)</f>
        <v>3243</v>
      </c>
      <c r="C10" s="46">
        <f t="shared" si="0"/>
        <v>0.143084050297816</v>
      </c>
      <c r="D10" s="31">
        <f t="shared" si="1"/>
        <v>358</v>
      </c>
      <c r="F10" s="49">
        <f t="shared" si="2"/>
        <v>0</v>
      </c>
      <c r="G10" s="49">
        <f t="shared" si="3"/>
        <v>0</v>
      </c>
    </row>
    <row r="11" spans="1:7" ht="12.75">
      <c r="A11" s="4" t="s">
        <v>20</v>
      </c>
      <c r="B11" s="45">
        <f>SUM(Census!H11)</f>
        <v>198</v>
      </c>
      <c r="C11" s="46">
        <f t="shared" si="0"/>
        <v>0.008735936465916612</v>
      </c>
      <c r="D11" s="31">
        <f t="shared" si="1"/>
        <v>22</v>
      </c>
      <c r="F11" s="49">
        <f t="shared" si="2"/>
        <v>0</v>
      </c>
      <c r="G11" s="49">
        <f t="shared" si="3"/>
        <v>0</v>
      </c>
    </row>
    <row r="12" spans="1:7" ht="12.75">
      <c r="A12" s="4" t="s">
        <v>21</v>
      </c>
      <c r="B12" s="45">
        <f>SUM(Census!H12)</f>
        <v>1353</v>
      </c>
      <c r="C12" s="46">
        <f t="shared" si="0"/>
        <v>0.05969556585043018</v>
      </c>
      <c r="D12" s="31">
        <f t="shared" si="1"/>
        <v>149</v>
      </c>
      <c r="F12" s="49">
        <f t="shared" si="2"/>
        <v>0</v>
      </c>
      <c r="G12" s="49">
        <f t="shared" si="3"/>
        <v>0</v>
      </c>
    </row>
    <row r="13" spans="1:7" ht="12.75">
      <c r="A13" s="4" t="s">
        <v>22</v>
      </c>
      <c r="B13" s="45">
        <f>SUM(Census!H13)</f>
        <v>509</v>
      </c>
      <c r="C13" s="46">
        <f t="shared" si="0"/>
        <v>0.02245753364217957</v>
      </c>
      <c r="D13" s="31">
        <f t="shared" si="1"/>
        <v>56</v>
      </c>
      <c r="F13" s="49">
        <f t="shared" si="2"/>
        <v>0</v>
      </c>
      <c r="G13" s="49">
        <f t="shared" si="3"/>
        <v>0</v>
      </c>
    </row>
    <row r="14" spans="1:7" ht="12.75">
      <c r="A14" s="4" t="s">
        <v>23</v>
      </c>
      <c r="B14" s="45">
        <f>SUM(Census!H14)</f>
        <v>1450</v>
      </c>
      <c r="C14" s="46">
        <f t="shared" si="0"/>
        <v>0.06397529230090448</v>
      </c>
      <c r="D14" s="31">
        <f t="shared" si="1"/>
        <v>160</v>
      </c>
      <c r="F14" s="49">
        <f t="shared" si="2"/>
        <v>0</v>
      </c>
      <c r="G14" s="49">
        <f t="shared" si="3"/>
        <v>0</v>
      </c>
    </row>
    <row r="15" spans="1:7" ht="12.75">
      <c r="A15" s="4" t="s">
        <v>24</v>
      </c>
      <c r="B15" s="45">
        <f>SUM(Census!H15)</f>
        <v>961</v>
      </c>
      <c r="C15" s="46">
        <f t="shared" si="0"/>
        <v>0.04240017648356497</v>
      </c>
      <c r="D15" s="31">
        <f t="shared" si="1"/>
        <v>106</v>
      </c>
      <c r="F15" s="49">
        <f t="shared" si="2"/>
        <v>0</v>
      </c>
      <c r="G15" s="49">
        <f t="shared" si="3"/>
        <v>0</v>
      </c>
    </row>
    <row r="16" spans="1:7" ht="12.75">
      <c r="A16" s="4" t="s">
        <v>25</v>
      </c>
      <c r="B16" s="45">
        <f>SUM(Census!H16)</f>
        <v>425</v>
      </c>
      <c r="C16" s="46">
        <f t="shared" si="0"/>
        <v>0.018751378777851314</v>
      </c>
      <c r="D16" s="31">
        <f t="shared" si="1"/>
        <v>47</v>
      </c>
      <c r="F16" s="49">
        <f t="shared" si="2"/>
        <v>0</v>
      </c>
      <c r="G16" s="49">
        <f t="shared" si="3"/>
        <v>0</v>
      </c>
    </row>
    <row r="17" spans="1:7" ht="12.75">
      <c r="A17" s="4" t="s">
        <v>26</v>
      </c>
      <c r="B17" s="45">
        <f>SUM(Census!H17)</f>
        <v>282</v>
      </c>
      <c r="C17" s="46">
        <f t="shared" si="0"/>
        <v>0.01244209133024487</v>
      </c>
      <c r="D17" s="31">
        <f t="shared" si="1"/>
        <v>31</v>
      </c>
      <c r="F17" s="49">
        <f t="shared" si="2"/>
        <v>0</v>
      </c>
      <c r="G17" s="49">
        <f t="shared" si="3"/>
        <v>0</v>
      </c>
    </row>
    <row r="18" spans="1:7" ht="12.75">
      <c r="A18" s="4" t="s">
        <v>27</v>
      </c>
      <c r="B18" s="45">
        <f>SUM(Census!H18)</f>
        <v>1298</v>
      </c>
      <c r="C18" s="46">
        <f t="shared" si="0"/>
        <v>0.05726891683212001</v>
      </c>
      <c r="D18" s="31">
        <f t="shared" si="1"/>
        <v>143</v>
      </c>
      <c r="F18" s="49">
        <f t="shared" si="2"/>
        <v>0</v>
      </c>
      <c r="G18" s="49">
        <f t="shared" si="3"/>
        <v>0</v>
      </c>
    </row>
    <row r="19" spans="1:7" ht="12.75">
      <c r="A19" s="4" t="s">
        <v>28</v>
      </c>
      <c r="B19" s="45">
        <f>SUM(Census!H19)</f>
        <v>805</v>
      </c>
      <c r="C19" s="46">
        <f t="shared" si="0"/>
        <v>0.035517317449812486</v>
      </c>
      <c r="D19" s="31">
        <f t="shared" si="1"/>
        <v>89</v>
      </c>
      <c r="F19" s="49">
        <f t="shared" si="2"/>
        <v>0</v>
      </c>
      <c r="G19" s="49">
        <f t="shared" si="3"/>
        <v>0</v>
      </c>
    </row>
    <row r="20" spans="1:7" ht="12.75">
      <c r="A20" s="4" t="s">
        <v>29</v>
      </c>
      <c r="B20" s="45">
        <f>SUM(Census!H20)</f>
        <v>331</v>
      </c>
      <c r="C20" s="46">
        <f t="shared" si="0"/>
        <v>0.014604015001103022</v>
      </c>
      <c r="D20" s="31">
        <f t="shared" si="1"/>
        <v>37</v>
      </c>
      <c r="F20" s="49">
        <f t="shared" si="2"/>
        <v>0</v>
      </c>
      <c r="G20" s="49">
        <f t="shared" si="3"/>
        <v>0</v>
      </c>
    </row>
    <row r="21" spans="1:7" ht="12.75">
      <c r="A21" s="4" t="s">
        <v>30</v>
      </c>
      <c r="B21" s="45">
        <f>SUM(Census!H21)</f>
        <v>72</v>
      </c>
      <c r="C21" s="46">
        <f t="shared" si="0"/>
        <v>0.0031767041694242223</v>
      </c>
      <c r="D21" s="31">
        <f t="shared" si="1"/>
        <v>8</v>
      </c>
      <c r="F21" s="49">
        <f t="shared" si="2"/>
        <v>0</v>
      </c>
      <c r="G21" s="49">
        <f t="shared" si="3"/>
        <v>0</v>
      </c>
    </row>
    <row r="22" spans="1:7" ht="12.75">
      <c r="A22" s="4" t="s">
        <v>31</v>
      </c>
      <c r="B22" s="45">
        <f>SUM(Census!H22)</f>
        <v>590</v>
      </c>
      <c r="C22" s="46">
        <f t="shared" si="0"/>
        <v>0.026031325832781824</v>
      </c>
      <c r="D22" s="31">
        <f t="shared" si="1"/>
        <v>65</v>
      </c>
      <c r="F22" s="49">
        <f t="shared" si="2"/>
        <v>0</v>
      </c>
      <c r="G22" s="49">
        <f t="shared" si="3"/>
        <v>0</v>
      </c>
    </row>
    <row r="23" spans="1:7" ht="12.75">
      <c r="A23" s="4" t="s">
        <v>32</v>
      </c>
      <c r="B23" s="45">
        <f>SUM(Census!H23)</f>
        <v>91</v>
      </c>
      <c r="C23" s="46">
        <f t="shared" si="0"/>
        <v>0.004015001103022281</v>
      </c>
      <c r="D23" s="31">
        <f t="shared" si="1"/>
        <v>10</v>
      </c>
      <c r="F23" s="49">
        <f t="shared" si="2"/>
        <v>0</v>
      </c>
      <c r="G23" s="49">
        <f t="shared" si="3"/>
        <v>0</v>
      </c>
    </row>
    <row r="24" spans="1:7" ht="12.75">
      <c r="A24" s="4" t="s">
        <v>33</v>
      </c>
      <c r="B24" s="45">
        <f>SUM(Census!H24)</f>
        <v>124</v>
      </c>
      <c r="C24" s="46">
        <f t="shared" si="0"/>
        <v>0.005470990514008383</v>
      </c>
      <c r="D24" s="31">
        <f t="shared" si="1"/>
        <v>14</v>
      </c>
      <c r="F24" s="49">
        <f t="shared" si="2"/>
        <v>0</v>
      </c>
      <c r="G24" s="49">
        <f t="shared" si="3"/>
        <v>0</v>
      </c>
    </row>
    <row r="25" spans="1:7" ht="12.75">
      <c r="A25" s="4" t="s">
        <v>34</v>
      </c>
      <c r="B25" s="45">
        <f>SUM(Census!H25)</f>
        <v>124</v>
      </c>
      <c r="C25" s="46">
        <f t="shared" si="0"/>
        <v>0.005470990514008383</v>
      </c>
      <c r="D25" s="31">
        <f t="shared" si="1"/>
        <v>14</v>
      </c>
      <c r="F25" s="49">
        <f t="shared" si="2"/>
        <v>0</v>
      </c>
      <c r="G25" s="49">
        <f t="shared" si="3"/>
        <v>0</v>
      </c>
    </row>
    <row r="26" spans="1:7" ht="12.75">
      <c r="A26" s="4" t="s">
        <v>35</v>
      </c>
      <c r="B26" s="45">
        <f>SUM(Census!H26)</f>
        <v>39</v>
      </c>
      <c r="C26" s="46">
        <f t="shared" si="0"/>
        <v>0.0017207147584381204</v>
      </c>
      <c r="D26" s="31">
        <f t="shared" si="1"/>
        <v>4</v>
      </c>
      <c r="F26" s="49">
        <f t="shared" si="2"/>
        <v>0</v>
      </c>
      <c r="G26" s="49">
        <f t="shared" si="3"/>
        <v>0</v>
      </c>
    </row>
    <row r="27" spans="1:7" ht="12.75">
      <c r="A27" s="4" t="s">
        <v>36</v>
      </c>
      <c r="B27" s="45">
        <f>SUM(Census!H27)</f>
        <v>74</v>
      </c>
      <c r="C27" s="46">
        <f t="shared" si="0"/>
        <v>0.0032649459519082285</v>
      </c>
      <c r="D27" s="31">
        <f t="shared" si="1"/>
        <v>8</v>
      </c>
      <c r="F27" s="49">
        <f t="shared" si="2"/>
        <v>0</v>
      </c>
      <c r="G27" s="49">
        <f t="shared" si="3"/>
        <v>0</v>
      </c>
    </row>
    <row r="28" spans="1:7" ht="12.75">
      <c r="A28" s="4" t="s">
        <v>37</v>
      </c>
      <c r="B28" s="45">
        <f>SUM(Census!H28)</f>
        <v>1445</v>
      </c>
      <c r="C28" s="46">
        <f t="shared" si="0"/>
        <v>0.06375468784469446</v>
      </c>
      <c r="D28" s="31">
        <f t="shared" si="1"/>
        <v>159</v>
      </c>
      <c r="F28" s="49">
        <v>0</v>
      </c>
      <c r="G28" s="49">
        <f t="shared" si="3"/>
        <v>0</v>
      </c>
    </row>
    <row r="29" spans="1:7" ht="12.75">
      <c r="A29" s="4" t="s">
        <v>38</v>
      </c>
      <c r="B29" s="129">
        <v>0</v>
      </c>
      <c r="C29" s="127">
        <v>0</v>
      </c>
      <c r="D29" s="129">
        <v>0</v>
      </c>
      <c r="F29" s="49">
        <v>0</v>
      </c>
      <c r="G29" s="45">
        <v>0</v>
      </c>
    </row>
    <row r="30" spans="1:7" ht="12.75">
      <c r="A30" s="4" t="s">
        <v>8</v>
      </c>
      <c r="B30" s="129">
        <v>0</v>
      </c>
      <c r="C30" s="127">
        <v>0</v>
      </c>
      <c r="D30" s="129">
        <v>0</v>
      </c>
      <c r="F30" s="49">
        <v>0</v>
      </c>
      <c r="G30" s="45">
        <v>0</v>
      </c>
    </row>
    <row r="31" spans="1:7" ht="12.75">
      <c r="A31" s="4" t="s">
        <v>51</v>
      </c>
      <c r="B31" s="127">
        <v>0</v>
      </c>
      <c r="C31" s="127">
        <v>0</v>
      </c>
      <c r="D31" s="129">
        <v>0</v>
      </c>
      <c r="F31" s="49">
        <v>0</v>
      </c>
      <c r="G31" s="45">
        <v>0</v>
      </c>
    </row>
    <row r="32" spans="1:7" ht="12.75">
      <c r="A32" s="4" t="s">
        <v>39</v>
      </c>
      <c r="B32" s="127">
        <v>0</v>
      </c>
      <c r="C32" s="127">
        <v>0</v>
      </c>
      <c r="D32" s="127">
        <v>0</v>
      </c>
      <c r="F32" s="127">
        <v>0</v>
      </c>
      <c r="G32" s="127">
        <v>0</v>
      </c>
    </row>
    <row r="33" spans="1:7" ht="12.75">
      <c r="A33" s="4" t="s">
        <v>5</v>
      </c>
      <c r="B33" s="127">
        <v>0</v>
      </c>
      <c r="C33" s="127">
        <v>0</v>
      </c>
      <c r="D33" s="127">
        <v>0</v>
      </c>
      <c r="F33" s="127">
        <v>0</v>
      </c>
      <c r="G33" s="127">
        <v>0</v>
      </c>
    </row>
    <row r="34" spans="1:7" ht="12.75">
      <c r="A34" s="4" t="s">
        <v>6</v>
      </c>
      <c r="B34" s="127">
        <v>0</v>
      </c>
      <c r="C34" s="127">
        <v>0</v>
      </c>
      <c r="D34" s="127">
        <v>0</v>
      </c>
      <c r="F34" s="127">
        <v>0</v>
      </c>
      <c r="G34" s="127">
        <v>0</v>
      </c>
    </row>
    <row r="35" spans="1:7" ht="12.75">
      <c r="A35" s="4" t="s">
        <v>9</v>
      </c>
      <c r="B35" s="129">
        <v>0</v>
      </c>
      <c r="C35" s="129">
        <v>0</v>
      </c>
      <c r="D35" s="127">
        <v>0</v>
      </c>
      <c r="F35" s="127">
        <v>0</v>
      </c>
      <c r="G35" s="127">
        <v>0</v>
      </c>
    </row>
    <row r="36" spans="1:7" ht="12.75">
      <c r="A36" s="4" t="s">
        <v>145</v>
      </c>
      <c r="B36" s="127">
        <v>0</v>
      </c>
      <c r="C36" s="129">
        <v>0</v>
      </c>
      <c r="D36" s="127">
        <v>0</v>
      </c>
      <c r="F36" s="127">
        <v>0</v>
      </c>
      <c r="G36" s="127">
        <v>0</v>
      </c>
    </row>
    <row r="37" spans="1:7" ht="12.75">
      <c r="A37" s="4" t="s">
        <v>128</v>
      </c>
      <c r="B37" s="126">
        <v>0</v>
      </c>
      <c r="C37" s="127">
        <v>0</v>
      </c>
      <c r="D37" s="126">
        <v>0</v>
      </c>
      <c r="F37" s="126">
        <v>0</v>
      </c>
      <c r="G37" s="126">
        <v>0</v>
      </c>
    </row>
    <row r="38" spans="1:7" ht="12.75">
      <c r="A38" s="20" t="s">
        <v>40</v>
      </c>
      <c r="B38" s="43">
        <f>SUM(B5:B37)</f>
        <v>22665</v>
      </c>
      <c r="C38" s="47">
        <f>SUM(C5:C37)</f>
        <v>0.9999999999999998</v>
      </c>
      <c r="D38" s="43">
        <f>SUM(D5:D37)</f>
        <v>2500</v>
      </c>
      <c r="F38" s="53">
        <f>SUM(F5:F37)</f>
        <v>0</v>
      </c>
      <c r="G38" s="53">
        <f>SUM(G5:G37)</f>
        <v>0</v>
      </c>
    </row>
    <row r="39" spans="1:4" ht="12.75">
      <c r="A39" s="23" t="s">
        <v>199</v>
      </c>
      <c r="D39" s="70"/>
    </row>
    <row r="40" ht="12.75">
      <c r="D40" s="70"/>
    </row>
    <row r="43" spans="4:7" ht="12.75">
      <c r="D43" s="183">
        <v>2500</v>
      </c>
      <c r="F43" s="92">
        <v>0</v>
      </c>
      <c r="G43" s="92">
        <v>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2:L43"/>
  <sheetViews>
    <sheetView workbookViewId="0" topLeftCell="A1">
      <selection activeCell="O9" sqref="O9"/>
    </sheetView>
  </sheetViews>
  <sheetFormatPr defaultColWidth="9.140625" defaultRowHeight="12.75"/>
  <cols>
    <col min="1" max="1" width="9.7109375" style="0" customWidth="1"/>
    <col min="2" max="2" width="7.421875" style="0" customWidth="1"/>
    <col min="3" max="3" width="8.57421875" style="0" customWidth="1"/>
    <col min="4" max="4" width="10.8515625" style="0" customWidth="1"/>
    <col min="5" max="5" width="2.28125" style="0" customWidth="1"/>
    <col min="7" max="7" width="9.57421875" style="0" customWidth="1"/>
    <col min="8" max="8" width="10.7109375" style="0" customWidth="1"/>
    <col min="9" max="9" width="2.140625" style="0" customWidth="1"/>
    <col min="10" max="10" width="8.421875" style="0" customWidth="1"/>
    <col min="11" max="12" width="10.00390625" style="0" customWidth="1"/>
    <col min="13" max="13" width="2.28125" style="0" customWidth="1"/>
    <col min="14" max="14" width="2.421875" style="0" customWidth="1"/>
  </cols>
  <sheetData>
    <row r="2" ht="18">
      <c r="A2" s="25" t="s">
        <v>159</v>
      </c>
    </row>
    <row r="3" spans="1:12" ht="12.75">
      <c r="A3" s="13"/>
      <c r="B3" s="273" t="s">
        <v>40</v>
      </c>
      <c r="C3" s="274"/>
      <c r="D3" s="275"/>
      <c r="F3" s="273" t="s">
        <v>117</v>
      </c>
      <c r="G3" s="274"/>
      <c r="H3" s="275"/>
      <c r="J3" s="273" t="s">
        <v>207</v>
      </c>
      <c r="K3" s="274"/>
      <c r="L3" s="275"/>
    </row>
    <row r="4" spans="1:12" ht="12.75">
      <c r="A4" s="14"/>
      <c r="B4" s="21" t="s">
        <v>41</v>
      </c>
      <c r="C4" s="21" t="s">
        <v>42</v>
      </c>
      <c r="D4" s="75" t="s">
        <v>43</v>
      </c>
      <c r="F4" s="21" t="s">
        <v>41</v>
      </c>
      <c r="G4" s="21" t="s">
        <v>42</v>
      </c>
      <c r="H4" s="22" t="s">
        <v>43</v>
      </c>
      <c r="J4" s="21" t="s">
        <v>41</v>
      </c>
      <c r="K4" s="21" t="s">
        <v>42</v>
      </c>
      <c r="L4" s="22" t="s">
        <v>43</v>
      </c>
    </row>
    <row r="5" spans="1:12" ht="12.75">
      <c r="A5" s="4" t="s">
        <v>0</v>
      </c>
      <c r="B5" s="15"/>
      <c r="C5" s="14"/>
      <c r="D5" s="76">
        <f aca="true" t="shared" si="0" ref="D5:D28">SUM(H5+L5)</f>
        <v>3537</v>
      </c>
      <c r="E5" s="4"/>
      <c r="F5" s="131"/>
      <c r="G5" s="46"/>
      <c r="H5" s="76">
        <v>2761</v>
      </c>
      <c r="J5" s="131">
        <f>SUM('FY07 PB'!J6)</f>
        <v>6382</v>
      </c>
      <c r="K5" s="46">
        <f>SUM(J5/$J$38)</f>
        <v>0.13976610748543647</v>
      </c>
      <c r="L5" s="76">
        <f>ROUND(K5*$L$43,0)</f>
        <v>776</v>
      </c>
    </row>
    <row r="6" spans="1:12" ht="12.75">
      <c r="A6" s="4" t="s">
        <v>15</v>
      </c>
      <c r="B6" s="15"/>
      <c r="C6" s="17"/>
      <c r="D6" s="31">
        <f t="shared" si="0"/>
        <v>1998</v>
      </c>
      <c r="E6" s="4"/>
      <c r="F6" s="31"/>
      <c r="G6" s="46"/>
      <c r="H6" s="31">
        <v>1432</v>
      </c>
      <c r="J6" s="31">
        <f>SUM('FY07 PB'!J7)</f>
        <v>4651</v>
      </c>
      <c r="K6" s="46">
        <f>SUM(J6/$J$38)</f>
        <v>0.10185712408567299</v>
      </c>
      <c r="L6" s="31">
        <f>ROUND(K6*$L$43,0)</f>
        <v>566</v>
      </c>
    </row>
    <row r="7" spans="1:12" ht="12.75">
      <c r="A7" s="4" t="s">
        <v>16</v>
      </c>
      <c r="B7" s="15"/>
      <c r="C7" s="17"/>
      <c r="D7" s="31">
        <f t="shared" si="0"/>
        <v>364</v>
      </c>
      <c r="E7" s="4"/>
      <c r="F7" s="31"/>
      <c r="G7" s="46"/>
      <c r="H7" s="31">
        <v>269</v>
      </c>
      <c r="J7" s="31">
        <f>SUM('FY07 PB'!J8)</f>
        <v>779</v>
      </c>
      <c r="K7" s="46">
        <f aca="true" t="shared" si="1" ref="K7:K28">SUM(J7/$J$38)</f>
        <v>0.01706013753230257</v>
      </c>
      <c r="L7" s="31">
        <f aca="true" t="shared" si="2" ref="L7:L28">ROUND(K7*$L$43,0)</f>
        <v>95</v>
      </c>
    </row>
    <row r="8" spans="1:12" ht="12.75">
      <c r="A8" s="4" t="s">
        <v>17</v>
      </c>
      <c r="B8" s="15"/>
      <c r="C8" s="17"/>
      <c r="D8" s="31">
        <f t="shared" si="0"/>
        <v>1620</v>
      </c>
      <c r="E8" s="4"/>
      <c r="F8" s="31"/>
      <c r="G8" s="46"/>
      <c r="H8" s="31">
        <v>1146</v>
      </c>
      <c r="J8" s="31">
        <f>SUM('FY07 PB'!J9)</f>
        <v>3898</v>
      </c>
      <c r="K8" s="46">
        <f t="shared" si="1"/>
        <v>0.08536638780605317</v>
      </c>
      <c r="L8" s="31">
        <f t="shared" si="2"/>
        <v>474</v>
      </c>
    </row>
    <row r="9" spans="1:12" ht="12.75">
      <c r="A9" s="4" t="s">
        <v>18</v>
      </c>
      <c r="B9" s="15"/>
      <c r="C9" s="17"/>
      <c r="D9" s="31">
        <f t="shared" si="0"/>
        <v>1272</v>
      </c>
      <c r="E9" s="4"/>
      <c r="F9" s="31"/>
      <c r="G9" s="46"/>
      <c r="H9" s="31">
        <v>906</v>
      </c>
      <c r="J9" s="31">
        <f>SUM('FY07 PB'!J10)</f>
        <v>3014</v>
      </c>
      <c r="K9" s="46">
        <f t="shared" si="1"/>
        <v>0.06600674521483947</v>
      </c>
      <c r="L9" s="31">
        <f t="shared" si="2"/>
        <v>366</v>
      </c>
    </row>
    <row r="10" spans="1:12" ht="12.75">
      <c r="A10" s="4" t="s">
        <v>19</v>
      </c>
      <c r="B10" s="15"/>
      <c r="C10" s="17"/>
      <c r="D10" s="31">
        <f t="shared" si="0"/>
        <v>2618</v>
      </c>
      <c r="E10" s="4"/>
      <c r="F10" s="31"/>
      <c r="G10" s="46"/>
      <c r="H10" s="31">
        <v>2018</v>
      </c>
      <c r="J10" s="31">
        <f>SUM('FY07 PB'!J11)</f>
        <v>4937</v>
      </c>
      <c r="K10" s="46">
        <f t="shared" si="1"/>
        <v>0.1081205378651833</v>
      </c>
      <c r="L10" s="31">
        <f t="shared" si="2"/>
        <v>600</v>
      </c>
    </row>
    <row r="11" spans="1:12" ht="12.75">
      <c r="A11" s="4" t="s">
        <v>20</v>
      </c>
      <c r="B11" s="15"/>
      <c r="C11" s="17"/>
      <c r="D11" s="31">
        <f t="shared" si="0"/>
        <v>1475</v>
      </c>
      <c r="E11" s="4"/>
      <c r="F11" s="31"/>
      <c r="G11" s="46"/>
      <c r="H11" s="31">
        <v>956</v>
      </c>
      <c r="J11" s="31">
        <f>SUM('FY07 PB'!J12)</f>
        <v>4272</v>
      </c>
      <c r="K11" s="46">
        <f t="shared" si="1"/>
        <v>0.09355700582541282</v>
      </c>
      <c r="L11" s="31">
        <f t="shared" si="2"/>
        <v>519</v>
      </c>
    </row>
    <row r="12" spans="1:12" ht="12.75">
      <c r="A12" s="4" t="s">
        <v>21</v>
      </c>
      <c r="B12" s="15"/>
      <c r="C12" s="17"/>
      <c r="D12" s="31">
        <f t="shared" si="0"/>
        <v>1087</v>
      </c>
      <c r="E12" s="4"/>
      <c r="F12" s="31"/>
      <c r="G12" s="46"/>
      <c r="H12" s="31">
        <v>790</v>
      </c>
      <c r="J12" s="31">
        <f>SUM('FY07 PB'!J13)</f>
        <v>2442</v>
      </c>
      <c r="K12" s="46">
        <f t="shared" si="1"/>
        <v>0.053479917655818845</v>
      </c>
      <c r="L12" s="31">
        <f t="shared" si="2"/>
        <v>297</v>
      </c>
    </row>
    <row r="13" spans="1:12" ht="12.75">
      <c r="A13" s="4" t="s">
        <v>22</v>
      </c>
      <c r="B13" s="15"/>
      <c r="C13" s="17"/>
      <c r="D13" s="31">
        <f t="shared" si="0"/>
        <v>558</v>
      </c>
      <c r="E13" s="4"/>
      <c r="F13" s="31"/>
      <c r="G13" s="46"/>
      <c r="H13" s="31">
        <v>392</v>
      </c>
      <c r="J13" s="31">
        <f>SUM('FY07 PB'!J14)</f>
        <v>1366</v>
      </c>
      <c r="K13" s="46">
        <f t="shared" si="1"/>
        <v>0.02991546581402479</v>
      </c>
      <c r="L13" s="31">
        <f t="shared" si="2"/>
        <v>166</v>
      </c>
    </row>
    <row r="14" spans="1:12" ht="12.75">
      <c r="A14" s="4" t="s">
        <v>23</v>
      </c>
      <c r="B14" s="15"/>
      <c r="C14" s="17"/>
      <c r="D14" s="31">
        <f t="shared" si="0"/>
        <v>586</v>
      </c>
      <c r="E14" s="4"/>
      <c r="F14" s="31"/>
      <c r="G14" s="46"/>
      <c r="H14" s="31">
        <v>494</v>
      </c>
      <c r="J14" s="31">
        <f>SUM('FY07 PB'!J15)</f>
        <v>755</v>
      </c>
      <c r="K14" s="46">
        <f t="shared" si="1"/>
        <v>0.016534536375980027</v>
      </c>
      <c r="L14" s="31">
        <f t="shared" si="2"/>
        <v>92</v>
      </c>
    </row>
    <row r="15" spans="1:12" ht="12.75">
      <c r="A15" s="4" t="s">
        <v>24</v>
      </c>
      <c r="B15" s="15"/>
      <c r="C15" s="17"/>
      <c r="D15" s="31">
        <f t="shared" si="0"/>
        <v>835</v>
      </c>
      <c r="E15" s="4"/>
      <c r="F15" s="31"/>
      <c r="G15" s="46"/>
      <c r="H15" s="31">
        <v>601</v>
      </c>
      <c r="J15" s="31">
        <f>SUM('FY07 PB'!J16)</f>
        <v>1923</v>
      </c>
      <c r="K15" s="46">
        <f t="shared" si="1"/>
        <v>0.04211379265034383</v>
      </c>
      <c r="L15" s="31">
        <f t="shared" si="2"/>
        <v>234</v>
      </c>
    </row>
    <row r="16" spans="1:12" ht="12.75">
      <c r="A16" s="4" t="s">
        <v>25</v>
      </c>
      <c r="B16" s="15"/>
      <c r="C16" s="17"/>
      <c r="D16" s="31">
        <f t="shared" si="0"/>
        <v>492</v>
      </c>
      <c r="E16" s="4"/>
      <c r="F16" s="31"/>
      <c r="G16" s="46"/>
      <c r="H16" s="31">
        <v>345</v>
      </c>
      <c r="J16" s="31">
        <f>SUM('FY07 PB'!J17)</f>
        <v>1212</v>
      </c>
      <c r="K16" s="46">
        <f t="shared" si="1"/>
        <v>0.02654285839428847</v>
      </c>
      <c r="L16" s="31">
        <f t="shared" si="2"/>
        <v>147</v>
      </c>
    </row>
    <row r="17" spans="1:12" ht="12.75">
      <c r="A17" s="4" t="s">
        <v>26</v>
      </c>
      <c r="B17" s="15"/>
      <c r="C17" s="17"/>
      <c r="D17" s="31">
        <f t="shared" si="0"/>
        <v>378</v>
      </c>
      <c r="E17" s="4"/>
      <c r="F17" s="31"/>
      <c r="G17" s="46"/>
      <c r="H17" s="31">
        <v>261</v>
      </c>
      <c r="J17" s="31">
        <f>SUM('FY07 PB'!J18)</f>
        <v>962</v>
      </c>
      <c r="K17" s="46">
        <f t="shared" si="1"/>
        <v>0.021067846349261968</v>
      </c>
      <c r="L17" s="31">
        <f t="shared" si="2"/>
        <v>117</v>
      </c>
    </row>
    <row r="18" spans="1:12" ht="12.75">
      <c r="A18" s="4" t="s">
        <v>27</v>
      </c>
      <c r="B18" s="15"/>
      <c r="C18" s="17"/>
      <c r="D18" s="31">
        <f t="shared" si="0"/>
        <v>867</v>
      </c>
      <c r="E18" s="4"/>
      <c r="F18" s="31"/>
      <c r="G18" s="46"/>
      <c r="H18" s="31">
        <v>502</v>
      </c>
      <c r="J18" s="31">
        <f>SUM('FY07 PB'!J19)</f>
        <v>3006</v>
      </c>
      <c r="K18" s="46">
        <f t="shared" si="1"/>
        <v>0.06583154482939862</v>
      </c>
      <c r="L18" s="31">
        <f t="shared" si="2"/>
        <v>365</v>
      </c>
    </row>
    <row r="19" spans="1:12" ht="12.75">
      <c r="A19" s="4" t="s">
        <v>28</v>
      </c>
      <c r="B19" s="15"/>
      <c r="C19" s="17"/>
      <c r="D19" s="31">
        <f t="shared" si="0"/>
        <v>787</v>
      </c>
      <c r="E19" s="4"/>
      <c r="F19" s="31"/>
      <c r="G19" s="46"/>
      <c r="H19" s="31">
        <v>572</v>
      </c>
      <c r="J19" s="31">
        <f>SUM('FY07 PB'!J20)</f>
        <v>1768</v>
      </c>
      <c r="K19" s="46">
        <f t="shared" si="1"/>
        <v>0.0387192851824274</v>
      </c>
      <c r="L19" s="31">
        <f t="shared" si="2"/>
        <v>215</v>
      </c>
    </row>
    <row r="20" spans="1:12" ht="12.75">
      <c r="A20" s="4" t="s">
        <v>29</v>
      </c>
      <c r="B20" s="15"/>
      <c r="C20" s="17"/>
      <c r="D20" s="31">
        <f t="shared" si="0"/>
        <v>383</v>
      </c>
      <c r="E20" s="4"/>
      <c r="F20" s="31"/>
      <c r="G20" s="46"/>
      <c r="H20" s="31">
        <v>280</v>
      </c>
      <c r="J20" s="31">
        <f>SUM('FY07 PB'!J21)</f>
        <v>851</v>
      </c>
      <c r="K20" s="46">
        <f t="shared" si="1"/>
        <v>0.018636941001270203</v>
      </c>
      <c r="L20" s="31">
        <f t="shared" si="2"/>
        <v>103</v>
      </c>
    </row>
    <row r="21" spans="1:12" ht="12.75">
      <c r="A21" s="4" t="s">
        <v>30</v>
      </c>
      <c r="B21" s="15"/>
      <c r="C21" s="17"/>
      <c r="D21" s="31">
        <f t="shared" si="0"/>
        <v>137</v>
      </c>
      <c r="E21" s="4"/>
      <c r="F21" s="31"/>
      <c r="G21" s="46"/>
      <c r="H21" s="31">
        <v>94</v>
      </c>
      <c r="J21" s="31">
        <f>SUM('FY07 PB'!J22)</f>
        <v>350</v>
      </c>
      <c r="K21" s="46">
        <f t="shared" si="1"/>
        <v>0.007665016863037099</v>
      </c>
      <c r="L21" s="31">
        <f t="shared" si="2"/>
        <v>43</v>
      </c>
    </row>
    <row r="22" spans="1:12" ht="12.75">
      <c r="A22" s="4" t="s">
        <v>31</v>
      </c>
      <c r="B22" s="15"/>
      <c r="C22" s="17"/>
      <c r="D22" s="31">
        <f t="shared" si="0"/>
        <v>268</v>
      </c>
      <c r="E22" s="4"/>
      <c r="F22" s="31"/>
      <c r="G22" s="46"/>
      <c r="H22" s="31">
        <v>231</v>
      </c>
      <c r="J22" s="31">
        <f>SUM('FY07 PB'!J23)</f>
        <v>306</v>
      </c>
      <c r="K22" s="46">
        <f t="shared" si="1"/>
        <v>0.006701414743112435</v>
      </c>
      <c r="L22" s="31">
        <f t="shared" si="2"/>
        <v>37</v>
      </c>
    </row>
    <row r="23" spans="1:12" ht="12.75">
      <c r="A23" s="4" t="s">
        <v>32</v>
      </c>
      <c r="B23" s="15"/>
      <c r="C23" s="17"/>
      <c r="D23" s="31">
        <f t="shared" si="0"/>
        <v>277</v>
      </c>
      <c r="E23" s="4"/>
      <c r="F23" s="31"/>
      <c r="G23" s="46"/>
      <c r="H23" s="31">
        <v>183</v>
      </c>
      <c r="J23" s="31">
        <f>SUM('FY07 PB'!J24)</f>
        <v>772</v>
      </c>
      <c r="K23" s="46">
        <f t="shared" si="1"/>
        <v>0.016906837195041827</v>
      </c>
      <c r="L23" s="31">
        <f t="shared" si="2"/>
        <v>94</v>
      </c>
    </row>
    <row r="24" spans="1:12" ht="12.75">
      <c r="A24" s="4" t="s">
        <v>33</v>
      </c>
      <c r="B24" s="15"/>
      <c r="C24" s="17"/>
      <c r="D24" s="31">
        <f t="shared" si="0"/>
        <v>485</v>
      </c>
      <c r="E24" s="4"/>
      <c r="F24" s="31"/>
      <c r="G24" s="46"/>
      <c r="H24" s="31">
        <v>358</v>
      </c>
      <c r="J24" s="31">
        <f>SUM('FY07 PB'!J25)</f>
        <v>1044</v>
      </c>
      <c r="K24" s="46">
        <f t="shared" si="1"/>
        <v>0.02286365030003066</v>
      </c>
      <c r="L24" s="31">
        <f t="shared" si="2"/>
        <v>127</v>
      </c>
    </row>
    <row r="25" spans="1:12" ht="12.75">
      <c r="A25" s="4" t="s">
        <v>34</v>
      </c>
      <c r="B25" s="15"/>
      <c r="C25" s="17"/>
      <c r="D25" s="31">
        <f t="shared" si="0"/>
        <v>128</v>
      </c>
      <c r="E25" s="4"/>
      <c r="F25" s="31"/>
      <c r="G25" s="46"/>
      <c r="H25" s="31">
        <v>93</v>
      </c>
      <c r="J25" s="31">
        <f>SUM('FY07 PB'!J26)</f>
        <v>290</v>
      </c>
      <c r="K25" s="46">
        <f t="shared" si="1"/>
        <v>0.006351013972230739</v>
      </c>
      <c r="L25" s="31">
        <f t="shared" si="2"/>
        <v>35</v>
      </c>
    </row>
    <row r="26" spans="1:12" ht="12.75">
      <c r="A26" s="4" t="s">
        <v>35</v>
      </c>
      <c r="B26" s="15"/>
      <c r="C26" s="17"/>
      <c r="D26" s="31">
        <f t="shared" si="0"/>
        <v>115</v>
      </c>
      <c r="E26" s="4"/>
      <c r="F26" s="31"/>
      <c r="G26" s="46"/>
      <c r="H26" s="31">
        <v>95</v>
      </c>
      <c r="J26" s="31">
        <f>SUM('FY07 PB'!J27)</f>
        <v>162</v>
      </c>
      <c r="K26" s="46">
        <f t="shared" si="1"/>
        <v>0.0035478078051771715</v>
      </c>
      <c r="L26" s="31">
        <f t="shared" si="2"/>
        <v>20</v>
      </c>
    </row>
    <row r="27" spans="1:12" ht="12.75">
      <c r="A27" s="4" t="s">
        <v>36</v>
      </c>
      <c r="B27" s="15"/>
      <c r="C27" s="17"/>
      <c r="D27" s="31">
        <f t="shared" si="0"/>
        <v>130</v>
      </c>
      <c r="E27" s="4"/>
      <c r="F27" s="31"/>
      <c r="G27" s="46"/>
      <c r="H27" s="31">
        <v>88</v>
      </c>
      <c r="J27" s="31">
        <f>SUM('FY07 PB'!J28)</f>
        <v>343</v>
      </c>
      <c r="K27" s="46">
        <f t="shared" si="1"/>
        <v>0.007511716525776356</v>
      </c>
      <c r="L27" s="31">
        <f t="shared" si="2"/>
        <v>42</v>
      </c>
    </row>
    <row r="28" spans="1:12" ht="12.75">
      <c r="A28" s="4" t="s">
        <v>37</v>
      </c>
      <c r="B28" s="15"/>
      <c r="C28" s="17"/>
      <c r="D28" s="31">
        <f t="shared" si="0"/>
        <v>378</v>
      </c>
      <c r="E28" s="4"/>
      <c r="F28" s="31"/>
      <c r="G28" s="46"/>
      <c r="H28" s="31">
        <v>356</v>
      </c>
      <c r="J28" s="31">
        <f>SUM('FY07 PB'!J29)</f>
        <v>177</v>
      </c>
      <c r="K28" s="46">
        <f t="shared" si="1"/>
        <v>0.0038763085278787613</v>
      </c>
      <c r="L28" s="31">
        <f t="shared" si="2"/>
        <v>22</v>
      </c>
    </row>
    <row r="29" spans="1:12" ht="12.75">
      <c r="A29" s="4" t="s">
        <v>38</v>
      </c>
      <c r="B29" s="15"/>
      <c r="C29" s="17"/>
      <c r="D29" s="31">
        <f aca="true" t="shared" si="3" ref="D29:D37">SUM(H29+L29)</f>
        <v>0</v>
      </c>
      <c r="E29" s="4"/>
      <c r="F29" s="17"/>
      <c r="G29" s="17"/>
      <c r="H29" s="31">
        <v>0</v>
      </c>
      <c r="J29" s="17"/>
      <c r="K29" s="17"/>
      <c r="L29" s="31"/>
    </row>
    <row r="30" spans="1:12" ht="12.75">
      <c r="A30" s="4" t="s">
        <v>8</v>
      </c>
      <c r="B30" s="15"/>
      <c r="C30" s="17"/>
      <c r="D30" s="31">
        <f t="shared" si="3"/>
        <v>0</v>
      </c>
      <c r="E30" s="4"/>
      <c r="F30" s="17"/>
      <c r="G30" s="17"/>
      <c r="H30" s="31">
        <v>0</v>
      </c>
      <c r="J30" s="17"/>
      <c r="K30" s="17"/>
      <c r="L30" s="31"/>
    </row>
    <row r="31" spans="1:12" ht="12.75">
      <c r="A31" s="4" t="s">
        <v>51</v>
      </c>
      <c r="B31" s="15"/>
      <c r="C31" s="17"/>
      <c r="D31" s="31">
        <f t="shared" si="3"/>
        <v>0</v>
      </c>
      <c r="E31" s="4"/>
      <c r="F31" s="17"/>
      <c r="G31" s="17"/>
      <c r="H31" s="31">
        <v>0</v>
      </c>
      <c r="J31" s="17"/>
      <c r="K31" s="17"/>
      <c r="L31" s="31"/>
    </row>
    <row r="32" spans="1:12" ht="12.75">
      <c r="A32" s="4" t="s">
        <v>39</v>
      </c>
      <c r="B32" s="15"/>
      <c r="C32" s="17"/>
      <c r="D32" s="31">
        <f t="shared" si="3"/>
        <v>0</v>
      </c>
      <c r="E32" s="4"/>
      <c r="F32" s="17"/>
      <c r="G32" s="17"/>
      <c r="H32" s="31">
        <v>0</v>
      </c>
      <c r="J32" s="17"/>
      <c r="K32" s="17"/>
      <c r="L32" s="31"/>
    </row>
    <row r="33" spans="1:12" ht="12.75">
      <c r="A33" s="4" t="s">
        <v>5</v>
      </c>
      <c r="B33" s="15"/>
      <c r="C33" s="17"/>
      <c r="D33" s="31">
        <f t="shared" si="3"/>
        <v>0</v>
      </c>
      <c r="E33" s="4"/>
      <c r="F33" s="17"/>
      <c r="G33" s="17"/>
      <c r="H33" s="31">
        <v>0</v>
      </c>
      <c r="J33" s="17"/>
      <c r="K33" s="17"/>
      <c r="L33" s="31"/>
    </row>
    <row r="34" spans="1:12" ht="12.75">
      <c r="A34" s="4" t="s">
        <v>6</v>
      </c>
      <c r="B34" s="15"/>
      <c r="C34" s="17"/>
      <c r="D34" s="31">
        <f t="shared" si="3"/>
        <v>0</v>
      </c>
      <c r="E34" s="4"/>
      <c r="F34" s="17"/>
      <c r="G34" s="17"/>
      <c r="H34" s="31">
        <v>0</v>
      </c>
      <c r="J34" s="17"/>
      <c r="K34" s="17"/>
      <c r="L34" s="31"/>
    </row>
    <row r="35" spans="1:12" ht="12.75">
      <c r="A35" s="4" t="s">
        <v>9</v>
      </c>
      <c r="B35" s="32">
        <v>0</v>
      </c>
      <c r="C35" s="32">
        <v>0</v>
      </c>
      <c r="D35" s="31">
        <f t="shared" si="3"/>
        <v>0</v>
      </c>
      <c r="E35" s="116"/>
      <c r="F35" s="17"/>
      <c r="G35" s="17"/>
      <c r="H35" s="31">
        <v>0</v>
      </c>
      <c r="J35" s="17"/>
      <c r="K35" s="17"/>
      <c r="L35" s="31"/>
    </row>
    <row r="36" spans="1:12" ht="12.75">
      <c r="A36" s="4" t="s">
        <v>145</v>
      </c>
      <c r="B36" s="31"/>
      <c r="C36" s="32"/>
      <c r="D36" s="31">
        <f t="shared" si="3"/>
        <v>0</v>
      </c>
      <c r="E36" s="116"/>
      <c r="F36" s="17"/>
      <c r="G36" s="17"/>
      <c r="H36" s="31">
        <v>0</v>
      </c>
      <c r="J36" s="17"/>
      <c r="K36" s="17"/>
      <c r="L36" s="31"/>
    </row>
    <row r="37" spans="1:12" ht="12.75">
      <c r="A37" s="4" t="s">
        <v>128</v>
      </c>
      <c r="B37" s="18"/>
      <c r="C37" s="17"/>
      <c r="D37" s="36">
        <f t="shared" si="3"/>
        <v>0</v>
      </c>
      <c r="F37" s="18"/>
      <c r="G37" s="17"/>
      <c r="H37" s="126">
        <v>0</v>
      </c>
      <c r="J37" s="18"/>
      <c r="K37" s="17"/>
      <c r="L37" s="18"/>
    </row>
    <row r="38" spans="1:12" ht="12.75">
      <c r="A38" s="20" t="s">
        <v>40</v>
      </c>
      <c r="B38" s="18"/>
      <c r="C38" s="18"/>
      <c r="D38" s="53">
        <f>SUM(D5:D37)</f>
        <v>20775</v>
      </c>
      <c r="F38" s="43">
        <f>SUM(F5:F37)</f>
        <v>0</v>
      </c>
      <c r="G38" s="18"/>
      <c r="H38" s="77">
        <f>SUM(H5:H37)</f>
        <v>15223</v>
      </c>
      <c r="J38" s="43">
        <f>SUM(J5:J37)</f>
        <v>45662</v>
      </c>
      <c r="K38" s="18"/>
      <c r="L38" s="77">
        <f>SUM(L5:L37)</f>
        <v>5552</v>
      </c>
    </row>
    <row r="39" spans="6:10" ht="12.75">
      <c r="F39" s="23" t="s">
        <v>161</v>
      </c>
      <c r="J39" s="23" t="s">
        <v>158</v>
      </c>
    </row>
    <row r="40" ht="12.75">
      <c r="F40" s="23" t="s">
        <v>162</v>
      </c>
    </row>
    <row r="42" ht="12.75">
      <c r="A42" s="130" t="s">
        <v>160</v>
      </c>
    </row>
    <row r="43" spans="8:12" ht="12.75">
      <c r="H43" s="92">
        <v>0</v>
      </c>
      <c r="L43" s="92">
        <v>5552</v>
      </c>
    </row>
  </sheetData>
  <mergeCells count="3">
    <mergeCell ref="B3:D3"/>
    <mergeCell ref="F3:H3"/>
    <mergeCell ref="J3:L3"/>
  </mergeCells>
  <printOptions/>
  <pageMargins left="0.75" right="0.75" top="0.54" bottom="0.59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2:I43"/>
  <sheetViews>
    <sheetView workbookViewId="0" topLeftCell="A7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  <col min="6" max="8" width="10.421875" style="0" customWidth="1"/>
  </cols>
  <sheetData>
    <row r="2" ht="18">
      <c r="A2" s="25" t="s">
        <v>48</v>
      </c>
    </row>
    <row r="3" spans="1:4" ht="13.5" customHeight="1">
      <c r="A3" s="13"/>
      <c r="B3" s="273" t="s">
        <v>40</v>
      </c>
      <c r="C3" s="274"/>
      <c r="D3" s="275"/>
    </row>
    <row r="4" spans="1:7" ht="12.75">
      <c r="A4" s="14"/>
      <c r="B4" s="21" t="s">
        <v>41</v>
      </c>
      <c r="C4" s="21" t="s">
        <v>42</v>
      </c>
      <c r="D4" s="22" t="s">
        <v>43</v>
      </c>
      <c r="F4" s="75" t="s">
        <v>135</v>
      </c>
      <c r="G4" s="75" t="s">
        <v>136</v>
      </c>
    </row>
    <row r="5" spans="1:7" ht="12.75">
      <c r="A5" s="4" t="s">
        <v>0</v>
      </c>
      <c r="B5" s="32">
        <f>SUM('FTEs &amp; onbrd'!B5)</f>
        <v>2835</v>
      </c>
      <c r="C5" s="71">
        <f>SUM(B5/$B$38)</f>
        <v>0.1647681041497152</v>
      </c>
      <c r="D5" s="35">
        <f>SUM(F5:G5)</f>
        <v>896.9922701383239</v>
      </c>
      <c r="F5" s="52">
        <f>ROUND(C5*$F$43,0)-1</f>
        <v>824</v>
      </c>
      <c r="G5" s="35">
        <f>SUM(C5*$G$43,0)</f>
        <v>72.99227013832383</v>
      </c>
    </row>
    <row r="6" spans="1:7" ht="12.75">
      <c r="A6" s="4" t="s">
        <v>15</v>
      </c>
      <c r="B6" s="32">
        <f>SUM('FTEs &amp; onbrd'!B6)</f>
        <v>806</v>
      </c>
      <c r="C6" s="71">
        <f aca="true" t="shared" si="0" ref="C6:C37">SUM(B6/$B$38)</f>
        <v>0.0468441241427409</v>
      </c>
      <c r="D6" s="32">
        <f>SUM(F6:G6)</f>
        <v>255.75194699523422</v>
      </c>
      <c r="F6" s="31">
        <f>ROUND(C6*$F$43,0)</f>
        <v>235</v>
      </c>
      <c r="G6" s="32">
        <f>SUM(C6*$G$43,0)</f>
        <v>20.75194699523422</v>
      </c>
    </row>
    <row r="7" spans="1:7" ht="12.75">
      <c r="A7" s="4" t="s">
        <v>16</v>
      </c>
      <c r="B7" s="32">
        <f>SUM('FTEs &amp; onbrd'!B7)</f>
        <v>252</v>
      </c>
      <c r="C7" s="71">
        <f t="shared" si="0"/>
        <v>0.014646053702196907</v>
      </c>
      <c r="D7" s="32">
        <f aca="true" t="shared" si="1" ref="D7:D37">SUM(F7:G7)</f>
        <v>79.48820179007323</v>
      </c>
      <c r="F7" s="31">
        <f aca="true" t="shared" si="2" ref="F7:F37">ROUND(C7*$F$43,0)</f>
        <v>73</v>
      </c>
      <c r="G7" s="32">
        <f aca="true" t="shared" si="3" ref="G7:G37">SUM(C7*$G$43,0)</f>
        <v>6.48820179007323</v>
      </c>
    </row>
    <row r="8" spans="1:7" ht="12.75">
      <c r="A8" s="4" t="s">
        <v>17</v>
      </c>
      <c r="B8" s="32">
        <f>SUM('FTEs &amp; onbrd'!B8)</f>
        <v>646</v>
      </c>
      <c r="C8" s="71">
        <f t="shared" si="0"/>
        <v>0.037545042427060325</v>
      </c>
      <c r="D8" s="32">
        <f t="shared" si="1"/>
        <v>204.63245379518773</v>
      </c>
      <c r="F8" s="31">
        <f t="shared" si="2"/>
        <v>188</v>
      </c>
      <c r="G8" s="32">
        <f t="shared" si="3"/>
        <v>16.632453795187725</v>
      </c>
    </row>
    <row r="9" spans="1:7" ht="12.75">
      <c r="A9" s="4" t="s">
        <v>18</v>
      </c>
      <c r="B9" s="32">
        <f>SUM('FTEs &amp; onbrd'!B9)</f>
        <v>539</v>
      </c>
      <c r="C9" s="71">
        <f t="shared" si="0"/>
        <v>0.03132628152969894</v>
      </c>
      <c r="D9" s="32">
        <f t="shared" si="1"/>
        <v>170.87754271765664</v>
      </c>
      <c r="F9" s="31">
        <f t="shared" si="2"/>
        <v>157</v>
      </c>
      <c r="G9" s="32">
        <f t="shared" si="3"/>
        <v>13.877542717656631</v>
      </c>
    </row>
    <row r="10" spans="1:7" ht="12.75">
      <c r="A10" s="4" t="s">
        <v>19</v>
      </c>
      <c r="B10" s="32">
        <f>SUM('FTEs &amp; onbrd'!B10)</f>
        <v>1617</v>
      </c>
      <c r="C10" s="71">
        <f t="shared" si="0"/>
        <v>0.09397884458909683</v>
      </c>
      <c r="D10" s="32">
        <f t="shared" si="1"/>
        <v>512.6326281529699</v>
      </c>
      <c r="F10" s="31">
        <f t="shared" si="2"/>
        <v>471</v>
      </c>
      <c r="G10" s="32">
        <f t="shared" si="3"/>
        <v>41.6326281529699</v>
      </c>
    </row>
    <row r="11" spans="1:7" ht="12.75">
      <c r="A11" s="4" t="s">
        <v>20</v>
      </c>
      <c r="B11" s="32">
        <f>SUM('FTEs &amp; onbrd'!B11)</f>
        <v>126</v>
      </c>
      <c r="C11" s="71">
        <f t="shared" si="0"/>
        <v>0.007323026851098454</v>
      </c>
      <c r="D11" s="32">
        <f t="shared" si="1"/>
        <v>40.24410089503662</v>
      </c>
      <c r="F11" s="31">
        <f t="shared" si="2"/>
        <v>37</v>
      </c>
      <c r="G11" s="32">
        <f t="shared" si="3"/>
        <v>3.244100895036615</v>
      </c>
    </row>
    <row r="12" spans="1:7" ht="12.75">
      <c r="A12" s="4" t="s">
        <v>21</v>
      </c>
      <c r="B12" s="32">
        <f>SUM('FTEs &amp; onbrd'!B12)</f>
        <v>548</v>
      </c>
      <c r="C12" s="71">
        <f t="shared" si="0"/>
        <v>0.03184935487620597</v>
      </c>
      <c r="D12" s="32">
        <f t="shared" si="1"/>
        <v>174.10926421015924</v>
      </c>
      <c r="F12" s="31">
        <f t="shared" si="2"/>
        <v>160</v>
      </c>
      <c r="G12" s="32">
        <f t="shared" si="3"/>
        <v>14.109264210159246</v>
      </c>
    </row>
    <row r="13" spans="1:7" ht="12.75">
      <c r="A13" s="4" t="s">
        <v>22</v>
      </c>
      <c r="B13" s="32">
        <f>SUM('FTEs &amp; onbrd'!B13)</f>
        <v>213</v>
      </c>
      <c r="C13" s="71">
        <f t="shared" si="0"/>
        <v>0.012379402533999767</v>
      </c>
      <c r="D13" s="32">
        <f t="shared" si="1"/>
        <v>67.48407532256189</v>
      </c>
      <c r="F13" s="31">
        <f t="shared" si="2"/>
        <v>62</v>
      </c>
      <c r="G13" s="32">
        <f t="shared" si="3"/>
        <v>5.484075322561897</v>
      </c>
    </row>
    <row r="14" spans="1:7" ht="12.75">
      <c r="A14" s="4" t="s">
        <v>23</v>
      </c>
      <c r="B14" s="32">
        <f>SUM('FTEs &amp; onbrd'!B14)</f>
        <v>668</v>
      </c>
      <c r="C14" s="71">
        <f t="shared" si="0"/>
        <v>0.038823666162966404</v>
      </c>
      <c r="D14" s="32">
        <f t="shared" si="1"/>
        <v>211.19888411019411</v>
      </c>
      <c r="F14" s="31">
        <f t="shared" si="2"/>
        <v>194</v>
      </c>
      <c r="G14" s="32">
        <f t="shared" si="3"/>
        <v>17.19888411019412</v>
      </c>
    </row>
    <row r="15" spans="1:7" ht="12.75">
      <c r="A15" s="4" t="s">
        <v>24</v>
      </c>
      <c r="B15" s="32">
        <f>SUM('FTEs &amp; onbrd'!B15)</f>
        <v>381</v>
      </c>
      <c r="C15" s="71">
        <f t="shared" si="0"/>
        <v>0.022143438335464373</v>
      </c>
      <c r="D15" s="32">
        <f t="shared" si="1"/>
        <v>120.80954318261072</v>
      </c>
      <c r="F15" s="31">
        <f t="shared" si="2"/>
        <v>111</v>
      </c>
      <c r="G15" s="32">
        <f t="shared" si="3"/>
        <v>9.809543182610717</v>
      </c>
    </row>
    <row r="16" spans="1:7" ht="12.75">
      <c r="A16" s="4" t="s">
        <v>25</v>
      </c>
      <c r="B16" s="32">
        <f>SUM('FTEs &amp; onbrd'!B16)</f>
        <v>214</v>
      </c>
      <c r="C16" s="71">
        <f t="shared" si="0"/>
        <v>0.012437521794722772</v>
      </c>
      <c r="D16" s="32">
        <f t="shared" si="1"/>
        <v>67.50982215506218</v>
      </c>
      <c r="F16" s="31">
        <f t="shared" si="2"/>
        <v>62</v>
      </c>
      <c r="G16" s="32">
        <f t="shared" si="3"/>
        <v>5.509822155062188</v>
      </c>
    </row>
    <row r="17" spans="1:7" ht="12.75">
      <c r="A17" s="4" t="s">
        <v>26</v>
      </c>
      <c r="B17" s="32">
        <f>SUM('FTEs &amp; onbrd'!B17)</f>
        <v>136</v>
      </c>
      <c r="C17" s="71">
        <f t="shared" si="0"/>
        <v>0.00790421945832849</v>
      </c>
      <c r="D17" s="32">
        <f t="shared" si="1"/>
        <v>43.50156922003952</v>
      </c>
      <c r="F17" s="31">
        <f t="shared" si="2"/>
        <v>40</v>
      </c>
      <c r="G17" s="32">
        <f t="shared" si="3"/>
        <v>3.501569220039521</v>
      </c>
    </row>
    <row r="18" spans="1:7" ht="12.75">
      <c r="A18" s="4" t="s">
        <v>27</v>
      </c>
      <c r="B18" s="32">
        <f>SUM('FTEs &amp; onbrd'!B18)</f>
        <v>641</v>
      </c>
      <c r="C18" s="71">
        <f t="shared" si="0"/>
        <v>0.03725444612344531</v>
      </c>
      <c r="D18" s="32">
        <f t="shared" si="1"/>
        <v>203.50371963268628</v>
      </c>
      <c r="F18" s="31">
        <f t="shared" si="2"/>
        <v>187</v>
      </c>
      <c r="G18" s="32">
        <f t="shared" si="3"/>
        <v>16.503719632686273</v>
      </c>
    </row>
    <row r="19" spans="1:7" ht="12.75">
      <c r="A19" s="4" t="s">
        <v>28</v>
      </c>
      <c r="B19" s="32">
        <f>SUM('FTEs &amp; onbrd'!B19)</f>
        <v>366</v>
      </c>
      <c r="C19" s="71">
        <f t="shared" si="0"/>
        <v>0.02127164942461932</v>
      </c>
      <c r="D19" s="32">
        <f t="shared" si="1"/>
        <v>116.42334069510636</v>
      </c>
      <c r="F19" s="31">
        <f t="shared" si="2"/>
        <v>107</v>
      </c>
      <c r="G19" s="32">
        <f t="shared" si="3"/>
        <v>9.423340695106358</v>
      </c>
    </row>
    <row r="20" spans="1:7" ht="12.75">
      <c r="A20" s="4" t="s">
        <v>29</v>
      </c>
      <c r="B20" s="32">
        <f>SUM('FTEs &amp; onbrd'!B20)</f>
        <v>227</v>
      </c>
      <c r="C20" s="71">
        <f t="shared" si="0"/>
        <v>0.013193072184121819</v>
      </c>
      <c r="D20" s="32">
        <f t="shared" si="1"/>
        <v>71.84453097756597</v>
      </c>
      <c r="F20" s="31">
        <f t="shared" si="2"/>
        <v>66</v>
      </c>
      <c r="G20" s="32">
        <f t="shared" si="3"/>
        <v>5.844530977565966</v>
      </c>
    </row>
    <row r="21" spans="1:7" ht="12.75">
      <c r="A21" s="4" t="s">
        <v>30</v>
      </c>
      <c r="B21" s="32">
        <f>SUM('FTEs &amp; onbrd'!B21)</f>
        <v>44</v>
      </c>
      <c r="C21" s="71">
        <f t="shared" si="0"/>
        <v>0.0025572474718121587</v>
      </c>
      <c r="D21" s="32">
        <f t="shared" si="1"/>
        <v>14.132860630012786</v>
      </c>
      <c r="F21" s="31">
        <f t="shared" si="2"/>
        <v>13</v>
      </c>
      <c r="G21" s="32">
        <f t="shared" si="3"/>
        <v>1.1328606300127864</v>
      </c>
    </row>
    <row r="22" spans="1:7" ht="12.75">
      <c r="A22" s="4" t="s">
        <v>31</v>
      </c>
      <c r="B22" s="32">
        <f>SUM('FTEs &amp; onbrd'!B22)</f>
        <v>301</v>
      </c>
      <c r="C22" s="71">
        <f t="shared" si="0"/>
        <v>0.017493897477624084</v>
      </c>
      <c r="D22" s="32">
        <f t="shared" si="1"/>
        <v>95.74979658258746</v>
      </c>
      <c r="F22" s="31">
        <f t="shared" si="2"/>
        <v>88</v>
      </c>
      <c r="G22" s="32">
        <f t="shared" si="3"/>
        <v>7.749796582587469</v>
      </c>
    </row>
    <row r="23" spans="1:7" ht="12.75">
      <c r="A23" s="4" t="s">
        <v>32</v>
      </c>
      <c r="B23" s="32">
        <f>SUM('FTEs &amp; onbrd'!B23)</f>
        <v>50</v>
      </c>
      <c r="C23" s="71">
        <f t="shared" si="0"/>
        <v>0.00290596303615018</v>
      </c>
      <c r="D23" s="32">
        <f t="shared" si="1"/>
        <v>16.28734162501453</v>
      </c>
      <c r="F23" s="31">
        <f t="shared" si="2"/>
        <v>15</v>
      </c>
      <c r="G23" s="32">
        <f t="shared" si="3"/>
        <v>1.2873416250145298</v>
      </c>
    </row>
    <row r="24" spans="1:7" ht="12.75">
      <c r="A24" s="4" t="s">
        <v>33</v>
      </c>
      <c r="B24" s="32">
        <f>SUM('FTEs &amp; onbrd'!B24)</f>
        <v>108</v>
      </c>
      <c r="C24" s="71">
        <f t="shared" si="0"/>
        <v>0.006276880158084389</v>
      </c>
      <c r="D24" s="32">
        <f t="shared" si="1"/>
        <v>33.78065791003139</v>
      </c>
      <c r="F24" s="31">
        <f t="shared" si="2"/>
        <v>31</v>
      </c>
      <c r="G24" s="32">
        <f t="shared" si="3"/>
        <v>2.780657910031384</v>
      </c>
    </row>
    <row r="25" spans="1:7" ht="12.75">
      <c r="A25" s="4" t="s">
        <v>34</v>
      </c>
      <c r="B25" s="32">
        <f>SUM('FTEs &amp; onbrd'!B25)</f>
        <v>76</v>
      </c>
      <c r="C25" s="71">
        <f t="shared" si="0"/>
        <v>0.0044170638149482735</v>
      </c>
      <c r="D25" s="32">
        <f t="shared" si="1"/>
        <v>23.956759270022086</v>
      </c>
      <c r="F25" s="31">
        <f t="shared" si="2"/>
        <v>22</v>
      </c>
      <c r="G25" s="32">
        <f t="shared" si="3"/>
        <v>1.9567592700220853</v>
      </c>
    </row>
    <row r="26" spans="1:7" ht="12.75">
      <c r="A26" s="4" t="s">
        <v>35</v>
      </c>
      <c r="B26" s="32">
        <f>SUM('FTEs &amp; onbrd'!B26)</f>
        <v>29</v>
      </c>
      <c r="C26" s="71">
        <f t="shared" si="0"/>
        <v>0.0016854585609671045</v>
      </c>
      <c r="D26" s="32">
        <f t="shared" si="1"/>
        <v>8.746658142508426</v>
      </c>
      <c r="F26" s="31">
        <f t="shared" si="2"/>
        <v>8</v>
      </c>
      <c r="G26" s="32">
        <f t="shared" si="3"/>
        <v>0.7466581425084273</v>
      </c>
    </row>
    <row r="27" spans="1:7" ht="12.75">
      <c r="A27" s="4" t="s">
        <v>36</v>
      </c>
      <c r="B27" s="32">
        <f>SUM('FTEs &amp; onbrd'!B27)</f>
        <v>54</v>
      </c>
      <c r="C27" s="71">
        <f t="shared" si="0"/>
        <v>0.0031384400790421944</v>
      </c>
      <c r="D27" s="32">
        <f t="shared" si="1"/>
        <v>17.390328955015693</v>
      </c>
      <c r="F27" s="31">
        <f t="shared" si="2"/>
        <v>16</v>
      </c>
      <c r="G27" s="32">
        <f t="shared" si="3"/>
        <v>1.390328955015692</v>
      </c>
    </row>
    <row r="28" spans="1:7" ht="12.75">
      <c r="A28" s="4" t="s">
        <v>37</v>
      </c>
      <c r="B28" s="32">
        <f>SUM('FTEs &amp; onbrd'!B28)</f>
        <v>662</v>
      </c>
      <c r="C28" s="71">
        <f t="shared" si="0"/>
        <v>0.038474950598628384</v>
      </c>
      <c r="D28" s="32">
        <f t="shared" si="1"/>
        <v>210.04440311519238</v>
      </c>
      <c r="F28" s="31">
        <f t="shared" si="2"/>
        <v>193</v>
      </c>
      <c r="G28" s="32">
        <f t="shared" si="3"/>
        <v>17.044403115192374</v>
      </c>
    </row>
    <row r="29" spans="1:7" ht="12.75">
      <c r="A29" s="4" t="s">
        <v>38</v>
      </c>
      <c r="B29" s="32">
        <f>SUM('FTEs &amp; onbrd'!B29)</f>
        <v>0</v>
      </c>
      <c r="C29" s="71">
        <f t="shared" si="0"/>
        <v>0</v>
      </c>
      <c r="D29" s="32">
        <f t="shared" si="1"/>
        <v>0</v>
      </c>
      <c r="F29" s="31">
        <f t="shared" si="2"/>
        <v>0</v>
      </c>
      <c r="G29" s="32">
        <f t="shared" si="3"/>
        <v>0</v>
      </c>
    </row>
    <row r="30" spans="1:7" ht="12.75">
      <c r="A30" s="4" t="s">
        <v>8</v>
      </c>
      <c r="B30" s="32">
        <f>SUM('FTEs &amp; onbrd'!B30)</f>
        <v>626</v>
      </c>
      <c r="C30" s="71">
        <f t="shared" si="0"/>
        <v>0.036382657212600256</v>
      </c>
      <c r="D30" s="32">
        <f t="shared" si="1"/>
        <v>198.11751714518192</v>
      </c>
      <c r="F30" s="31">
        <f t="shared" si="2"/>
        <v>182</v>
      </c>
      <c r="G30" s="32">
        <f t="shared" si="3"/>
        <v>16.117517145181914</v>
      </c>
    </row>
    <row r="31" spans="1:7" ht="12.75">
      <c r="A31" s="4" t="s">
        <v>51</v>
      </c>
      <c r="B31" s="32">
        <f>SUM('FTEs &amp; onbrd'!B31)</f>
        <v>1101</v>
      </c>
      <c r="C31" s="71">
        <f t="shared" si="0"/>
        <v>0.06398930605602697</v>
      </c>
      <c r="D31" s="32">
        <f t="shared" si="1"/>
        <v>348.34726258281995</v>
      </c>
      <c r="F31" s="31">
        <f t="shared" si="2"/>
        <v>320</v>
      </c>
      <c r="G31" s="32">
        <f t="shared" si="3"/>
        <v>28.347262582819948</v>
      </c>
    </row>
    <row r="32" spans="1:7" ht="12.75">
      <c r="A32" s="4" t="s">
        <v>39</v>
      </c>
      <c r="B32" s="32">
        <f>SUM('FTEs &amp; onbrd'!B32)</f>
        <v>1857</v>
      </c>
      <c r="C32" s="71">
        <f t="shared" si="0"/>
        <v>0.1079274671626177</v>
      </c>
      <c r="D32" s="32">
        <f t="shared" si="1"/>
        <v>588.8118679530396</v>
      </c>
      <c r="F32" s="31">
        <f t="shared" si="2"/>
        <v>541</v>
      </c>
      <c r="G32" s="32">
        <f t="shared" si="3"/>
        <v>47.81186795303964</v>
      </c>
    </row>
    <row r="33" spans="1:7" ht="12.75">
      <c r="A33" s="4" t="s">
        <v>5</v>
      </c>
      <c r="B33" s="32">
        <f>SUM('FTEs &amp; onbrd'!B33)</f>
        <v>297</v>
      </c>
      <c r="C33" s="71">
        <f t="shared" si="0"/>
        <v>0.01726142043473207</v>
      </c>
      <c r="D33" s="32">
        <f t="shared" si="1"/>
        <v>93.64680925258631</v>
      </c>
      <c r="F33" s="31">
        <f t="shared" si="2"/>
        <v>86</v>
      </c>
      <c r="G33" s="32">
        <f t="shared" si="3"/>
        <v>7.646809252586307</v>
      </c>
    </row>
    <row r="34" spans="1:7" ht="12.75">
      <c r="A34" s="4" t="s">
        <v>6</v>
      </c>
      <c r="B34" s="32">
        <f>SUM('FTEs &amp; onbrd'!B34)</f>
        <v>383</v>
      </c>
      <c r="C34" s="71">
        <f t="shared" si="0"/>
        <v>0.02225967685691038</v>
      </c>
      <c r="D34" s="32">
        <f t="shared" si="1"/>
        <v>120.8610368476113</v>
      </c>
      <c r="F34" s="31">
        <f t="shared" si="2"/>
        <v>111</v>
      </c>
      <c r="G34" s="32">
        <f t="shared" si="3"/>
        <v>9.861036847611297</v>
      </c>
    </row>
    <row r="35" spans="1:7" ht="12.75">
      <c r="A35" s="4" t="s">
        <v>9</v>
      </c>
      <c r="B35" s="32">
        <f>SUM('FTEs &amp; onbrd'!B35)</f>
        <v>624</v>
      </c>
      <c r="C35" s="71">
        <f t="shared" si="0"/>
        <v>0.03626641869115425</v>
      </c>
      <c r="D35" s="32">
        <f t="shared" si="1"/>
        <v>198.06602348018134</v>
      </c>
      <c r="F35" s="31">
        <f t="shared" si="2"/>
        <v>182</v>
      </c>
      <c r="G35" s="32">
        <f t="shared" si="3"/>
        <v>16.066023480181332</v>
      </c>
    </row>
    <row r="36" spans="1:7" ht="12.75">
      <c r="A36" s="4" t="s">
        <v>145</v>
      </c>
      <c r="B36" s="32">
        <f>SUM('FTEs &amp; onbrd'!B36)</f>
        <v>507</v>
      </c>
      <c r="C36" s="71">
        <f t="shared" si="0"/>
        <v>0.02946646518656283</v>
      </c>
      <c r="D36" s="32">
        <f t="shared" si="1"/>
        <v>161.05364407764733</v>
      </c>
      <c r="F36" s="31">
        <f t="shared" si="2"/>
        <v>148</v>
      </c>
      <c r="G36" s="32">
        <f t="shared" si="3"/>
        <v>13.053644077647332</v>
      </c>
    </row>
    <row r="37" spans="1:9" ht="12.75">
      <c r="A37" s="4" t="s">
        <v>128</v>
      </c>
      <c r="B37" s="36">
        <f>SUM('FTEs &amp; onbrd'!B37)</f>
        <v>272</v>
      </c>
      <c r="C37" s="71">
        <f t="shared" si="0"/>
        <v>0.01580843891665698</v>
      </c>
      <c r="D37" s="36">
        <f t="shared" si="1"/>
        <v>86.00313844007904</v>
      </c>
      <c r="F37" s="36">
        <f t="shared" si="2"/>
        <v>79</v>
      </c>
      <c r="G37" s="37">
        <f t="shared" si="3"/>
        <v>7.003138440079042</v>
      </c>
      <c r="H37" s="70"/>
      <c r="I37" s="70"/>
    </row>
    <row r="38" spans="1:8" ht="12.75">
      <c r="A38" s="20" t="s">
        <v>40</v>
      </c>
      <c r="B38" s="43">
        <f>SUM(B5:B37)</f>
        <v>17206</v>
      </c>
      <c r="C38" s="80">
        <f>SUM(C5:C37)</f>
        <v>1</v>
      </c>
      <c r="D38" s="53">
        <f>SUM(D5:D37)</f>
        <v>5452.000000000002</v>
      </c>
      <c r="F38" s="53">
        <f>SUM(F5:F37)</f>
        <v>5009</v>
      </c>
      <c r="G38" s="53">
        <f>SUM(G5:G37)</f>
        <v>443</v>
      </c>
      <c r="H38" s="70"/>
    </row>
    <row r="39" spans="1:7" ht="12.75">
      <c r="A39" s="23" t="s">
        <v>318</v>
      </c>
      <c r="F39" s="70"/>
      <c r="G39" s="70"/>
    </row>
    <row r="40" spans="1:4" ht="12.75">
      <c r="A40" s="121"/>
      <c r="D40" s="94"/>
    </row>
    <row r="43" spans="6:7" ht="12.75">
      <c r="F43" s="92">
        <v>5008</v>
      </c>
      <c r="G43" s="92">
        <v>443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2:F43"/>
  <sheetViews>
    <sheetView workbookViewId="0" topLeftCell="A21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</cols>
  <sheetData>
    <row r="2" ht="18">
      <c r="A2" s="25" t="s">
        <v>67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129</v>
      </c>
      <c r="C4" s="21" t="s">
        <v>42</v>
      </c>
      <c r="D4" s="22" t="s">
        <v>43</v>
      </c>
    </row>
    <row r="5" spans="1:4" ht="12.75">
      <c r="A5" s="4" t="s">
        <v>0</v>
      </c>
      <c r="B5" s="34">
        <f>SUM('FY07 PB'!B6)</f>
        <v>4688307</v>
      </c>
      <c r="C5" s="46">
        <f>SUM(B5/$B$38)</f>
        <v>0.16859059401602275</v>
      </c>
      <c r="D5" s="34">
        <f>ROUND(C5*$D$43,0)+1</f>
        <v>1932</v>
      </c>
    </row>
    <row r="6" spans="1:4" ht="12.75">
      <c r="A6" s="4" t="s">
        <v>15</v>
      </c>
      <c r="B6" s="31">
        <f>SUM('FY07 PB'!B7)</f>
        <v>2865993</v>
      </c>
      <c r="C6" s="46">
        <f aca="true" t="shared" si="0" ref="C6:C30">SUM(B6/$B$38)</f>
        <v>0.10306054239105142</v>
      </c>
      <c r="D6" s="31">
        <f>ROUND(C6*$D$43,0)</f>
        <v>1180</v>
      </c>
    </row>
    <row r="7" spans="1:4" ht="12.75">
      <c r="A7" s="4" t="s">
        <v>16</v>
      </c>
      <c r="B7" s="31">
        <f>SUM('FY07 PB'!B8)</f>
        <v>381434</v>
      </c>
      <c r="C7" s="46">
        <f t="shared" si="0"/>
        <v>0.013716291326038936</v>
      </c>
      <c r="D7" s="31">
        <f aca="true" t="shared" si="1" ref="D7:D30">ROUND(C7*$D$43,0)</f>
        <v>157</v>
      </c>
    </row>
    <row r="8" spans="1:4" ht="12.75">
      <c r="A8" s="4" t="s">
        <v>17</v>
      </c>
      <c r="B8" s="31">
        <f>SUM('FY07 PB'!B9)</f>
        <v>1823846</v>
      </c>
      <c r="C8" s="46">
        <f t="shared" si="0"/>
        <v>0.06558514204247867</v>
      </c>
      <c r="D8" s="31">
        <f t="shared" si="1"/>
        <v>751</v>
      </c>
    </row>
    <row r="9" spans="1:4" ht="12.75">
      <c r="A9" s="4" t="s">
        <v>18</v>
      </c>
      <c r="B9" s="31">
        <f>SUM('FY07 PB'!B10)</f>
        <v>1506344</v>
      </c>
      <c r="C9" s="46">
        <f t="shared" si="0"/>
        <v>0.054167832813096874</v>
      </c>
      <c r="D9" s="31">
        <f t="shared" si="1"/>
        <v>620</v>
      </c>
    </row>
    <row r="10" spans="1:4" ht="12.75">
      <c r="A10" s="4" t="s">
        <v>19</v>
      </c>
      <c r="B10" s="31">
        <f>SUM('FY07 PB'!B11)</f>
        <v>4343644</v>
      </c>
      <c r="C10" s="46">
        <f t="shared" si="0"/>
        <v>0.15619658058956742</v>
      </c>
      <c r="D10" s="31">
        <f t="shared" si="1"/>
        <v>1789</v>
      </c>
    </row>
    <row r="11" spans="1:4" ht="12.75">
      <c r="A11" s="4" t="s">
        <v>20</v>
      </c>
      <c r="B11" s="31">
        <f>SUM('FY07 PB'!B12)</f>
        <v>1900262</v>
      </c>
      <c r="C11" s="46">
        <f t="shared" si="0"/>
        <v>0.06833304631417597</v>
      </c>
      <c r="D11" s="31">
        <f t="shared" si="1"/>
        <v>783</v>
      </c>
    </row>
    <row r="12" spans="1:4" ht="12.75">
      <c r="A12" s="4" t="s">
        <v>21</v>
      </c>
      <c r="B12" s="31">
        <f>SUM('FY07 PB'!B13)</f>
        <v>1242239</v>
      </c>
      <c r="C12" s="46">
        <f t="shared" si="0"/>
        <v>0.04467066916050295</v>
      </c>
      <c r="D12" s="31">
        <f t="shared" si="1"/>
        <v>512</v>
      </c>
    </row>
    <row r="13" spans="1:4" ht="12.75">
      <c r="A13" s="4" t="s">
        <v>22</v>
      </c>
      <c r="B13" s="31">
        <f>SUM('FY07 PB'!B14)</f>
        <v>653375</v>
      </c>
      <c r="C13" s="46">
        <f t="shared" si="0"/>
        <v>0.02349523599141841</v>
      </c>
      <c r="D13" s="31">
        <f t="shared" si="1"/>
        <v>269</v>
      </c>
    </row>
    <row r="14" spans="1:4" ht="12.75">
      <c r="A14" s="4" t="s">
        <v>23</v>
      </c>
      <c r="B14" s="31">
        <f>SUM('FY07 PB'!B15)</f>
        <v>629630</v>
      </c>
      <c r="C14" s="46">
        <f t="shared" si="0"/>
        <v>0.022641370479857315</v>
      </c>
      <c r="D14" s="31">
        <f t="shared" si="1"/>
        <v>259</v>
      </c>
    </row>
    <row r="15" spans="1:4" ht="12.75">
      <c r="A15" s="4" t="s">
        <v>24</v>
      </c>
      <c r="B15" s="31">
        <f>SUM('FY07 PB'!B16)</f>
        <v>1027276</v>
      </c>
      <c r="C15" s="46">
        <f t="shared" si="0"/>
        <v>0.036940642124844596</v>
      </c>
      <c r="D15" s="31">
        <f t="shared" si="1"/>
        <v>423</v>
      </c>
    </row>
    <row r="16" spans="1:4" ht="12.75">
      <c r="A16" s="4" t="s">
        <v>25</v>
      </c>
      <c r="B16" s="31">
        <f>SUM('FY07 PB'!B17)</f>
        <v>498443</v>
      </c>
      <c r="C16" s="46">
        <f t="shared" si="0"/>
        <v>0.01792391186266779</v>
      </c>
      <c r="D16" s="31">
        <f t="shared" si="1"/>
        <v>205</v>
      </c>
    </row>
    <row r="17" spans="1:4" ht="12.75">
      <c r="A17" s="4" t="s">
        <v>26</v>
      </c>
      <c r="B17" s="31">
        <f>SUM('FY07 PB'!B18)</f>
        <v>386829</v>
      </c>
      <c r="C17" s="46">
        <f t="shared" si="0"/>
        <v>0.013910294460798762</v>
      </c>
      <c r="D17" s="31">
        <f t="shared" si="1"/>
        <v>159</v>
      </c>
    </row>
    <row r="18" spans="1:4" ht="12.75">
      <c r="A18" s="4" t="s">
        <v>27</v>
      </c>
      <c r="B18" s="31">
        <f>SUM('FY07 PB'!B19)</f>
        <v>1377969</v>
      </c>
      <c r="C18" s="46">
        <f t="shared" si="0"/>
        <v>0.04955149316067929</v>
      </c>
      <c r="D18" s="31">
        <f t="shared" si="1"/>
        <v>568</v>
      </c>
    </row>
    <row r="19" spans="1:4" ht="12.75">
      <c r="A19" s="4" t="s">
        <v>28</v>
      </c>
      <c r="B19" s="31">
        <f>SUM('FY07 PB'!B20)</f>
        <v>982820</v>
      </c>
      <c r="C19" s="46">
        <f t="shared" si="0"/>
        <v>0.035342013142660555</v>
      </c>
      <c r="D19" s="31">
        <f t="shared" si="1"/>
        <v>405</v>
      </c>
    </row>
    <row r="20" spans="1:4" ht="12.75">
      <c r="A20" s="4" t="s">
        <v>29</v>
      </c>
      <c r="B20" s="31">
        <f>SUM('FY07 PB'!B21)</f>
        <v>428087</v>
      </c>
      <c r="C20" s="46">
        <f t="shared" si="0"/>
        <v>0.015393923994426375</v>
      </c>
      <c r="D20" s="31">
        <f t="shared" si="1"/>
        <v>176</v>
      </c>
    </row>
    <row r="21" spans="1:4" ht="12.75">
      <c r="A21" s="4" t="s">
        <v>30</v>
      </c>
      <c r="B21" s="31">
        <f>SUM('FY07 PB'!B22)</f>
        <v>134902</v>
      </c>
      <c r="C21" s="46">
        <f t="shared" si="0"/>
        <v>0.0048510492836645516</v>
      </c>
      <c r="D21" s="31">
        <f t="shared" si="1"/>
        <v>56</v>
      </c>
    </row>
    <row r="22" spans="1:4" ht="12.75">
      <c r="A22" s="4" t="s">
        <v>31</v>
      </c>
      <c r="B22" s="31">
        <f>SUM('FY07 PB'!B23)</f>
        <v>477112</v>
      </c>
      <c r="C22" s="46">
        <f t="shared" si="0"/>
        <v>0.017156853314463545</v>
      </c>
      <c r="D22" s="31">
        <f t="shared" si="1"/>
        <v>197</v>
      </c>
    </row>
    <row r="23" spans="1:4" ht="12.75">
      <c r="A23" s="4" t="s">
        <v>32</v>
      </c>
      <c r="B23" s="31">
        <f>SUM('FY07 PB'!B24)</f>
        <v>291291</v>
      </c>
      <c r="C23" s="46">
        <f t="shared" si="0"/>
        <v>0.010474766844731219</v>
      </c>
      <c r="D23" s="31">
        <f t="shared" si="1"/>
        <v>120</v>
      </c>
    </row>
    <row r="24" spans="1:4" ht="12.75">
      <c r="A24" s="4" t="s">
        <v>33</v>
      </c>
      <c r="B24" s="31">
        <f>SUM('FY07 PB'!B25)</f>
        <v>1084985</v>
      </c>
      <c r="C24" s="46">
        <f t="shared" si="0"/>
        <v>0.03901584637023012</v>
      </c>
      <c r="D24" s="31">
        <f t="shared" si="1"/>
        <v>447</v>
      </c>
    </row>
    <row r="25" spans="1:4" ht="12.75">
      <c r="A25" s="4" t="s">
        <v>34</v>
      </c>
      <c r="B25" s="31">
        <f>SUM('FY07 PB'!B26)</f>
        <v>119099</v>
      </c>
      <c r="C25" s="46">
        <f t="shared" si="0"/>
        <v>0.004282776523959351</v>
      </c>
      <c r="D25" s="31">
        <f t="shared" si="1"/>
        <v>49</v>
      </c>
    </row>
    <row r="26" spans="1:4" ht="12.75">
      <c r="A26" s="4" t="s">
        <v>35</v>
      </c>
      <c r="B26" s="31">
        <f>SUM('FY07 PB'!B27)</f>
        <v>191954</v>
      </c>
      <c r="C26" s="46">
        <f t="shared" si="0"/>
        <v>0.006902627938774409</v>
      </c>
      <c r="D26" s="31">
        <f t="shared" si="1"/>
        <v>79</v>
      </c>
    </row>
    <row r="27" spans="1:4" ht="12.75">
      <c r="A27" s="4" t="s">
        <v>36</v>
      </c>
      <c r="B27" s="31">
        <f>SUM('FY07 PB'!B28)</f>
        <v>65876</v>
      </c>
      <c r="C27" s="46">
        <f t="shared" si="0"/>
        <v>0.0023688879528152734</v>
      </c>
      <c r="D27" s="31">
        <f t="shared" si="1"/>
        <v>27</v>
      </c>
    </row>
    <row r="28" spans="1:4" ht="12.75">
      <c r="A28" s="4" t="s">
        <v>37</v>
      </c>
      <c r="B28" s="31">
        <f>SUM('FY07 PB'!B29)</f>
        <v>309487</v>
      </c>
      <c r="C28" s="46">
        <f t="shared" si="0"/>
        <v>0.011129091411939712</v>
      </c>
      <c r="D28" s="31">
        <f t="shared" si="1"/>
        <v>127</v>
      </c>
    </row>
    <row r="29" spans="1:4" ht="12.75">
      <c r="A29" s="4" t="s">
        <v>38</v>
      </c>
      <c r="B29" s="31"/>
      <c r="C29" s="46"/>
      <c r="D29" s="31"/>
    </row>
    <row r="30" spans="1:4" ht="12.75">
      <c r="A30" s="4" t="s">
        <v>8</v>
      </c>
      <c r="B30" s="31">
        <f>SUM('FY07 PB'!B31)</f>
        <v>397625</v>
      </c>
      <c r="C30" s="46">
        <f t="shared" si="0"/>
        <v>0.01429851648913372</v>
      </c>
      <c r="D30" s="31">
        <f t="shared" si="1"/>
        <v>164</v>
      </c>
    </row>
    <row r="31" spans="1:4" ht="12.75">
      <c r="A31" s="4" t="s">
        <v>51</v>
      </c>
      <c r="B31" s="32"/>
      <c r="C31" s="46"/>
      <c r="D31" s="31"/>
    </row>
    <row r="32" spans="1:4" ht="12.75">
      <c r="A32" s="4" t="s">
        <v>39</v>
      </c>
      <c r="B32" s="15"/>
      <c r="C32" s="17"/>
      <c r="D32" s="17"/>
    </row>
    <row r="33" spans="1:4" ht="12.75">
      <c r="A33" s="4" t="s">
        <v>5</v>
      </c>
      <c r="B33" s="15"/>
      <c r="C33" s="17"/>
      <c r="D33" s="17"/>
    </row>
    <row r="34" spans="1:4" ht="12.75">
      <c r="A34" s="4" t="s">
        <v>6</v>
      </c>
      <c r="B34" s="15"/>
      <c r="C34" s="17"/>
      <c r="D34" s="17"/>
    </row>
    <row r="35" spans="1:4" ht="12.75">
      <c r="A35" s="4" t="s">
        <v>9</v>
      </c>
      <c r="B35" s="32"/>
      <c r="C35" s="32"/>
      <c r="D35" s="49"/>
    </row>
    <row r="36" spans="1:4" ht="12.75">
      <c r="A36" s="4" t="s">
        <v>145</v>
      </c>
      <c r="B36" s="31"/>
      <c r="C36" s="32"/>
      <c r="D36" s="49"/>
    </row>
    <row r="37" spans="1:4" ht="12.75">
      <c r="A37" s="4" t="s">
        <v>128</v>
      </c>
      <c r="B37" s="18"/>
      <c r="C37" s="17"/>
      <c r="D37" s="18"/>
    </row>
    <row r="38" spans="1:6" ht="12.75">
      <c r="A38" s="20" t="s">
        <v>40</v>
      </c>
      <c r="B38" s="50">
        <f>SUM(B5:B37)</f>
        <v>27808829</v>
      </c>
      <c r="C38" s="47">
        <f>SUM(C5:C37)</f>
        <v>1.0000000000000004</v>
      </c>
      <c r="D38" s="50">
        <f>SUM(D5:D37)</f>
        <v>11454</v>
      </c>
      <c r="F38" s="70"/>
    </row>
    <row r="39" ht="12.75">
      <c r="A39" s="23" t="s">
        <v>68</v>
      </c>
    </row>
    <row r="40" ht="12.75">
      <c r="A40" s="111"/>
    </row>
    <row r="43" ht="12.75">
      <c r="D43" s="92">
        <v>11454</v>
      </c>
    </row>
  </sheetData>
  <mergeCells count="1">
    <mergeCell ref="B3:D3"/>
  </mergeCells>
  <printOptions/>
  <pageMargins left="0.75" right="0.75" top="1" bottom="1" header="0.51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2:D43"/>
  <sheetViews>
    <sheetView workbookViewId="0" topLeftCell="A19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</cols>
  <sheetData>
    <row r="2" ht="18">
      <c r="A2" s="25" t="s">
        <v>70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32">
        <v>8324</v>
      </c>
      <c r="C5" s="46">
        <f>SUM(B5/$B$38)</f>
        <v>0.4276832965113292</v>
      </c>
      <c r="D5" s="34">
        <f>ROUND(C5*$D$43,0)-1</f>
        <v>3680</v>
      </c>
    </row>
    <row r="6" spans="1:4" ht="12.75">
      <c r="A6" s="4" t="s">
        <v>15</v>
      </c>
      <c r="B6" s="32">
        <v>1272</v>
      </c>
      <c r="C6" s="46">
        <f>SUM(B6/$B$38)</f>
        <v>0.06535477572830499</v>
      </c>
      <c r="D6" s="31">
        <f>ROUND(C6*$D$43,0)</f>
        <v>563</v>
      </c>
    </row>
    <row r="7" spans="1:4" ht="12.75">
      <c r="A7" s="4" t="s">
        <v>16</v>
      </c>
      <c r="B7" s="32">
        <v>507</v>
      </c>
      <c r="C7" s="46">
        <f aca="true" t="shared" si="0" ref="C7:C37">SUM(B7/$B$38)</f>
        <v>0.026049427118121565</v>
      </c>
      <c r="D7" s="31">
        <f aca="true" t="shared" si="1" ref="D7:D35">ROUND(C7*$D$43,0)</f>
        <v>224</v>
      </c>
    </row>
    <row r="8" spans="1:4" ht="12.75">
      <c r="A8" s="4" t="s">
        <v>17</v>
      </c>
      <c r="B8" s="32">
        <v>736</v>
      </c>
      <c r="C8" s="46">
        <f t="shared" si="0"/>
        <v>0.03781534193084314</v>
      </c>
      <c r="D8" s="31">
        <f t="shared" si="1"/>
        <v>325</v>
      </c>
    </row>
    <row r="9" spans="1:4" ht="12.75">
      <c r="A9" s="4" t="s">
        <v>18</v>
      </c>
      <c r="B9" s="32">
        <v>874</v>
      </c>
      <c r="C9" s="46">
        <f t="shared" si="0"/>
        <v>0.04490571854287623</v>
      </c>
      <c r="D9" s="31">
        <f t="shared" si="1"/>
        <v>387</v>
      </c>
    </row>
    <row r="10" spans="1:4" ht="12.75">
      <c r="A10" s="4" t="s">
        <v>19</v>
      </c>
      <c r="B10" s="32">
        <v>2809</v>
      </c>
      <c r="C10" s="46">
        <f t="shared" si="0"/>
        <v>0.1443251297333402</v>
      </c>
      <c r="D10" s="31">
        <f t="shared" si="1"/>
        <v>1242</v>
      </c>
    </row>
    <row r="11" spans="1:4" ht="12.75">
      <c r="A11" s="4" t="s">
        <v>20</v>
      </c>
      <c r="B11" s="32">
        <v>4</v>
      </c>
      <c r="C11" s="46">
        <f t="shared" si="0"/>
        <v>0.00020551816266762575</v>
      </c>
      <c r="D11" s="31">
        <f t="shared" si="1"/>
        <v>2</v>
      </c>
    </row>
    <row r="12" spans="1:4" ht="12.75">
      <c r="A12" s="4" t="s">
        <v>21</v>
      </c>
      <c r="B12" s="32">
        <v>690</v>
      </c>
      <c r="C12" s="46">
        <f t="shared" si="0"/>
        <v>0.035451883060165446</v>
      </c>
      <c r="D12" s="31">
        <f t="shared" si="1"/>
        <v>305</v>
      </c>
    </row>
    <row r="13" spans="1:4" ht="12.75">
      <c r="A13" s="4" t="s">
        <v>22</v>
      </c>
      <c r="B13" s="32">
        <v>195</v>
      </c>
      <c r="C13" s="46">
        <f t="shared" si="0"/>
        <v>0.010019010430046755</v>
      </c>
      <c r="D13" s="31">
        <f t="shared" si="1"/>
        <v>86</v>
      </c>
    </row>
    <row r="14" spans="1:4" ht="12.75">
      <c r="A14" s="4" t="s">
        <v>23</v>
      </c>
      <c r="B14" s="32">
        <v>297</v>
      </c>
      <c r="C14" s="46">
        <f t="shared" si="0"/>
        <v>0.015259723578071212</v>
      </c>
      <c r="D14" s="31">
        <f t="shared" si="1"/>
        <v>131</v>
      </c>
    </row>
    <row r="15" spans="1:4" ht="12.75">
      <c r="A15" s="4" t="s">
        <v>24</v>
      </c>
      <c r="B15" s="32">
        <v>653</v>
      </c>
      <c r="C15" s="46">
        <f t="shared" si="0"/>
        <v>0.0335508400554899</v>
      </c>
      <c r="D15" s="31">
        <f t="shared" si="1"/>
        <v>289</v>
      </c>
    </row>
    <row r="16" spans="1:4" ht="12.75">
      <c r="A16" s="4" t="s">
        <v>25</v>
      </c>
      <c r="B16" s="32">
        <v>147</v>
      </c>
      <c r="C16" s="46">
        <f t="shared" si="0"/>
        <v>0.007552792478035246</v>
      </c>
      <c r="D16" s="31">
        <f t="shared" si="1"/>
        <v>65</v>
      </c>
    </row>
    <row r="17" spans="1:4" ht="12.75">
      <c r="A17" s="4" t="s">
        <v>26</v>
      </c>
      <c r="B17" s="32">
        <v>175</v>
      </c>
      <c r="C17" s="46">
        <f t="shared" si="0"/>
        <v>0.008991419616708627</v>
      </c>
      <c r="D17" s="31">
        <f t="shared" si="1"/>
        <v>77</v>
      </c>
    </row>
    <row r="18" spans="1:4" ht="12.75">
      <c r="A18" s="4" t="s">
        <v>27</v>
      </c>
      <c r="B18" s="32">
        <v>572</v>
      </c>
      <c r="C18" s="46">
        <f t="shared" si="0"/>
        <v>0.029389097261470484</v>
      </c>
      <c r="D18" s="31">
        <f t="shared" si="1"/>
        <v>253</v>
      </c>
    </row>
    <row r="19" spans="1:4" ht="12.75">
      <c r="A19" s="4" t="s">
        <v>28</v>
      </c>
      <c r="B19" s="32">
        <v>190</v>
      </c>
      <c r="C19" s="46">
        <f t="shared" si="0"/>
        <v>0.009762112726712223</v>
      </c>
      <c r="D19" s="31">
        <f t="shared" si="1"/>
        <v>84</v>
      </c>
    </row>
    <row r="20" spans="1:4" ht="12.75">
      <c r="A20" s="4" t="s">
        <v>29</v>
      </c>
      <c r="B20" s="32">
        <v>144</v>
      </c>
      <c r="C20" s="46">
        <f t="shared" si="0"/>
        <v>0.007398653856034527</v>
      </c>
      <c r="D20" s="31">
        <f t="shared" si="1"/>
        <v>64</v>
      </c>
    </row>
    <row r="21" spans="1:4" ht="12.75">
      <c r="A21" s="4" t="s">
        <v>30</v>
      </c>
      <c r="B21" s="32">
        <v>2</v>
      </c>
      <c r="C21" s="46">
        <f t="shared" si="0"/>
        <v>0.00010275908133381288</v>
      </c>
      <c r="D21" s="31">
        <f t="shared" si="1"/>
        <v>1</v>
      </c>
    </row>
    <row r="22" spans="1:4" ht="12.75">
      <c r="A22" s="4" t="s">
        <v>31</v>
      </c>
      <c r="B22" s="32">
        <v>334</v>
      </c>
      <c r="C22" s="46">
        <f t="shared" si="0"/>
        <v>0.01716076658274675</v>
      </c>
      <c r="D22" s="31">
        <f t="shared" si="1"/>
        <v>148</v>
      </c>
    </row>
    <row r="23" spans="1:4" ht="12.75">
      <c r="A23" s="4" t="s">
        <v>32</v>
      </c>
      <c r="B23" s="32">
        <v>0</v>
      </c>
      <c r="C23" s="46">
        <f t="shared" si="0"/>
        <v>0</v>
      </c>
      <c r="D23" s="31">
        <f t="shared" si="1"/>
        <v>0</v>
      </c>
    </row>
    <row r="24" spans="1:4" ht="12.75">
      <c r="A24" s="4" t="s">
        <v>33</v>
      </c>
      <c r="B24" s="32">
        <v>0</v>
      </c>
      <c r="C24" s="46">
        <f t="shared" si="0"/>
        <v>0</v>
      </c>
      <c r="D24" s="31">
        <f t="shared" si="1"/>
        <v>0</v>
      </c>
    </row>
    <row r="25" spans="1:4" ht="12.75">
      <c r="A25" s="4" t="s">
        <v>34</v>
      </c>
      <c r="B25" s="32">
        <v>0</v>
      </c>
      <c r="C25" s="46">
        <f t="shared" si="0"/>
        <v>0</v>
      </c>
      <c r="D25" s="31">
        <f t="shared" si="1"/>
        <v>0</v>
      </c>
    </row>
    <row r="26" spans="1:4" ht="12.75">
      <c r="A26" s="4" t="s">
        <v>35</v>
      </c>
      <c r="B26" s="32">
        <v>0</v>
      </c>
      <c r="C26" s="46">
        <f t="shared" si="0"/>
        <v>0</v>
      </c>
      <c r="D26" s="31">
        <f t="shared" si="1"/>
        <v>0</v>
      </c>
    </row>
    <row r="27" spans="1:4" ht="12.75">
      <c r="A27" s="4" t="s">
        <v>36</v>
      </c>
      <c r="B27" s="32">
        <v>0</v>
      </c>
      <c r="C27" s="46">
        <f t="shared" si="0"/>
        <v>0</v>
      </c>
      <c r="D27" s="31">
        <f t="shared" si="1"/>
        <v>0</v>
      </c>
    </row>
    <row r="28" spans="1:4" ht="12.75">
      <c r="A28" s="4" t="s">
        <v>37</v>
      </c>
      <c r="B28" s="32">
        <v>5</v>
      </c>
      <c r="C28" s="46">
        <f t="shared" si="0"/>
        <v>0.0002568977033345322</v>
      </c>
      <c r="D28" s="31">
        <f t="shared" si="1"/>
        <v>2</v>
      </c>
    </row>
    <row r="29" spans="1:4" ht="12.75">
      <c r="A29" s="4" t="s">
        <v>38</v>
      </c>
      <c r="B29" s="32">
        <v>1064</v>
      </c>
      <c r="C29" s="46">
        <f t="shared" si="0"/>
        <v>0.05466783126958845</v>
      </c>
      <c r="D29" s="31">
        <f t="shared" si="1"/>
        <v>471</v>
      </c>
    </row>
    <row r="30" spans="1:4" ht="12.75">
      <c r="A30" s="4" t="s">
        <v>8</v>
      </c>
      <c r="B30" s="32">
        <v>0</v>
      </c>
      <c r="C30" s="46">
        <f t="shared" si="0"/>
        <v>0</v>
      </c>
      <c r="D30" s="31">
        <f t="shared" si="1"/>
        <v>0</v>
      </c>
    </row>
    <row r="31" spans="1:4" ht="12.75">
      <c r="A31" s="4" t="s">
        <v>51</v>
      </c>
      <c r="B31" s="32">
        <v>0</v>
      </c>
      <c r="C31" s="46">
        <f t="shared" si="0"/>
        <v>0</v>
      </c>
      <c r="D31" s="31">
        <f t="shared" si="1"/>
        <v>0</v>
      </c>
    </row>
    <row r="32" spans="1:4" ht="12.75">
      <c r="A32" s="4" t="s">
        <v>39</v>
      </c>
      <c r="B32" s="32">
        <v>354</v>
      </c>
      <c r="C32" s="46">
        <f t="shared" si="0"/>
        <v>0.01818835739608488</v>
      </c>
      <c r="D32" s="31">
        <f t="shared" si="1"/>
        <v>157</v>
      </c>
    </row>
    <row r="33" spans="1:4" ht="12.75">
      <c r="A33" s="4" t="s">
        <v>5</v>
      </c>
      <c r="B33" s="32">
        <v>0</v>
      </c>
      <c r="C33" s="46">
        <f t="shared" si="0"/>
        <v>0</v>
      </c>
      <c r="D33" s="31">
        <f t="shared" si="1"/>
        <v>0</v>
      </c>
    </row>
    <row r="34" spans="1:4" ht="12.75">
      <c r="A34" s="4" t="s">
        <v>6</v>
      </c>
      <c r="B34" s="32">
        <v>6</v>
      </c>
      <c r="C34" s="46">
        <f t="shared" si="0"/>
        <v>0.0003082772440014386</v>
      </c>
      <c r="D34" s="31">
        <f t="shared" si="1"/>
        <v>3</v>
      </c>
    </row>
    <row r="35" spans="1:4" ht="12.75">
      <c r="A35" s="4" t="s">
        <v>9</v>
      </c>
      <c r="B35" s="32">
        <v>109</v>
      </c>
      <c r="C35" s="46">
        <f t="shared" si="0"/>
        <v>0.0056003699326928015</v>
      </c>
      <c r="D35" s="31">
        <f t="shared" si="1"/>
        <v>48</v>
      </c>
    </row>
    <row r="36" spans="1:4" ht="12.75">
      <c r="A36" s="4" t="s">
        <v>145</v>
      </c>
      <c r="B36" s="31">
        <v>0</v>
      </c>
      <c r="C36" s="46">
        <f t="shared" si="0"/>
        <v>0</v>
      </c>
      <c r="D36" s="49">
        <v>0</v>
      </c>
    </row>
    <row r="37" spans="1:4" ht="12.75">
      <c r="A37" s="4" t="s">
        <v>128</v>
      </c>
      <c r="B37" s="36">
        <v>0</v>
      </c>
      <c r="C37" s="46">
        <f t="shared" si="0"/>
        <v>0</v>
      </c>
      <c r="D37" s="36">
        <v>0</v>
      </c>
    </row>
    <row r="38" spans="1:4" ht="12.75">
      <c r="A38" s="20" t="s">
        <v>40</v>
      </c>
      <c r="B38" s="36">
        <f>SUM(B5:B37)</f>
        <v>19463</v>
      </c>
      <c r="C38" s="80">
        <f>SUM(C5:C37)</f>
        <v>0.9999999999999999</v>
      </c>
      <c r="D38" s="53">
        <f>SUM(D5:D37)</f>
        <v>8607</v>
      </c>
    </row>
    <row r="39" spans="1:4" ht="12.75">
      <c r="A39" s="23" t="s">
        <v>97</v>
      </c>
      <c r="D39" s="70"/>
    </row>
    <row r="40" ht="12.75">
      <c r="A40" s="23" t="s">
        <v>98</v>
      </c>
    </row>
    <row r="41" ht="12.75">
      <c r="D41" s="70"/>
    </row>
    <row r="42" ht="12.75">
      <c r="D42" s="70"/>
    </row>
    <row r="43" ht="12.75">
      <c r="D43" s="92">
        <v>8607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2:D44"/>
  <sheetViews>
    <sheetView workbookViewId="0" topLeftCell="A15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7109375" style="0" customWidth="1"/>
  </cols>
  <sheetData>
    <row r="2" ht="18">
      <c r="A2" s="25" t="s">
        <v>71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/>
      <c r="C4" s="21"/>
      <c r="D4" s="22" t="s">
        <v>43</v>
      </c>
    </row>
    <row r="5" spans="1:4" ht="12.75">
      <c r="A5" s="4" t="s">
        <v>0</v>
      </c>
      <c r="B5" s="245">
        <v>5740</v>
      </c>
      <c r="C5" s="46">
        <f>SUM(B5/$B$38)</f>
        <v>0.16824950170008207</v>
      </c>
      <c r="D5" s="117">
        <f>ROUND(C5*$D$43,0)-1</f>
        <v>1862</v>
      </c>
    </row>
    <row r="6" spans="1:4" ht="12.75">
      <c r="A6" s="4" t="s">
        <v>15</v>
      </c>
      <c r="B6" s="246">
        <v>1543</v>
      </c>
      <c r="C6" s="46">
        <f aca="true" t="shared" si="0" ref="C6:C37">SUM(B6/$B$38)</f>
        <v>0.04522804549185133</v>
      </c>
      <c r="D6" s="117">
        <f>ROUND(C6*$D$43,0)</f>
        <v>501</v>
      </c>
    </row>
    <row r="7" spans="1:4" ht="12.75">
      <c r="A7" s="4" t="s">
        <v>16</v>
      </c>
      <c r="B7" s="246">
        <v>546</v>
      </c>
      <c r="C7" s="46">
        <f t="shared" si="0"/>
        <v>0.01600422089342244</v>
      </c>
      <c r="D7" s="117">
        <f aca="true" t="shared" si="1" ref="D7:D37">ROUND(C7*$D$43,0)</f>
        <v>177</v>
      </c>
    </row>
    <row r="8" spans="1:4" ht="12.75">
      <c r="A8" s="4" t="s">
        <v>17</v>
      </c>
      <c r="B8" s="246">
        <v>1297</v>
      </c>
      <c r="C8" s="46">
        <f t="shared" si="0"/>
        <v>0.038017352561847816</v>
      </c>
      <c r="D8" s="117">
        <f t="shared" si="1"/>
        <v>421</v>
      </c>
    </row>
    <row r="9" spans="1:4" ht="12.75">
      <c r="A9" s="4" t="s">
        <v>18</v>
      </c>
      <c r="B9" s="246">
        <v>1271</v>
      </c>
      <c r="C9" s="46">
        <f t="shared" si="0"/>
        <v>0.037255246805018176</v>
      </c>
      <c r="D9" s="117">
        <f t="shared" si="1"/>
        <v>412</v>
      </c>
    </row>
    <row r="10" spans="1:4" ht="12.75">
      <c r="A10" s="4" t="s">
        <v>19</v>
      </c>
      <c r="B10" s="246">
        <v>3290</v>
      </c>
      <c r="C10" s="46">
        <f t="shared" si="0"/>
        <v>0.09643568999882753</v>
      </c>
      <c r="D10" s="117">
        <f t="shared" si="1"/>
        <v>1068</v>
      </c>
    </row>
    <row r="11" spans="1:4" ht="12.75">
      <c r="A11" s="4" t="s">
        <v>20</v>
      </c>
      <c r="B11" s="246">
        <v>199</v>
      </c>
      <c r="C11" s="46">
        <f t="shared" si="0"/>
        <v>0.005833040215734553</v>
      </c>
      <c r="D11" s="117">
        <f t="shared" si="1"/>
        <v>65</v>
      </c>
    </row>
    <row r="12" spans="1:4" ht="12.75">
      <c r="A12" s="4" t="s">
        <v>21</v>
      </c>
      <c r="B12" s="246">
        <v>1359</v>
      </c>
      <c r="C12" s="46">
        <f t="shared" si="0"/>
        <v>0.03983468167428773</v>
      </c>
      <c r="D12" s="117">
        <f t="shared" si="1"/>
        <v>441</v>
      </c>
    </row>
    <row r="13" spans="1:4" ht="12.75">
      <c r="A13" s="4" t="s">
        <v>22</v>
      </c>
      <c r="B13" s="246">
        <v>652</v>
      </c>
      <c r="C13" s="46">
        <f t="shared" si="0"/>
        <v>0.019111267440497126</v>
      </c>
      <c r="D13" s="117">
        <f t="shared" si="1"/>
        <v>212</v>
      </c>
    </row>
    <row r="14" spans="1:4" ht="12.75">
      <c r="A14" s="4" t="s">
        <v>23</v>
      </c>
      <c r="B14" s="246">
        <v>34</v>
      </c>
      <c r="C14" s="46">
        <f t="shared" si="0"/>
        <v>0.0009965998358541447</v>
      </c>
      <c r="D14" s="117">
        <f t="shared" si="1"/>
        <v>11</v>
      </c>
    </row>
    <row r="15" spans="1:4" ht="12.75">
      <c r="A15" s="4" t="s">
        <v>24</v>
      </c>
      <c r="B15" s="246">
        <v>360</v>
      </c>
      <c r="C15" s="46">
        <f t="shared" si="0"/>
        <v>0.010552233556102708</v>
      </c>
      <c r="D15" s="117">
        <f t="shared" si="1"/>
        <v>117</v>
      </c>
    </row>
    <row r="16" spans="1:4" ht="12.75">
      <c r="A16" s="4" t="s">
        <v>25</v>
      </c>
      <c r="B16" s="246">
        <v>534</v>
      </c>
      <c r="C16" s="46">
        <f t="shared" si="0"/>
        <v>0.015652479774885684</v>
      </c>
      <c r="D16" s="117">
        <f t="shared" si="1"/>
        <v>173</v>
      </c>
    </row>
    <row r="17" spans="1:4" ht="12.75">
      <c r="A17" s="4" t="s">
        <v>26</v>
      </c>
      <c r="B17" s="246">
        <v>347</v>
      </c>
      <c r="C17" s="46">
        <f t="shared" si="0"/>
        <v>0.010171180677687889</v>
      </c>
      <c r="D17" s="117">
        <f t="shared" si="1"/>
        <v>113</v>
      </c>
    </row>
    <row r="18" spans="1:4" ht="12.75">
      <c r="A18" s="4" t="s">
        <v>27</v>
      </c>
      <c r="B18" s="246">
        <v>1465</v>
      </c>
      <c r="C18" s="46">
        <f t="shared" si="0"/>
        <v>0.04294172822136241</v>
      </c>
      <c r="D18" s="117">
        <f t="shared" si="1"/>
        <v>475</v>
      </c>
    </row>
    <row r="19" spans="1:4" ht="12.75">
      <c r="A19" s="4" t="s">
        <v>28</v>
      </c>
      <c r="B19" s="246">
        <v>377</v>
      </c>
      <c r="C19" s="46">
        <f t="shared" si="0"/>
        <v>0.01105053347402978</v>
      </c>
      <c r="D19" s="117">
        <f t="shared" si="1"/>
        <v>122</v>
      </c>
    </row>
    <row r="20" spans="1:4" ht="12.75">
      <c r="A20" s="4" t="s">
        <v>29</v>
      </c>
      <c r="B20" s="246">
        <v>442</v>
      </c>
      <c r="C20" s="46">
        <f t="shared" si="0"/>
        <v>0.012955797866103881</v>
      </c>
      <c r="D20" s="117">
        <f t="shared" si="1"/>
        <v>143</v>
      </c>
    </row>
    <row r="21" spans="1:4" ht="12.75">
      <c r="A21" s="4" t="s">
        <v>30</v>
      </c>
      <c r="B21" s="246">
        <v>78</v>
      </c>
      <c r="C21" s="46">
        <f t="shared" si="0"/>
        <v>0.0022863172704889203</v>
      </c>
      <c r="D21" s="117">
        <f t="shared" si="1"/>
        <v>25</v>
      </c>
    </row>
    <row r="22" spans="1:4" ht="12.75">
      <c r="A22" s="4" t="s">
        <v>31</v>
      </c>
      <c r="B22" s="246">
        <v>855</v>
      </c>
      <c r="C22" s="46">
        <f t="shared" si="0"/>
        <v>0.02506155469574393</v>
      </c>
      <c r="D22" s="117">
        <f t="shared" si="1"/>
        <v>277</v>
      </c>
    </row>
    <row r="23" spans="1:4" ht="12.75">
      <c r="A23" s="4" t="s">
        <v>32</v>
      </c>
      <c r="B23" s="246">
        <v>91</v>
      </c>
      <c r="C23" s="46">
        <f t="shared" si="0"/>
        <v>0.00266737014890374</v>
      </c>
      <c r="D23" s="117">
        <f t="shared" si="1"/>
        <v>30</v>
      </c>
    </row>
    <row r="24" spans="1:4" ht="12.75">
      <c r="A24" s="4" t="s">
        <v>33</v>
      </c>
      <c r="B24" s="246">
        <v>157</v>
      </c>
      <c r="C24" s="46">
        <f t="shared" si="0"/>
        <v>0.0046019463008559035</v>
      </c>
      <c r="D24" s="117">
        <f t="shared" si="1"/>
        <v>51</v>
      </c>
    </row>
    <row r="25" spans="1:4" ht="12.75">
      <c r="A25" s="4" t="s">
        <v>34</v>
      </c>
      <c r="B25" s="246">
        <v>64</v>
      </c>
      <c r="C25" s="46">
        <f t="shared" si="0"/>
        <v>0.001875952632196037</v>
      </c>
      <c r="D25" s="117">
        <f t="shared" si="1"/>
        <v>21</v>
      </c>
    </row>
    <row r="26" spans="1:4" ht="12.75">
      <c r="A26" s="4" t="s">
        <v>35</v>
      </c>
      <c r="B26" s="246">
        <v>49</v>
      </c>
      <c r="C26" s="46">
        <f t="shared" si="0"/>
        <v>0.0014362762340250908</v>
      </c>
      <c r="D26" s="117">
        <f t="shared" si="1"/>
        <v>16</v>
      </c>
    </row>
    <row r="27" spans="1:4" ht="12.75">
      <c r="A27" s="4" t="s">
        <v>36</v>
      </c>
      <c r="B27" s="246">
        <v>82</v>
      </c>
      <c r="C27" s="46">
        <f t="shared" si="0"/>
        <v>0.0024035643100011723</v>
      </c>
      <c r="D27" s="117">
        <f t="shared" si="1"/>
        <v>27</v>
      </c>
    </row>
    <row r="28" spans="1:4" ht="12.75">
      <c r="A28" s="4" t="s">
        <v>37</v>
      </c>
      <c r="B28" s="246">
        <v>1340</v>
      </c>
      <c r="C28" s="46">
        <f t="shared" si="0"/>
        <v>0.039277758236604524</v>
      </c>
      <c r="D28" s="117">
        <f t="shared" si="1"/>
        <v>435</v>
      </c>
    </row>
    <row r="29" spans="1:4" ht="12.75">
      <c r="A29" s="4" t="s">
        <v>38</v>
      </c>
      <c r="B29" s="246">
        <v>0</v>
      </c>
      <c r="C29" s="46">
        <f t="shared" si="0"/>
        <v>0</v>
      </c>
      <c r="D29" s="117">
        <f t="shared" si="1"/>
        <v>0</v>
      </c>
    </row>
    <row r="30" spans="1:4" ht="12.75">
      <c r="A30" s="4" t="s">
        <v>8</v>
      </c>
      <c r="B30" s="246">
        <v>1224</v>
      </c>
      <c r="C30" s="46">
        <f t="shared" si="0"/>
        <v>0.035877594090749206</v>
      </c>
      <c r="D30" s="117">
        <f t="shared" si="1"/>
        <v>397</v>
      </c>
    </row>
    <row r="31" spans="1:4" ht="12.75">
      <c r="A31" s="4" t="s">
        <v>51</v>
      </c>
      <c r="B31" s="246">
        <v>1337</v>
      </c>
      <c r="C31" s="46">
        <f t="shared" si="0"/>
        <v>0.039189822956970335</v>
      </c>
      <c r="D31" s="117">
        <f t="shared" si="1"/>
        <v>434</v>
      </c>
    </row>
    <row r="32" spans="1:4" ht="12.75">
      <c r="A32" s="4" t="s">
        <v>39</v>
      </c>
      <c r="B32" s="246">
        <v>3598</v>
      </c>
      <c r="C32" s="46">
        <f t="shared" si="0"/>
        <v>0.10546371204127096</v>
      </c>
      <c r="D32" s="117">
        <f t="shared" si="1"/>
        <v>1167</v>
      </c>
    </row>
    <row r="33" spans="1:4" ht="12.75">
      <c r="A33" s="4" t="s">
        <v>5</v>
      </c>
      <c r="B33" s="246">
        <v>451</v>
      </c>
      <c r="C33" s="46">
        <f t="shared" si="0"/>
        <v>0.013219603705006449</v>
      </c>
      <c r="D33" s="117">
        <f t="shared" si="1"/>
        <v>146</v>
      </c>
    </row>
    <row r="34" spans="1:4" ht="12.75">
      <c r="A34" s="4" t="s">
        <v>6</v>
      </c>
      <c r="B34" s="246">
        <v>1770</v>
      </c>
      <c r="C34" s="46">
        <f t="shared" si="0"/>
        <v>0.05188181498417165</v>
      </c>
      <c r="D34" s="117">
        <f t="shared" si="1"/>
        <v>574</v>
      </c>
    </row>
    <row r="35" spans="1:4" ht="12.75">
      <c r="A35" s="4" t="s">
        <v>9</v>
      </c>
      <c r="B35" s="246">
        <v>1786</v>
      </c>
      <c r="C35" s="46">
        <f t="shared" si="0"/>
        <v>0.05235080314222066</v>
      </c>
      <c r="D35" s="117">
        <f t="shared" si="1"/>
        <v>580</v>
      </c>
    </row>
    <row r="36" spans="1:4" ht="12.75">
      <c r="A36" s="4" t="s">
        <v>145</v>
      </c>
      <c r="B36" s="246">
        <v>1310</v>
      </c>
      <c r="C36" s="46">
        <f t="shared" si="0"/>
        <v>0.038398405440262635</v>
      </c>
      <c r="D36" s="117">
        <f t="shared" si="1"/>
        <v>425</v>
      </c>
    </row>
    <row r="37" spans="1:4" ht="12.75">
      <c r="A37" s="4" t="s">
        <v>128</v>
      </c>
      <c r="B37" s="247">
        <v>468</v>
      </c>
      <c r="C37" s="46">
        <f t="shared" si="0"/>
        <v>0.01371790362293352</v>
      </c>
      <c r="D37" s="244">
        <f t="shared" si="1"/>
        <v>152</v>
      </c>
    </row>
    <row r="38" spans="1:4" ht="12.75">
      <c r="A38" s="20" t="s">
        <v>40</v>
      </c>
      <c r="B38" s="36">
        <f>SUM(B5:B37)</f>
        <v>34116</v>
      </c>
      <c r="C38" s="47">
        <f>SUM(C5:C37)</f>
        <v>0.9999999999999999</v>
      </c>
      <c r="D38" s="53">
        <f>SUM(D5:D37)</f>
        <v>11070</v>
      </c>
    </row>
    <row r="39" ht="12.75">
      <c r="A39" s="23" t="s">
        <v>96</v>
      </c>
    </row>
    <row r="40" ht="12.75">
      <c r="D40" s="70"/>
    </row>
    <row r="43" ht="12.75">
      <c r="D43" s="92">
        <v>11070</v>
      </c>
    </row>
    <row r="44" ht="12.75">
      <c r="D44" s="112"/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2:F43"/>
  <sheetViews>
    <sheetView workbookViewId="0" topLeftCell="A26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</cols>
  <sheetData>
    <row r="2" ht="18">
      <c r="A2" s="25" t="s">
        <v>99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34">
        <f>SUM('FY07 PB'!B6)</f>
        <v>4688307</v>
      </c>
      <c r="C5" s="46">
        <f>SUM(B5/$B$38)</f>
        <v>0.16859059401602275</v>
      </c>
      <c r="D5" s="34">
        <f>ROUND(C5*$D$43,0)-2</f>
        <v>6838</v>
      </c>
    </row>
    <row r="6" spans="1:4" ht="12.75">
      <c r="A6" s="4" t="s">
        <v>15</v>
      </c>
      <c r="B6" s="31">
        <f>SUM('FY07 PB'!B7)</f>
        <v>2865993</v>
      </c>
      <c r="C6" s="46">
        <f>SUM(B6/$B$38)</f>
        <v>0.10306054239105142</v>
      </c>
      <c r="D6" s="31">
        <f>ROUND(C6*$D$43,0)</f>
        <v>4181</v>
      </c>
    </row>
    <row r="7" spans="1:4" ht="12.75">
      <c r="A7" s="4" t="s">
        <v>16</v>
      </c>
      <c r="B7" s="31">
        <f>SUM('FY07 PB'!B8)</f>
        <v>381434</v>
      </c>
      <c r="C7" s="46">
        <f aca="true" t="shared" si="0" ref="C7:C30">SUM(B7/$B$38)</f>
        <v>0.013716291326038936</v>
      </c>
      <c r="D7" s="31">
        <f aca="true" t="shared" si="1" ref="D7:D30">ROUND(C7*$D$43,0)</f>
        <v>556</v>
      </c>
    </row>
    <row r="8" spans="1:4" ht="12.75">
      <c r="A8" s="4" t="s">
        <v>17</v>
      </c>
      <c r="B8" s="31">
        <f>SUM('FY07 PB'!B9)</f>
        <v>1823846</v>
      </c>
      <c r="C8" s="46">
        <f t="shared" si="0"/>
        <v>0.06558514204247867</v>
      </c>
      <c r="D8" s="31">
        <f t="shared" si="1"/>
        <v>2661</v>
      </c>
    </row>
    <row r="9" spans="1:4" ht="12.75">
      <c r="A9" s="4" t="s">
        <v>18</v>
      </c>
      <c r="B9" s="31">
        <f>SUM('FY07 PB'!B10)</f>
        <v>1506344</v>
      </c>
      <c r="C9" s="46">
        <f t="shared" si="0"/>
        <v>0.054167832813096874</v>
      </c>
      <c r="D9" s="31">
        <f t="shared" si="1"/>
        <v>2198</v>
      </c>
    </row>
    <row r="10" spans="1:4" ht="12.75">
      <c r="A10" s="4" t="s">
        <v>19</v>
      </c>
      <c r="B10" s="31">
        <f>SUM('FY07 PB'!B11)</f>
        <v>4343644</v>
      </c>
      <c r="C10" s="46">
        <f t="shared" si="0"/>
        <v>0.15619658058956742</v>
      </c>
      <c r="D10" s="31">
        <f t="shared" si="1"/>
        <v>6337</v>
      </c>
    </row>
    <row r="11" spans="1:4" ht="12.75">
      <c r="A11" s="4" t="s">
        <v>20</v>
      </c>
      <c r="B11" s="31">
        <f>SUM('FY07 PB'!B12)</f>
        <v>1900262</v>
      </c>
      <c r="C11" s="46">
        <f t="shared" si="0"/>
        <v>0.06833304631417597</v>
      </c>
      <c r="D11" s="31">
        <f t="shared" si="1"/>
        <v>2772</v>
      </c>
    </row>
    <row r="12" spans="1:4" ht="12.75">
      <c r="A12" s="4" t="s">
        <v>21</v>
      </c>
      <c r="B12" s="31">
        <f>SUM('FY07 PB'!B13)</f>
        <v>1242239</v>
      </c>
      <c r="C12" s="46">
        <f t="shared" si="0"/>
        <v>0.04467066916050295</v>
      </c>
      <c r="D12" s="31">
        <f t="shared" si="1"/>
        <v>1812</v>
      </c>
    </row>
    <row r="13" spans="1:4" ht="12.75">
      <c r="A13" s="4" t="s">
        <v>22</v>
      </c>
      <c r="B13" s="31">
        <f>SUM('FY07 PB'!B14)</f>
        <v>653375</v>
      </c>
      <c r="C13" s="46">
        <f t="shared" si="0"/>
        <v>0.02349523599141841</v>
      </c>
      <c r="D13" s="31">
        <f t="shared" si="1"/>
        <v>953</v>
      </c>
    </row>
    <row r="14" spans="1:4" ht="12.75">
      <c r="A14" s="4" t="s">
        <v>23</v>
      </c>
      <c r="B14" s="31">
        <f>SUM('FY07 PB'!B15)</f>
        <v>629630</v>
      </c>
      <c r="C14" s="46">
        <f t="shared" si="0"/>
        <v>0.022641370479857315</v>
      </c>
      <c r="D14" s="31">
        <f t="shared" si="1"/>
        <v>919</v>
      </c>
    </row>
    <row r="15" spans="1:4" ht="12.75">
      <c r="A15" s="4" t="s">
        <v>24</v>
      </c>
      <c r="B15" s="31">
        <f>SUM('FY07 PB'!B16)</f>
        <v>1027276</v>
      </c>
      <c r="C15" s="46">
        <f t="shared" si="0"/>
        <v>0.036940642124844596</v>
      </c>
      <c r="D15" s="31">
        <f t="shared" si="1"/>
        <v>1499</v>
      </c>
    </row>
    <row r="16" spans="1:4" ht="12.75">
      <c r="A16" s="4" t="s">
        <v>25</v>
      </c>
      <c r="B16" s="31">
        <f>SUM('FY07 PB'!B17)</f>
        <v>498443</v>
      </c>
      <c r="C16" s="46">
        <f t="shared" si="0"/>
        <v>0.01792391186266779</v>
      </c>
      <c r="D16" s="31">
        <f t="shared" si="1"/>
        <v>727</v>
      </c>
    </row>
    <row r="17" spans="1:4" ht="12.75">
      <c r="A17" s="4" t="s">
        <v>26</v>
      </c>
      <c r="B17" s="31">
        <f>SUM('FY07 PB'!B18)</f>
        <v>386829</v>
      </c>
      <c r="C17" s="46">
        <f t="shared" si="0"/>
        <v>0.013910294460798762</v>
      </c>
      <c r="D17" s="31">
        <f t="shared" si="1"/>
        <v>564</v>
      </c>
    </row>
    <row r="18" spans="1:4" ht="12.75">
      <c r="A18" s="4" t="s">
        <v>27</v>
      </c>
      <c r="B18" s="31">
        <f>SUM('FY07 PB'!B19)</f>
        <v>1377969</v>
      </c>
      <c r="C18" s="46">
        <f t="shared" si="0"/>
        <v>0.04955149316067929</v>
      </c>
      <c r="D18" s="31">
        <f t="shared" si="1"/>
        <v>2010</v>
      </c>
    </row>
    <row r="19" spans="1:4" ht="12.75">
      <c r="A19" s="4" t="s">
        <v>28</v>
      </c>
      <c r="B19" s="31">
        <f>SUM('FY07 PB'!B20)</f>
        <v>982820</v>
      </c>
      <c r="C19" s="46">
        <f t="shared" si="0"/>
        <v>0.035342013142660555</v>
      </c>
      <c r="D19" s="31">
        <f t="shared" si="1"/>
        <v>1434</v>
      </c>
    </row>
    <row r="20" spans="1:4" ht="12.75">
      <c r="A20" s="4" t="s">
        <v>29</v>
      </c>
      <c r="B20" s="31">
        <f>SUM('FY07 PB'!B21)</f>
        <v>428087</v>
      </c>
      <c r="C20" s="46">
        <f t="shared" si="0"/>
        <v>0.015393923994426375</v>
      </c>
      <c r="D20" s="31">
        <f t="shared" si="1"/>
        <v>625</v>
      </c>
    </row>
    <row r="21" spans="1:4" ht="12.75">
      <c r="A21" s="4" t="s">
        <v>30</v>
      </c>
      <c r="B21" s="31">
        <f>SUM('FY07 PB'!B22)</f>
        <v>134902</v>
      </c>
      <c r="C21" s="46">
        <f t="shared" si="0"/>
        <v>0.0048510492836645516</v>
      </c>
      <c r="D21" s="31">
        <f t="shared" si="1"/>
        <v>197</v>
      </c>
    </row>
    <row r="22" spans="1:4" ht="12.75">
      <c r="A22" s="4" t="s">
        <v>31</v>
      </c>
      <c r="B22" s="31">
        <f>SUM('FY07 PB'!B23)</f>
        <v>477112</v>
      </c>
      <c r="C22" s="46">
        <f t="shared" si="0"/>
        <v>0.017156853314463545</v>
      </c>
      <c r="D22" s="31">
        <f t="shared" si="1"/>
        <v>696</v>
      </c>
    </row>
    <row r="23" spans="1:4" ht="12.75">
      <c r="A23" s="4" t="s">
        <v>32</v>
      </c>
      <c r="B23" s="31">
        <f>SUM('FY07 PB'!B24)</f>
        <v>291291</v>
      </c>
      <c r="C23" s="46">
        <f t="shared" si="0"/>
        <v>0.010474766844731219</v>
      </c>
      <c r="D23" s="31">
        <f t="shared" si="1"/>
        <v>425</v>
      </c>
    </row>
    <row r="24" spans="1:4" ht="12.75">
      <c r="A24" s="4" t="s">
        <v>33</v>
      </c>
      <c r="B24" s="31">
        <f>SUM('FY07 PB'!B25)</f>
        <v>1084985</v>
      </c>
      <c r="C24" s="46">
        <f t="shared" si="0"/>
        <v>0.03901584637023012</v>
      </c>
      <c r="D24" s="31">
        <f t="shared" si="1"/>
        <v>1583</v>
      </c>
    </row>
    <row r="25" spans="1:4" ht="12.75">
      <c r="A25" s="4" t="s">
        <v>34</v>
      </c>
      <c r="B25" s="31">
        <f>SUM('FY07 PB'!B26)</f>
        <v>119099</v>
      </c>
      <c r="C25" s="46">
        <f t="shared" si="0"/>
        <v>0.004282776523959351</v>
      </c>
      <c r="D25" s="31">
        <f t="shared" si="1"/>
        <v>174</v>
      </c>
    </row>
    <row r="26" spans="1:4" ht="12.75">
      <c r="A26" s="4" t="s">
        <v>35</v>
      </c>
      <c r="B26" s="31">
        <f>SUM('FY07 PB'!B27)</f>
        <v>191954</v>
      </c>
      <c r="C26" s="46">
        <f t="shared" si="0"/>
        <v>0.006902627938774409</v>
      </c>
      <c r="D26" s="31">
        <f t="shared" si="1"/>
        <v>280</v>
      </c>
    </row>
    <row r="27" spans="1:4" ht="12.75">
      <c r="A27" s="4" t="s">
        <v>36</v>
      </c>
      <c r="B27" s="31">
        <f>SUM('FY07 PB'!B28)</f>
        <v>65876</v>
      </c>
      <c r="C27" s="46">
        <f t="shared" si="0"/>
        <v>0.0023688879528152734</v>
      </c>
      <c r="D27" s="31">
        <f t="shared" si="1"/>
        <v>96</v>
      </c>
    </row>
    <row r="28" spans="1:4" ht="12.75">
      <c r="A28" s="4" t="s">
        <v>37</v>
      </c>
      <c r="B28" s="31">
        <f>SUM('FY07 PB'!B29)</f>
        <v>309487</v>
      </c>
      <c r="C28" s="46">
        <f t="shared" si="0"/>
        <v>0.011129091411939712</v>
      </c>
      <c r="D28" s="31">
        <f t="shared" si="1"/>
        <v>451</v>
      </c>
    </row>
    <row r="29" spans="1:4" ht="12.75">
      <c r="A29" s="4" t="s">
        <v>38</v>
      </c>
      <c r="B29" s="31">
        <f>SUM('FY07 PB'!B30)</f>
        <v>0</v>
      </c>
      <c r="C29" s="46">
        <f t="shared" si="0"/>
        <v>0</v>
      </c>
      <c r="D29" s="31">
        <f t="shared" si="1"/>
        <v>0</v>
      </c>
    </row>
    <row r="30" spans="1:4" ht="12.75">
      <c r="A30" s="4" t="s">
        <v>8</v>
      </c>
      <c r="B30" s="31">
        <f>SUM('FY07 PB'!B31)</f>
        <v>397625</v>
      </c>
      <c r="C30" s="46">
        <f t="shared" si="0"/>
        <v>0.01429851648913372</v>
      </c>
      <c r="D30" s="31">
        <f t="shared" si="1"/>
        <v>580</v>
      </c>
    </row>
    <row r="31" spans="1:4" ht="12.75">
      <c r="A31" s="4" t="s">
        <v>51</v>
      </c>
      <c r="B31" s="32"/>
      <c r="C31" s="17"/>
      <c r="D31" s="31"/>
    </row>
    <row r="32" spans="1:4" ht="12.75">
      <c r="A32" s="4" t="s">
        <v>39</v>
      </c>
      <c r="B32" s="15"/>
      <c r="C32" s="17"/>
      <c r="D32" s="31"/>
    </row>
    <row r="33" spans="1:4" ht="12.75">
      <c r="A33" s="4" t="s">
        <v>5</v>
      </c>
      <c r="B33" s="15"/>
      <c r="C33" s="17"/>
      <c r="D33" s="31"/>
    </row>
    <row r="34" spans="1:4" ht="12.75">
      <c r="A34" s="4" t="s">
        <v>6</v>
      </c>
      <c r="B34" s="15"/>
      <c r="C34" s="17"/>
      <c r="D34" s="31"/>
    </row>
    <row r="35" spans="1:4" ht="12.75">
      <c r="A35" s="4" t="s">
        <v>9</v>
      </c>
      <c r="B35" s="32"/>
      <c r="C35" s="32"/>
      <c r="D35" s="49"/>
    </row>
    <row r="36" spans="1:4" ht="12.75">
      <c r="A36" s="4" t="s">
        <v>145</v>
      </c>
      <c r="B36" s="31"/>
      <c r="C36" s="32"/>
      <c r="D36" s="49"/>
    </row>
    <row r="37" spans="1:4" ht="12.75">
      <c r="A37" s="4" t="s">
        <v>128</v>
      </c>
      <c r="B37" s="18"/>
      <c r="C37" s="17"/>
      <c r="D37" s="18"/>
    </row>
    <row r="38" spans="1:6" ht="12.75">
      <c r="A38" s="20" t="s">
        <v>40</v>
      </c>
      <c r="B38" s="50">
        <f>SUM(B5:B34)</f>
        <v>27808829</v>
      </c>
      <c r="C38" s="47">
        <f>SUM(C5:C30)</f>
        <v>1.0000000000000004</v>
      </c>
      <c r="D38" s="53">
        <f>SUM(D5:D37)</f>
        <v>40568</v>
      </c>
      <c r="F38" s="70"/>
    </row>
    <row r="39" ht="12.75">
      <c r="A39" s="23" t="s">
        <v>309</v>
      </c>
    </row>
    <row r="43" ht="12.75">
      <c r="D43" s="92">
        <v>40569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2:D43"/>
  <sheetViews>
    <sheetView workbookViewId="0" topLeftCell="A18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7109375" style="0" customWidth="1"/>
  </cols>
  <sheetData>
    <row r="2" ht="18">
      <c r="A2" s="25" t="s">
        <v>72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129</v>
      </c>
      <c r="C4" s="21" t="s">
        <v>42</v>
      </c>
      <c r="D4" s="22" t="s">
        <v>43</v>
      </c>
    </row>
    <row r="5" spans="1:4" ht="12.75">
      <c r="A5" s="4" t="s">
        <v>0</v>
      </c>
      <c r="B5" s="34">
        <f>SUM('FY07 PB'!F6)</f>
        <v>3291698</v>
      </c>
      <c r="C5" s="71">
        <f>SUM(B5/$B$38)</f>
        <v>0.14303224369438036</v>
      </c>
      <c r="D5" s="34">
        <f>ROUND(C5*$D$43,0)+1</f>
        <v>4117</v>
      </c>
    </row>
    <row r="6" spans="1:4" ht="12.75">
      <c r="A6" s="4" t="s">
        <v>15</v>
      </c>
      <c r="B6" s="31">
        <f>SUM('FY07 PB'!F7)</f>
        <v>2603396</v>
      </c>
      <c r="C6" s="71">
        <f aca="true" t="shared" si="0" ref="C6:C30">SUM(B6/$B$38)</f>
        <v>0.11312385616936155</v>
      </c>
      <c r="D6" s="32">
        <f>ROUND(C6*$D$43,0)</f>
        <v>3255</v>
      </c>
    </row>
    <row r="7" spans="1:4" ht="12.75">
      <c r="A7" s="4" t="s">
        <v>16</v>
      </c>
      <c r="B7" s="31">
        <f>SUM('FY07 PB'!F8)</f>
        <v>303856</v>
      </c>
      <c r="C7" s="71">
        <f t="shared" si="0"/>
        <v>0.013203278502462753</v>
      </c>
      <c r="D7" s="32">
        <f aca="true" t="shared" si="1" ref="D7:D30">ROUND(C7*$D$43,0)</f>
        <v>380</v>
      </c>
    </row>
    <row r="8" spans="1:4" ht="12.75">
      <c r="A8" s="4" t="s">
        <v>17</v>
      </c>
      <c r="B8" s="31">
        <f>SUM('FY07 PB'!F9)</f>
        <v>1602742</v>
      </c>
      <c r="C8" s="71">
        <f t="shared" si="0"/>
        <v>0.06964301838237243</v>
      </c>
      <c r="D8" s="32">
        <f t="shared" si="1"/>
        <v>2004</v>
      </c>
    </row>
    <row r="9" spans="1:4" ht="12.75">
      <c r="A9" s="4" t="s">
        <v>18</v>
      </c>
      <c r="B9" s="31">
        <f>SUM('FY07 PB'!F10)</f>
        <v>1314455</v>
      </c>
      <c r="C9" s="71">
        <f t="shared" si="0"/>
        <v>0.05711625060540084</v>
      </c>
      <c r="D9" s="32">
        <f t="shared" si="1"/>
        <v>1643</v>
      </c>
    </row>
    <row r="10" spans="1:4" ht="12.75">
      <c r="A10" s="4" t="s">
        <v>19</v>
      </c>
      <c r="B10" s="31">
        <f>SUM('FY07 PB'!F11)</f>
        <v>3567961</v>
      </c>
      <c r="C10" s="71">
        <f t="shared" si="0"/>
        <v>0.1550365395744218</v>
      </c>
      <c r="D10" s="32">
        <f t="shared" si="1"/>
        <v>4461</v>
      </c>
    </row>
    <row r="11" spans="1:4" ht="12.75">
      <c r="A11" s="4" t="s">
        <v>20</v>
      </c>
      <c r="B11" s="31">
        <f>SUM('FY07 PB'!F12)</f>
        <v>1850924</v>
      </c>
      <c r="C11" s="71">
        <f t="shared" si="0"/>
        <v>0.0804271268590792</v>
      </c>
      <c r="D11" s="32">
        <f t="shared" si="1"/>
        <v>2314</v>
      </c>
    </row>
    <row r="12" spans="1:4" ht="12.75">
      <c r="A12" s="4" t="s">
        <v>21</v>
      </c>
      <c r="B12" s="31">
        <f>SUM('FY07 PB'!F13)</f>
        <v>1030176</v>
      </c>
      <c r="C12" s="71">
        <f t="shared" si="0"/>
        <v>0.04476364012740597</v>
      </c>
      <c r="D12" s="32">
        <f t="shared" si="1"/>
        <v>1288</v>
      </c>
    </row>
    <row r="13" spans="1:4" ht="12.75">
      <c r="A13" s="4" t="s">
        <v>22</v>
      </c>
      <c r="B13" s="31">
        <f>SUM('FY07 PB'!F14)</f>
        <v>564237</v>
      </c>
      <c r="C13" s="71">
        <f t="shared" si="0"/>
        <v>0.02451746304958295</v>
      </c>
      <c r="D13" s="32">
        <f t="shared" si="1"/>
        <v>705</v>
      </c>
    </row>
    <row r="14" spans="1:4" ht="12.75">
      <c r="A14" s="4" t="s">
        <v>23</v>
      </c>
      <c r="B14" s="31">
        <f>SUM('FY07 PB'!F15)</f>
        <v>445910</v>
      </c>
      <c r="C14" s="71">
        <f t="shared" si="0"/>
        <v>0.019375868559558362</v>
      </c>
      <c r="D14" s="32">
        <f t="shared" si="1"/>
        <v>558</v>
      </c>
    </row>
    <row r="15" spans="1:4" ht="12.75">
      <c r="A15" s="4" t="s">
        <v>24</v>
      </c>
      <c r="B15" s="31">
        <f>SUM('FY07 PB'!F16)</f>
        <v>886759</v>
      </c>
      <c r="C15" s="71">
        <f t="shared" si="0"/>
        <v>0.0385318244219807</v>
      </c>
      <c r="D15" s="32">
        <f t="shared" si="1"/>
        <v>1109</v>
      </c>
    </row>
    <row r="16" spans="1:4" ht="12.75">
      <c r="A16" s="4" t="s">
        <v>25</v>
      </c>
      <c r="B16" s="31">
        <f>SUM('FY07 PB'!F17)</f>
        <v>425207</v>
      </c>
      <c r="C16" s="71">
        <f t="shared" si="0"/>
        <v>0.018476273110278156</v>
      </c>
      <c r="D16" s="32">
        <f t="shared" si="1"/>
        <v>532</v>
      </c>
    </row>
    <row r="17" spans="1:4" ht="12.75">
      <c r="A17" s="4" t="s">
        <v>26</v>
      </c>
      <c r="B17" s="31">
        <f>SUM('FY07 PB'!F18)</f>
        <v>334528</v>
      </c>
      <c r="C17" s="71">
        <f t="shared" si="0"/>
        <v>0.01453605112576964</v>
      </c>
      <c r="D17" s="32">
        <f t="shared" si="1"/>
        <v>418</v>
      </c>
    </row>
    <row r="18" spans="1:4" ht="12.75">
      <c r="A18" s="4" t="s">
        <v>27</v>
      </c>
      <c r="B18" s="31">
        <f>SUM('FY07 PB'!F19)</f>
        <v>1156860</v>
      </c>
      <c r="C18" s="71">
        <f t="shared" si="0"/>
        <v>0.05026836649057139</v>
      </c>
      <c r="D18" s="32">
        <f t="shared" si="1"/>
        <v>1446</v>
      </c>
    </row>
    <row r="19" spans="1:4" ht="12.75">
      <c r="A19" s="4" t="s">
        <v>28</v>
      </c>
      <c r="B19" s="31">
        <f>SUM('FY07 PB'!F20)</f>
        <v>849304</v>
      </c>
      <c r="C19" s="71">
        <f t="shared" si="0"/>
        <v>0.03690431403446246</v>
      </c>
      <c r="D19" s="32">
        <f t="shared" si="1"/>
        <v>1062</v>
      </c>
    </row>
    <row r="20" spans="1:4" ht="12.75">
      <c r="A20" s="4" t="s">
        <v>29</v>
      </c>
      <c r="B20" s="31">
        <f>SUM('FY07 PB'!F21)</f>
        <v>359021</v>
      </c>
      <c r="C20" s="71">
        <f t="shared" si="0"/>
        <v>0.015600331246487416</v>
      </c>
      <c r="D20" s="32">
        <f t="shared" si="1"/>
        <v>449</v>
      </c>
    </row>
    <row r="21" spans="1:4" ht="12.75">
      <c r="A21" s="4" t="s">
        <v>30</v>
      </c>
      <c r="B21" s="31">
        <f>SUM('FY07 PB'!F22)</f>
        <v>122316</v>
      </c>
      <c r="C21" s="71">
        <f t="shared" si="0"/>
        <v>0.005314926193023123</v>
      </c>
      <c r="D21" s="32">
        <f t="shared" si="1"/>
        <v>153</v>
      </c>
    </row>
    <row r="22" spans="1:4" ht="12.75">
      <c r="A22" s="4" t="s">
        <v>31</v>
      </c>
      <c r="B22" s="31">
        <f>SUM('FY07 PB'!F23)</f>
        <v>361573</v>
      </c>
      <c r="C22" s="71">
        <f t="shared" si="0"/>
        <v>0.01571122182208337</v>
      </c>
      <c r="D22" s="32">
        <f t="shared" si="1"/>
        <v>452</v>
      </c>
    </row>
    <row r="23" spans="1:4" ht="12.75">
      <c r="A23" s="4" t="s">
        <v>32</v>
      </c>
      <c r="B23" s="31">
        <f>SUM('FY07 PB'!F24)</f>
        <v>268038</v>
      </c>
      <c r="C23" s="71">
        <f t="shared" si="0"/>
        <v>0.011646899726327969</v>
      </c>
      <c r="D23" s="32">
        <f t="shared" si="1"/>
        <v>335</v>
      </c>
    </row>
    <row r="24" spans="1:4" ht="12.75">
      <c r="A24" s="4" t="s">
        <v>33</v>
      </c>
      <c r="B24" s="31">
        <f>SUM('FY07 PB'!F25)</f>
        <v>1057155</v>
      </c>
      <c r="C24" s="71">
        <f t="shared" si="0"/>
        <v>0.045935942964006014</v>
      </c>
      <c r="D24" s="32">
        <f t="shared" si="1"/>
        <v>1322</v>
      </c>
    </row>
    <row r="25" spans="1:4" ht="12.75">
      <c r="A25" s="4" t="s">
        <v>34</v>
      </c>
      <c r="B25" s="31">
        <f>SUM('FY07 PB'!F26)</f>
        <v>97616</v>
      </c>
      <c r="C25" s="71">
        <f t="shared" si="0"/>
        <v>0.004241651421385143</v>
      </c>
      <c r="D25" s="32">
        <f t="shared" si="1"/>
        <v>122</v>
      </c>
    </row>
    <row r="26" spans="1:4" ht="12.75">
      <c r="A26" s="4" t="s">
        <v>35</v>
      </c>
      <c r="B26" s="31">
        <f>SUM('FY07 PB'!F27)</f>
        <v>179975</v>
      </c>
      <c r="C26" s="71">
        <f t="shared" si="0"/>
        <v>0.007820349272289287</v>
      </c>
      <c r="D26" s="32">
        <f t="shared" si="1"/>
        <v>225</v>
      </c>
    </row>
    <row r="27" spans="1:4" ht="12.75">
      <c r="A27" s="4" t="s">
        <v>36</v>
      </c>
      <c r="B27" s="31">
        <f>SUM('FY07 PB'!F28)</f>
        <v>54005</v>
      </c>
      <c r="C27" s="71">
        <f t="shared" si="0"/>
        <v>0.002346647936935591</v>
      </c>
      <c r="D27" s="32">
        <f t="shared" si="1"/>
        <v>68</v>
      </c>
    </row>
    <row r="28" spans="1:4" ht="12.75">
      <c r="A28" s="4" t="s">
        <v>37</v>
      </c>
      <c r="B28" s="31">
        <f>SUM('FY07 PB'!F29)</f>
        <v>68819</v>
      </c>
      <c r="C28" s="71">
        <f t="shared" si="0"/>
        <v>0.0029903520853989526</v>
      </c>
      <c r="D28" s="32">
        <f t="shared" si="1"/>
        <v>86</v>
      </c>
    </row>
    <row r="29" spans="1:4" ht="12.75">
      <c r="A29" s="4" t="s">
        <v>38</v>
      </c>
      <c r="B29" s="31">
        <f>SUM('FY07 PB'!F30)</f>
        <v>0</v>
      </c>
      <c r="C29" s="71">
        <f t="shared" si="0"/>
        <v>0</v>
      </c>
      <c r="D29" s="32">
        <f t="shared" si="1"/>
        <v>0</v>
      </c>
    </row>
    <row r="30" spans="1:4" ht="12.75">
      <c r="A30" s="4" t="s">
        <v>8</v>
      </c>
      <c r="B30" s="31">
        <f>SUM('FY07 PB'!F31)</f>
        <v>217147</v>
      </c>
      <c r="C30" s="71">
        <f t="shared" si="0"/>
        <v>0.009435562624974591</v>
      </c>
      <c r="D30" s="32">
        <f t="shared" si="1"/>
        <v>271</v>
      </c>
    </row>
    <row r="31" spans="1:4" ht="12.75">
      <c r="A31" s="4" t="s">
        <v>51</v>
      </c>
      <c r="B31" s="32"/>
      <c r="C31" s="17"/>
      <c r="D31" s="17"/>
    </row>
    <row r="32" spans="1:4" ht="12.75">
      <c r="A32" s="4" t="s">
        <v>39</v>
      </c>
      <c r="B32" s="15"/>
      <c r="C32" s="17"/>
      <c r="D32" s="17"/>
    </row>
    <row r="33" spans="1:4" ht="12.75">
      <c r="A33" s="4" t="s">
        <v>5</v>
      </c>
      <c r="B33" s="15"/>
      <c r="C33" s="17"/>
      <c r="D33" s="17"/>
    </row>
    <row r="34" spans="1:4" ht="12.75">
      <c r="A34" s="4" t="s">
        <v>6</v>
      </c>
      <c r="B34" s="15"/>
      <c r="C34" s="17"/>
      <c r="D34" s="17"/>
    </row>
    <row r="35" spans="1:4" ht="12.75">
      <c r="A35" s="4" t="s">
        <v>9</v>
      </c>
      <c r="B35" s="32"/>
      <c r="C35" s="32"/>
      <c r="D35" s="49"/>
    </row>
    <row r="36" spans="1:4" ht="12.75">
      <c r="A36" s="4" t="s">
        <v>145</v>
      </c>
      <c r="B36" s="31"/>
      <c r="C36" s="32"/>
      <c r="D36" s="49"/>
    </row>
    <row r="37" spans="1:4" ht="12.75">
      <c r="A37" s="4" t="s">
        <v>128</v>
      </c>
      <c r="B37" s="18"/>
      <c r="C37" s="17"/>
      <c r="D37" s="18"/>
    </row>
    <row r="38" spans="1:4" ht="12.75">
      <c r="A38" s="20" t="s">
        <v>40</v>
      </c>
      <c r="B38" s="53">
        <f>SUM(B5:B37)</f>
        <v>23013678</v>
      </c>
      <c r="C38" s="80">
        <f>SUM(C5:C35)</f>
        <v>0.9999999999999998</v>
      </c>
      <c r="D38" s="53">
        <f>SUM(D5:D37)</f>
        <v>28775</v>
      </c>
    </row>
    <row r="39" spans="1:4" ht="12.75">
      <c r="A39" s="23" t="s">
        <v>310</v>
      </c>
      <c r="D39" s="70"/>
    </row>
    <row r="40" ht="12.75">
      <c r="A40" s="110"/>
    </row>
    <row r="41" ht="12.75">
      <c r="D41" s="70"/>
    </row>
    <row r="43" ht="12.75">
      <c r="D43" s="92">
        <v>28774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2:I43"/>
  <sheetViews>
    <sheetView workbookViewId="0" topLeftCell="A7">
      <selection activeCell="O9" sqref="O9"/>
    </sheetView>
  </sheetViews>
  <sheetFormatPr defaultColWidth="9.140625" defaultRowHeight="12.75"/>
  <cols>
    <col min="1" max="1" width="9.7109375" style="0" customWidth="1"/>
    <col min="2" max="2" width="12.00390625" style="0" customWidth="1"/>
    <col min="3" max="4" width="14.7109375" style="0" customWidth="1"/>
    <col min="5" max="5" width="1.8515625" style="0" customWidth="1"/>
    <col min="6" max="6" width="14.00390625" style="0" customWidth="1"/>
    <col min="7" max="7" width="1.421875" style="0" customWidth="1"/>
    <col min="8" max="8" width="12.57421875" style="0" hidden="1" customWidth="1"/>
    <col min="9" max="9" width="14.140625" style="0" customWidth="1"/>
    <col min="10" max="10" width="1.1484375" style="0" customWidth="1"/>
  </cols>
  <sheetData>
    <row r="2" ht="18">
      <c r="A2" s="25" t="s">
        <v>73</v>
      </c>
    </row>
    <row r="3" spans="1:9" ht="12.75">
      <c r="A3" s="13"/>
      <c r="B3" s="273" t="s">
        <v>40</v>
      </c>
      <c r="C3" s="274"/>
      <c r="D3" s="275"/>
      <c r="F3" s="142" t="s">
        <v>60</v>
      </c>
      <c r="I3" s="142" t="s">
        <v>104</v>
      </c>
    </row>
    <row r="4" spans="1:9" ht="12.75">
      <c r="A4" s="14"/>
      <c r="B4" s="21" t="s">
        <v>41</v>
      </c>
      <c r="C4" s="21" t="s">
        <v>42</v>
      </c>
      <c r="D4" s="22" t="s">
        <v>43</v>
      </c>
      <c r="F4" s="22" t="s">
        <v>43</v>
      </c>
      <c r="I4" s="22" t="s">
        <v>43</v>
      </c>
    </row>
    <row r="5" spans="1:9" ht="12.75">
      <c r="A5" s="4" t="s">
        <v>0</v>
      </c>
      <c r="B5" s="31">
        <f>SUM('FTEs &amp; onbrd'!F5)</f>
        <v>2868</v>
      </c>
      <c r="C5" s="71">
        <f>SUM(B5/$B$38)</f>
        <v>0.22912838539586164</v>
      </c>
      <c r="D5" s="35">
        <f aca="true" t="shared" si="0" ref="D5:D30">SUM(F5+I5)</f>
        <v>3536</v>
      </c>
      <c r="F5" s="52">
        <f>ROUND(C5*$F$43,0)+3</f>
        <v>740</v>
      </c>
      <c r="H5" s="248">
        <f>SUM(B5/$H$38)</f>
        <v>0.2408464897547867</v>
      </c>
      <c r="I5" s="52">
        <f>ROUND(H5*$I$43,0)+2</f>
        <v>2796</v>
      </c>
    </row>
    <row r="6" spans="1:9" ht="12.75">
      <c r="A6" s="4" t="s">
        <v>15</v>
      </c>
      <c r="B6" s="31">
        <f>SUM('FTEs &amp; onbrd'!F6)</f>
        <v>817</v>
      </c>
      <c r="C6" s="71">
        <f aca="true" t="shared" si="1" ref="C6:C30">SUM(B6/$B$38)</f>
        <v>0.06527123112566909</v>
      </c>
      <c r="D6" s="31">
        <f t="shared" si="0"/>
        <v>1006</v>
      </c>
      <c r="F6" s="31">
        <f aca="true" t="shared" si="2" ref="F6:F30">ROUND(C6*$F$43,0)</f>
        <v>210</v>
      </c>
      <c r="H6" s="248">
        <f aca="true" t="shared" si="3" ref="H6:H28">SUM(B6/$H$38)</f>
        <v>0.06860933825999328</v>
      </c>
      <c r="I6" s="31">
        <f>ROUND(H6*$I$43,0)</f>
        <v>796</v>
      </c>
    </row>
    <row r="7" spans="1:9" ht="12.75">
      <c r="A7" s="4" t="s">
        <v>16</v>
      </c>
      <c r="B7" s="31">
        <f>SUM('FTEs &amp; onbrd'!F7)</f>
        <v>246</v>
      </c>
      <c r="C7" s="71">
        <f t="shared" si="1"/>
        <v>0.01965327155069106</v>
      </c>
      <c r="D7" s="31">
        <f t="shared" si="0"/>
        <v>303</v>
      </c>
      <c r="F7" s="31">
        <f t="shared" si="2"/>
        <v>63</v>
      </c>
      <c r="H7" s="248">
        <f t="shared" si="3"/>
        <v>0.020658380920389654</v>
      </c>
      <c r="I7" s="31">
        <f aca="true" t="shared" si="4" ref="I7:I28">ROUND(H7*$I$43,0)</f>
        <v>240</v>
      </c>
    </row>
    <row r="8" spans="1:9" ht="12.75">
      <c r="A8" s="4" t="s">
        <v>17</v>
      </c>
      <c r="B8" s="31">
        <f>SUM('FTEs &amp; onbrd'!F8)</f>
        <v>655</v>
      </c>
      <c r="C8" s="71">
        <f t="shared" si="1"/>
        <v>0.05232883278740912</v>
      </c>
      <c r="D8" s="31">
        <f t="shared" si="0"/>
        <v>806</v>
      </c>
      <c r="F8" s="31">
        <f t="shared" si="2"/>
        <v>168</v>
      </c>
      <c r="H8" s="248">
        <f t="shared" si="3"/>
        <v>0.055005038629492777</v>
      </c>
      <c r="I8" s="31">
        <f t="shared" si="4"/>
        <v>638</v>
      </c>
    </row>
    <row r="9" spans="1:9" ht="12.75">
      <c r="A9" s="4" t="s">
        <v>18</v>
      </c>
      <c r="B9" s="31">
        <f>SUM('FTEs &amp; onbrd'!F9)</f>
        <v>583</v>
      </c>
      <c r="C9" s="71">
        <f t="shared" si="1"/>
        <v>0.04657665574818247</v>
      </c>
      <c r="D9" s="31">
        <f t="shared" si="0"/>
        <v>718</v>
      </c>
      <c r="F9" s="31">
        <f t="shared" si="2"/>
        <v>150</v>
      </c>
      <c r="H9" s="248">
        <f t="shared" si="3"/>
        <v>0.04895868323815922</v>
      </c>
      <c r="I9" s="31">
        <f t="shared" si="4"/>
        <v>568</v>
      </c>
    </row>
    <row r="10" spans="1:9" ht="12.75">
      <c r="A10" s="4" t="s">
        <v>19</v>
      </c>
      <c r="B10" s="31">
        <f>SUM('FTEs &amp; onbrd'!F10)</f>
        <v>1651</v>
      </c>
      <c r="C10" s="71">
        <f t="shared" si="1"/>
        <v>0.1319006151633778</v>
      </c>
      <c r="D10" s="31">
        <f t="shared" si="0"/>
        <v>2033</v>
      </c>
      <c r="F10" s="31">
        <f t="shared" si="2"/>
        <v>424</v>
      </c>
      <c r="H10" s="248">
        <f t="shared" si="3"/>
        <v>0.13864628820960698</v>
      </c>
      <c r="I10" s="31">
        <f t="shared" si="4"/>
        <v>1609</v>
      </c>
    </row>
    <row r="11" spans="1:9" ht="12.75">
      <c r="A11" s="4" t="s">
        <v>20</v>
      </c>
      <c r="B11" s="31">
        <f>SUM('FTEs &amp; onbrd'!F11)</f>
        <v>140</v>
      </c>
      <c r="C11" s="71">
        <f t="shared" si="1"/>
        <v>0.011184788687385157</v>
      </c>
      <c r="D11" s="31">
        <f t="shared" si="0"/>
        <v>172</v>
      </c>
      <c r="F11" s="31">
        <f t="shared" si="2"/>
        <v>36</v>
      </c>
      <c r="H11" s="248">
        <f t="shared" si="3"/>
        <v>0.01175680214981525</v>
      </c>
      <c r="I11" s="31">
        <f t="shared" si="4"/>
        <v>136</v>
      </c>
    </row>
    <row r="12" spans="1:9" ht="12.75">
      <c r="A12" s="4" t="s">
        <v>21</v>
      </c>
      <c r="B12" s="31">
        <f>SUM('FTEs &amp; onbrd'!F12)</f>
        <v>572</v>
      </c>
      <c r="C12" s="71">
        <f t="shared" si="1"/>
        <v>0.045697850922745066</v>
      </c>
      <c r="D12" s="31">
        <f t="shared" si="0"/>
        <v>704</v>
      </c>
      <c r="F12" s="31">
        <f t="shared" si="2"/>
        <v>147</v>
      </c>
      <c r="H12" s="248">
        <f t="shared" si="3"/>
        <v>0.048034934497816595</v>
      </c>
      <c r="I12" s="31">
        <f t="shared" si="4"/>
        <v>557</v>
      </c>
    </row>
    <row r="13" spans="1:9" ht="12.75">
      <c r="A13" s="4" t="s">
        <v>22</v>
      </c>
      <c r="B13" s="31">
        <f>SUM('FTEs &amp; onbrd'!F13)</f>
        <v>229</v>
      </c>
      <c r="C13" s="71">
        <f t="shared" si="1"/>
        <v>0.018295118638651433</v>
      </c>
      <c r="D13" s="31">
        <f t="shared" si="0"/>
        <v>282</v>
      </c>
      <c r="F13" s="31">
        <f t="shared" si="2"/>
        <v>59</v>
      </c>
      <c r="H13" s="248">
        <f t="shared" si="3"/>
        <v>0.019230769230769232</v>
      </c>
      <c r="I13" s="31">
        <f t="shared" si="4"/>
        <v>223</v>
      </c>
    </row>
    <row r="14" spans="1:9" ht="12.75">
      <c r="A14" s="4" t="s">
        <v>23</v>
      </c>
      <c r="B14" s="31">
        <f>SUM('FTEs &amp; onbrd'!F14)</f>
        <v>709</v>
      </c>
      <c r="C14" s="71">
        <f t="shared" si="1"/>
        <v>0.056642965566829115</v>
      </c>
      <c r="D14" s="31">
        <f t="shared" si="0"/>
        <v>873</v>
      </c>
      <c r="F14" s="31">
        <f t="shared" si="2"/>
        <v>182</v>
      </c>
      <c r="H14" s="248">
        <f t="shared" si="3"/>
        <v>0.05953980517299295</v>
      </c>
      <c r="I14" s="31">
        <f t="shared" si="4"/>
        <v>691</v>
      </c>
    </row>
    <row r="15" spans="1:9" ht="12.75">
      <c r="A15" s="4" t="s">
        <v>24</v>
      </c>
      <c r="B15" s="31">
        <f>SUM('FTEs &amp; onbrd'!F15)</f>
        <v>395</v>
      </c>
      <c r="C15" s="71">
        <f t="shared" si="1"/>
        <v>0.03155708236797955</v>
      </c>
      <c r="D15" s="31">
        <f t="shared" si="0"/>
        <v>487</v>
      </c>
      <c r="F15" s="31">
        <f t="shared" si="2"/>
        <v>102</v>
      </c>
      <c r="H15" s="248">
        <f t="shared" si="3"/>
        <v>0.0331709774941216</v>
      </c>
      <c r="I15" s="31">
        <f t="shared" si="4"/>
        <v>385</v>
      </c>
    </row>
    <row r="16" spans="1:9" ht="12.75">
      <c r="A16" s="4" t="s">
        <v>25</v>
      </c>
      <c r="B16" s="31">
        <f>SUM('FTEs &amp; onbrd'!F16)</f>
        <v>217</v>
      </c>
      <c r="C16" s="71">
        <f t="shared" si="1"/>
        <v>0.01733642246544699</v>
      </c>
      <c r="D16" s="31">
        <f t="shared" si="0"/>
        <v>267</v>
      </c>
      <c r="F16" s="31">
        <f t="shared" si="2"/>
        <v>56</v>
      </c>
      <c r="H16" s="248">
        <f t="shared" si="3"/>
        <v>0.018223043332213636</v>
      </c>
      <c r="I16" s="31">
        <f t="shared" si="4"/>
        <v>211</v>
      </c>
    </row>
    <row r="17" spans="1:9" ht="12.75">
      <c r="A17" s="4" t="s">
        <v>26</v>
      </c>
      <c r="B17" s="31">
        <f>SUM('FTEs &amp; onbrd'!F17)</f>
        <v>145</v>
      </c>
      <c r="C17" s="71">
        <f t="shared" si="1"/>
        <v>0.01158424542622034</v>
      </c>
      <c r="D17" s="31">
        <f t="shared" si="0"/>
        <v>178</v>
      </c>
      <c r="F17" s="31">
        <f t="shared" si="2"/>
        <v>37</v>
      </c>
      <c r="H17" s="248">
        <f t="shared" si="3"/>
        <v>0.01217668794088008</v>
      </c>
      <c r="I17" s="31">
        <f t="shared" si="4"/>
        <v>141</v>
      </c>
    </row>
    <row r="18" spans="1:9" ht="12.75">
      <c r="A18" s="4" t="s">
        <v>27</v>
      </c>
      <c r="B18" s="31">
        <f>SUM('FTEs &amp; onbrd'!F18)</f>
        <v>631</v>
      </c>
      <c r="C18" s="71">
        <f t="shared" si="1"/>
        <v>0.05041144044100024</v>
      </c>
      <c r="D18" s="31">
        <f t="shared" si="0"/>
        <v>777</v>
      </c>
      <c r="F18" s="31">
        <f t="shared" si="2"/>
        <v>162</v>
      </c>
      <c r="H18" s="248">
        <f t="shared" si="3"/>
        <v>0.05298958683238159</v>
      </c>
      <c r="I18" s="31">
        <f t="shared" si="4"/>
        <v>615</v>
      </c>
    </row>
    <row r="19" spans="1:9" ht="12.75">
      <c r="A19" s="4" t="s">
        <v>28</v>
      </c>
      <c r="B19" s="31">
        <f>SUM('FTEs &amp; onbrd'!F19)</f>
        <v>379</v>
      </c>
      <c r="C19" s="71">
        <f t="shared" si="1"/>
        <v>0.03027882080370696</v>
      </c>
      <c r="D19" s="31">
        <f t="shared" si="0"/>
        <v>466</v>
      </c>
      <c r="F19" s="31">
        <f t="shared" si="2"/>
        <v>97</v>
      </c>
      <c r="H19" s="248">
        <f t="shared" si="3"/>
        <v>0.03182734296271414</v>
      </c>
      <c r="I19" s="31">
        <f t="shared" si="4"/>
        <v>369</v>
      </c>
    </row>
    <row r="20" spans="1:9" ht="12.75">
      <c r="A20" s="4" t="s">
        <v>29</v>
      </c>
      <c r="B20" s="31">
        <f>SUM('FTEs &amp; onbrd'!F20)</f>
        <v>231</v>
      </c>
      <c r="C20" s="71">
        <f t="shared" si="1"/>
        <v>0.01845490133418551</v>
      </c>
      <c r="D20" s="31">
        <f t="shared" si="0"/>
        <v>284</v>
      </c>
      <c r="F20" s="31">
        <f t="shared" si="2"/>
        <v>59</v>
      </c>
      <c r="H20" s="248">
        <f t="shared" si="3"/>
        <v>0.019398723547195164</v>
      </c>
      <c r="I20" s="31">
        <f t="shared" si="4"/>
        <v>225</v>
      </c>
    </row>
    <row r="21" spans="1:9" ht="12.75">
      <c r="A21" s="4" t="s">
        <v>30</v>
      </c>
      <c r="B21" s="31">
        <f>SUM('FTEs &amp; onbrd'!F21)</f>
        <v>56</v>
      </c>
      <c r="C21" s="71">
        <f t="shared" si="1"/>
        <v>0.004473915474954062</v>
      </c>
      <c r="D21" s="31">
        <f t="shared" si="0"/>
        <v>69</v>
      </c>
      <c r="F21" s="31">
        <f t="shared" si="2"/>
        <v>14</v>
      </c>
      <c r="H21" s="248">
        <f t="shared" si="3"/>
        <v>0.0047027208599261005</v>
      </c>
      <c r="I21" s="31">
        <f t="shared" si="4"/>
        <v>55</v>
      </c>
    </row>
    <row r="22" spans="1:9" ht="12.75">
      <c r="A22" s="4" t="s">
        <v>31</v>
      </c>
      <c r="B22" s="31">
        <f>SUM('FTEs &amp; onbrd'!F22)</f>
        <v>302</v>
      </c>
      <c r="C22" s="71">
        <f t="shared" si="1"/>
        <v>0.024127187025645123</v>
      </c>
      <c r="D22" s="31">
        <f t="shared" si="0"/>
        <v>372</v>
      </c>
      <c r="F22" s="31">
        <f t="shared" si="2"/>
        <v>78</v>
      </c>
      <c r="H22" s="248">
        <f t="shared" si="3"/>
        <v>0.025361101780315753</v>
      </c>
      <c r="I22" s="31">
        <f t="shared" si="4"/>
        <v>294</v>
      </c>
    </row>
    <row r="23" spans="1:9" ht="12.75">
      <c r="A23" s="4" t="s">
        <v>32</v>
      </c>
      <c r="B23" s="31">
        <f>SUM('FTEs &amp; onbrd'!F23)</f>
        <v>59</v>
      </c>
      <c r="C23" s="71">
        <f t="shared" si="1"/>
        <v>0.004713589518255173</v>
      </c>
      <c r="D23" s="31">
        <f t="shared" si="0"/>
        <v>72</v>
      </c>
      <c r="F23" s="31">
        <f t="shared" si="2"/>
        <v>15</v>
      </c>
      <c r="H23" s="248">
        <f t="shared" si="3"/>
        <v>0.0049546523345649985</v>
      </c>
      <c r="I23" s="31">
        <f t="shared" si="4"/>
        <v>57</v>
      </c>
    </row>
    <row r="24" spans="1:9" ht="12.75">
      <c r="A24" s="4" t="s">
        <v>33</v>
      </c>
      <c r="B24" s="31">
        <f>SUM('FTEs &amp; onbrd'!F24)</f>
        <v>122</v>
      </c>
      <c r="C24" s="71">
        <f t="shared" si="1"/>
        <v>0.009746744427578493</v>
      </c>
      <c r="D24" s="31">
        <f t="shared" si="0"/>
        <v>150</v>
      </c>
      <c r="F24" s="31">
        <f t="shared" si="2"/>
        <v>31</v>
      </c>
      <c r="H24" s="248">
        <f t="shared" si="3"/>
        <v>0.010245213301981861</v>
      </c>
      <c r="I24" s="31">
        <f t="shared" si="4"/>
        <v>119</v>
      </c>
    </row>
    <row r="25" spans="1:9" ht="12.75">
      <c r="A25" s="4" t="s">
        <v>34</v>
      </c>
      <c r="B25" s="31">
        <f>SUM('FTEs &amp; onbrd'!F25)</f>
        <v>83</v>
      </c>
      <c r="C25" s="71">
        <f t="shared" si="1"/>
        <v>0.006630981864664057</v>
      </c>
      <c r="D25" s="31">
        <f t="shared" si="0"/>
        <v>102</v>
      </c>
      <c r="F25" s="31">
        <f t="shared" si="2"/>
        <v>21</v>
      </c>
      <c r="H25" s="248">
        <f t="shared" si="3"/>
        <v>0.006970104131676184</v>
      </c>
      <c r="I25" s="31">
        <f t="shared" si="4"/>
        <v>81</v>
      </c>
    </row>
    <row r="26" spans="1:9" ht="12.75">
      <c r="A26" s="4" t="s">
        <v>35</v>
      </c>
      <c r="B26" s="31">
        <f>SUM('FTEs &amp; onbrd'!F26)</f>
        <v>32</v>
      </c>
      <c r="C26" s="71">
        <f t="shared" si="1"/>
        <v>0.0025565231285451786</v>
      </c>
      <c r="D26" s="31">
        <f t="shared" si="0"/>
        <v>39</v>
      </c>
      <c r="F26" s="31">
        <f t="shared" si="2"/>
        <v>8</v>
      </c>
      <c r="H26" s="248">
        <f t="shared" si="3"/>
        <v>0.0026872690628149142</v>
      </c>
      <c r="I26" s="31">
        <f t="shared" si="4"/>
        <v>31</v>
      </c>
    </row>
    <row r="27" spans="1:9" ht="12.75">
      <c r="A27" s="4" t="s">
        <v>36</v>
      </c>
      <c r="B27" s="31">
        <f>SUM('FTEs &amp; onbrd'!F27)</f>
        <v>65</v>
      </c>
      <c r="C27" s="71">
        <f t="shared" si="1"/>
        <v>0.005192937604857394</v>
      </c>
      <c r="D27" s="31">
        <f t="shared" si="0"/>
        <v>80</v>
      </c>
      <c r="F27" s="31">
        <f t="shared" si="2"/>
        <v>17</v>
      </c>
      <c r="H27" s="248">
        <f t="shared" si="3"/>
        <v>0.0054585152838427945</v>
      </c>
      <c r="I27" s="31">
        <f t="shared" si="4"/>
        <v>63</v>
      </c>
    </row>
    <row r="28" spans="1:9" ht="12.75">
      <c r="A28" s="4" t="s">
        <v>37</v>
      </c>
      <c r="B28" s="31">
        <f>SUM('FTEs &amp; onbrd'!F28)</f>
        <v>721</v>
      </c>
      <c r="C28" s="71">
        <f t="shared" si="1"/>
        <v>0.057601661740033554</v>
      </c>
      <c r="D28" s="31">
        <f t="shared" si="0"/>
        <v>887</v>
      </c>
      <c r="F28" s="31">
        <f t="shared" si="2"/>
        <v>185</v>
      </c>
      <c r="H28" s="248">
        <f t="shared" si="3"/>
        <v>0.06054753107154854</v>
      </c>
      <c r="I28" s="31">
        <f t="shared" si="4"/>
        <v>702</v>
      </c>
    </row>
    <row r="29" spans="1:9" ht="12.75">
      <c r="A29" s="4" t="s">
        <v>38</v>
      </c>
      <c r="B29" s="31">
        <f>SUM('FTEs &amp; onbrd'!F29)</f>
        <v>0</v>
      </c>
      <c r="C29" s="71">
        <f t="shared" si="1"/>
        <v>0</v>
      </c>
      <c r="D29" s="32">
        <f t="shared" si="0"/>
        <v>0</v>
      </c>
      <c r="F29" s="31">
        <f t="shared" si="2"/>
        <v>0</v>
      </c>
      <c r="H29" s="249"/>
      <c r="I29" s="31">
        <f>ROUND(C29*$I$43,0)</f>
        <v>0</v>
      </c>
    </row>
    <row r="30" spans="1:9" ht="12.75">
      <c r="A30" s="4" t="s">
        <v>8</v>
      </c>
      <c r="B30" s="31">
        <f>SUM('FTEs &amp; onbrd'!F30)</f>
        <v>609</v>
      </c>
      <c r="C30" s="71">
        <f t="shared" si="1"/>
        <v>0.04865383079012543</v>
      </c>
      <c r="D30" s="31">
        <f t="shared" si="0"/>
        <v>157</v>
      </c>
      <c r="F30" s="31">
        <f t="shared" si="2"/>
        <v>157</v>
      </c>
      <c r="I30" s="31">
        <v>0</v>
      </c>
    </row>
    <row r="31" spans="1:9" ht="12.75">
      <c r="A31" s="4" t="s">
        <v>51</v>
      </c>
      <c r="B31" s="31"/>
      <c r="C31" s="17"/>
      <c r="D31" s="32"/>
      <c r="F31" s="54"/>
      <c r="I31" s="31"/>
    </row>
    <row r="32" spans="1:9" ht="12.75">
      <c r="A32" s="4" t="s">
        <v>39</v>
      </c>
      <c r="B32" s="31"/>
      <c r="C32" s="17"/>
      <c r="D32" s="17"/>
      <c r="F32" s="17"/>
      <c r="I32" s="54"/>
    </row>
    <row r="33" spans="1:9" ht="12.75">
      <c r="A33" s="4" t="s">
        <v>5</v>
      </c>
      <c r="B33" s="31"/>
      <c r="C33" s="17"/>
      <c r="D33" s="17"/>
      <c r="F33" s="17"/>
      <c r="I33" s="17"/>
    </row>
    <row r="34" spans="1:9" ht="12.75">
      <c r="A34" s="4" t="s">
        <v>6</v>
      </c>
      <c r="B34" s="31"/>
      <c r="C34" s="17"/>
      <c r="D34" s="17"/>
      <c r="F34" s="17"/>
      <c r="I34" s="17"/>
    </row>
    <row r="35" spans="1:9" ht="12.75">
      <c r="A35" s="4" t="s">
        <v>9</v>
      </c>
      <c r="B35" s="32"/>
      <c r="C35" s="32"/>
      <c r="D35" s="49"/>
      <c r="F35" s="17"/>
      <c r="I35" s="17"/>
    </row>
    <row r="36" spans="1:9" ht="12.75">
      <c r="A36" s="4" t="s">
        <v>145</v>
      </c>
      <c r="B36" s="31"/>
      <c r="C36" s="32"/>
      <c r="D36" s="49"/>
      <c r="F36" s="17"/>
      <c r="I36" s="17"/>
    </row>
    <row r="37" spans="1:9" ht="12.75">
      <c r="A37" s="4" t="s">
        <v>128</v>
      </c>
      <c r="B37" s="36">
        <f>SUM('FTEs &amp; onbrd'!F37)</f>
        <v>0</v>
      </c>
      <c r="C37" s="71"/>
      <c r="D37" s="43">
        <f>SUM(F37+I37)</f>
        <v>0</v>
      </c>
      <c r="F37" s="36">
        <f>ROUND(C37*F75,0)</f>
        <v>0</v>
      </c>
      <c r="I37" s="36">
        <f>ROUND(C37*$I$43,0)</f>
        <v>0</v>
      </c>
    </row>
    <row r="38" spans="1:9" ht="12.75">
      <c r="A38" s="20" t="s">
        <v>40</v>
      </c>
      <c r="B38" s="36">
        <f>SUM(B5:B37)</f>
        <v>12517</v>
      </c>
      <c r="C38" s="71">
        <f>SUM(C5:C37)</f>
        <v>0.9999999999999998</v>
      </c>
      <c r="D38" s="53">
        <f>SUM(D5:D37)</f>
        <v>14820</v>
      </c>
      <c r="F38" s="53">
        <f>SUM(F5:F37)</f>
        <v>3218</v>
      </c>
      <c r="H38">
        <v>11908</v>
      </c>
      <c r="I38" s="53">
        <f>SUM(I5:I37)</f>
        <v>11602</v>
      </c>
    </row>
    <row r="39" ht="12.75">
      <c r="A39" s="23" t="s">
        <v>95</v>
      </c>
    </row>
    <row r="40" ht="12.75">
      <c r="B40" s="33"/>
    </row>
    <row r="43" spans="6:9" ht="12.75">
      <c r="F43" s="92">
        <v>3218</v>
      </c>
      <c r="I43" s="92">
        <v>11602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0"/>
  <sheetViews>
    <sheetView tabSelected="1" zoomScale="70" zoomScaleNormal="70" workbookViewId="0" topLeftCell="A1">
      <pane xSplit="1" ySplit="4" topLeftCell="F5" activePane="bottomRight" state="frozen"/>
      <selection pane="topLeft" activeCell="O9" sqref="O9"/>
      <selection pane="topRight" activeCell="O9" sqref="O9"/>
      <selection pane="bottomLeft" activeCell="O9" sqref="O9"/>
      <selection pane="bottomRight" activeCell="H29" sqref="H29"/>
    </sheetView>
  </sheetViews>
  <sheetFormatPr defaultColWidth="9.140625" defaultRowHeight="12.75"/>
  <cols>
    <col min="2" max="2" width="10.57421875" style="0" customWidth="1"/>
    <col min="3" max="3" width="10.7109375" style="0" customWidth="1"/>
    <col min="4" max="4" width="12.00390625" style="0" customWidth="1"/>
    <col min="5" max="5" width="10.57421875" style="0" customWidth="1"/>
    <col min="6" max="7" width="10.8515625" style="0" customWidth="1"/>
    <col min="8" max="9" width="11.28125" style="0" customWidth="1"/>
    <col min="10" max="10" width="10.7109375" style="0" customWidth="1"/>
    <col min="11" max="11" width="11.140625" style="0" customWidth="1"/>
    <col min="12" max="12" width="11.57421875" style="0" customWidth="1"/>
    <col min="13" max="13" width="11.28125" style="0" customWidth="1"/>
    <col min="14" max="14" width="12.00390625" style="0" customWidth="1"/>
    <col min="15" max="15" width="9.8515625" style="0" customWidth="1"/>
    <col min="16" max="16" width="10.140625" style="0" customWidth="1"/>
    <col min="17" max="17" width="11.57421875" style="0" customWidth="1"/>
    <col min="18" max="18" width="15.421875" style="0" customWidth="1"/>
  </cols>
  <sheetData>
    <row r="1" spans="1:17" ht="18">
      <c r="A1" s="267" t="s">
        <v>134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9"/>
    </row>
    <row r="2" spans="1:17" ht="15.75">
      <c r="A2" s="270" t="s">
        <v>255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</row>
    <row r="3" spans="1:17" ht="15">
      <c r="A3" s="1"/>
      <c r="B3" s="2"/>
      <c r="C3" s="2"/>
      <c r="D3" s="2" t="s">
        <v>102</v>
      </c>
      <c r="E3" s="2" t="s">
        <v>58</v>
      </c>
      <c r="F3" s="2" t="s">
        <v>60</v>
      </c>
      <c r="G3" s="2"/>
      <c r="H3" s="2" t="s">
        <v>120</v>
      </c>
      <c r="I3" s="2"/>
      <c r="J3" s="2" t="s">
        <v>61</v>
      </c>
      <c r="K3" s="2" t="s">
        <v>63</v>
      </c>
      <c r="L3" s="2" t="s">
        <v>93</v>
      </c>
      <c r="M3" s="2"/>
      <c r="N3" s="2"/>
      <c r="O3" s="2"/>
      <c r="P3" s="2"/>
      <c r="Q3" s="146" t="s">
        <v>4</v>
      </c>
    </row>
    <row r="4" spans="1:17" ht="15">
      <c r="A4" s="3"/>
      <c r="B4" s="10" t="s">
        <v>55</v>
      </c>
      <c r="C4" s="10" t="s">
        <v>56</v>
      </c>
      <c r="D4" s="10" t="s">
        <v>194</v>
      </c>
      <c r="E4" s="10" t="s">
        <v>59</v>
      </c>
      <c r="F4" s="10" t="s">
        <v>59</v>
      </c>
      <c r="G4" s="10" t="s">
        <v>304</v>
      </c>
      <c r="H4" s="113" t="s">
        <v>122</v>
      </c>
      <c r="I4" s="10" t="s">
        <v>197</v>
      </c>
      <c r="J4" s="10" t="s">
        <v>62</v>
      </c>
      <c r="K4" s="10" t="s">
        <v>64</v>
      </c>
      <c r="L4" s="10" t="s">
        <v>94</v>
      </c>
      <c r="M4" s="10" t="s">
        <v>191</v>
      </c>
      <c r="N4" s="185" t="s">
        <v>242</v>
      </c>
      <c r="O4" s="10" t="s">
        <v>121</v>
      </c>
      <c r="P4" s="10" t="s">
        <v>65</v>
      </c>
      <c r="Q4" s="147" t="s">
        <v>53</v>
      </c>
    </row>
    <row r="5" spans="1:17" ht="15">
      <c r="A5" s="4" t="s">
        <v>0</v>
      </c>
      <c r="B5" s="5">
        <f>SUM(OTT!D5)</f>
        <v>3680</v>
      </c>
      <c r="C5" s="5">
        <f>SUM(Telcom!D5)</f>
        <v>1862</v>
      </c>
      <c r="D5" s="5">
        <f>SUM('IT Software Dev'!D5)</f>
        <v>6838</v>
      </c>
      <c r="E5" s="5">
        <f>SUM('eRA Ongoing'!D5)</f>
        <v>4117</v>
      </c>
      <c r="F5" s="5">
        <f>SUM('HR Ongoing'!D5)</f>
        <v>3536</v>
      </c>
      <c r="G5" s="5">
        <f>SUM('IV&amp;V'!D5)</f>
        <v>731</v>
      </c>
      <c r="H5" s="5">
        <f>SUM('CIT Assessments'!D5)</f>
        <v>11445</v>
      </c>
      <c r="I5" s="5">
        <f>SUM(Bioethics!D5)</f>
        <v>59</v>
      </c>
      <c r="J5" s="5">
        <f>SUM('Grad Prog'!D5)</f>
        <v>146.876</v>
      </c>
      <c r="K5" s="5">
        <f>SUM('NRSA Payback'!D5)</f>
        <v>61</v>
      </c>
      <c r="L5" s="5">
        <f>SUM('Intern Prog'!D5)</f>
        <v>641</v>
      </c>
      <c r="M5" s="5">
        <f>SUM('NIH OHR  '!D5+0)</f>
        <v>6152</v>
      </c>
      <c r="N5" s="5">
        <f>SUM(' HR Residual'!D5)</f>
        <v>272</v>
      </c>
      <c r="O5" s="5">
        <f>SUM(OFM!D5)</f>
        <v>1490</v>
      </c>
      <c r="P5" s="5">
        <f>SUM(UFMS!D5)</f>
        <v>1060</v>
      </c>
      <c r="Q5" s="148">
        <f>SUM(B5:P5)</f>
        <v>42090.876000000004</v>
      </c>
    </row>
    <row r="6" spans="1:17" ht="15">
      <c r="A6" s="4" t="s">
        <v>15</v>
      </c>
      <c r="B6" s="6">
        <f>SUM(OTT!D6)</f>
        <v>563</v>
      </c>
      <c r="C6" s="6">
        <f>SUM(Telcom!D6)</f>
        <v>501</v>
      </c>
      <c r="D6" s="6">
        <f>SUM('IT Software Dev'!D6)</f>
        <v>4181</v>
      </c>
      <c r="E6" s="6">
        <f>SUM('eRA Ongoing'!D6)</f>
        <v>3255</v>
      </c>
      <c r="F6" s="6">
        <f>SUM('HR Ongoing'!D6)</f>
        <v>1006</v>
      </c>
      <c r="G6" s="6">
        <f>SUM('IV&amp;V'!D6)</f>
        <v>177</v>
      </c>
      <c r="H6" s="6">
        <f>SUM('CIT Assessments'!D6)</f>
        <v>2820</v>
      </c>
      <c r="I6" s="6">
        <f>SUM(Bioethics!D6)</f>
        <v>38</v>
      </c>
      <c r="J6" s="6">
        <f>SUM('Grad Prog'!D6)</f>
        <v>36.216</v>
      </c>
      <c r="K6" s="6">
        <f>SUM('NRSA Payback'!D6)</f>
        <v>56</v>
      </c>
      <c r="L6" s="6">
        <f>SUM('Intern Prog'!D6)</f>
        <v>182</v>
      </c>
      <c r="M6" s="6">
        <f>SUM('NIH OHR  '!D6+0)</f>
        <v>1749</v>
      </c>
      <c r="N6" s="6">
        <f>SUM(' HR Residual'!D6)</f>
        <v>77</v>
      </c>
      <c r="O6" s="6">
        <f>SUM(OFM!D6)</f>
        <v>430</v>
      </c>
      <c r="P6" s="6">
        <f>SUM(UFMS!D6)</f>
        <v>648</v>
      </c>
      <c r="Q6" s="149">
        <f>SUM(B6:P6)</f>
        <v>15719.216</v>
      </c>
    </row>
    <row r="7" spans="1:17" ht="15">
      <c r="A7" s="4" t="s">
        <v>16</v>
      </c>
      <c r="B7" s="6">
        <f>SUM(OTT!D7)</f>
        <v>224</v>
      </c>
      <c r="C7" s="6">
        <f>SUM(Telcom!D7)</f>
        <v>177</v>
      </c>
      <c r="D7" s="6">
        <f>SUM('IT Software Dev'!D7)</f>
        <v>556</v>
      </c>
      <c r="E7" s="6">
        <f>SUM('eRA Ongoing'!D7)</f>
        <v>380</v>
      </c>
      <c r="F7" s="6">
        <f>SUM('HR Ongoing'!D7)</f>
        <v>303</v>
      </c>
      <c r="G7" s="6">
        <f>SUM('IV&amp;V'!D7)</f>
        <v>71</v>
      </c>
      <c r="H7" s="6">
        <f>SUM('CIT Assessments'!D7)</f>
        <v>1196</v>
      </c>
      <c r="I7" s="6">
        <f>SUM(Bioethics!D7)</f>
        <v>5</v>
      </c>
      <c r="J7" s="6">
        <f>SUM('Grad Prog'!D7)</f>
        <v>12.072</v>
      </c>
      <c r="K7" s="6">
        <f>SUM('NRSA Payback'!D7)</f>
        <v>18</v>
      </c>
      <c r="L7" s="6">
        <f>SUM('Intern Prog'!D7)</f>
        <v>57</v>
      </c>
      <c r="M7" s="6">
        <f>SUM('NIH OHR  '!D7+0)</f>
        <v>547</v>
      </c>
      <c r="N7" s="6">
        <f>SUM(' HR Residual'!D7)</f>
        <v>24</v>
      </c>
      <c r="O7" s="6">
        <f>SUM(OFM!D7)</f>
        <v>165</v>
      </c>
      <c r="P7" s="6">
        <f>SUM(UFMS!D7)</f>
        <v>86</v>
      </c>
      <c r="Q7" s="149">
        <f aca="true" t="shared" si="0" ref="Q7:Q37">SUM(B7:P7)</f>
        <v>3821.072</v>
      </c>
    </row>
    <row r="8" spans="1:17" ht="15">
      <c r="A8" s="4" t="s">
        <v>17</v>
      </c>
      <c r="B8" s="6">
        <f>SUM(OTT!D8)</f>
        <v>325</v>
      </c>
      <c r="C8" s="6">
        <f>SUM(Telcom!D8)</f>
        <v>421</v>
      </c>
      <c r="D8" s="6">
        <f>SUM('IT Software Dev'!D8)</f>
        <v>2661</v>
      </c>
      <c r="E8" s="6">
        <f>SUM('eRA Ongoing'!D8)</f>
        <v>2004</v>
      </c>
      <c r="F8" s="6">
        <f>SUM('HR Ongoing'!D8)</f>
        <v>806</v>
      </c>
      <c r="G8" s="6">
        <f>SUM('IV&amp;V'!D8)</f>
        <v>162</v>
      </c>
      <c r="H8" s="6">
        <f>SUM('CIT Assessments'!D8)</f>
        <v>3048</v>
      </c>
      <c r="I8" s="6">
        <f>SUM(Bioethics!D8)</f>
        <v>24</v>
      </c>
      <c r="J8" s="6">
        <f>SUM('Grad Prog'!D8)</f>
        <v>28.168</v>
      </c>
      <c r="K8" s="6">
        <f>SUM('NRSA Payback'!D8)</f>
        <v>110</v>
      </c>
      <c r="L8" s="6">
        <f>SUM('Intern Prog'!D8)</f>
        <v>146</v>
      </c>
      <c r="M8" s="6">
        <f>SUM('NIH OHR  '!D8+0)</f>
        <v>1401</v>
      </c>
      <c r="N8" s="6">
        <f>SUM(' HR Residual'!D8)</f>
        <v>62</v>
      </c>
      <c r="O8" s="6">
        <f>SUM(OFM!D8)</f>
        <v>478</v>
      </c>
      <c r="P8" s="6">
        <f>SUM(UFMS!D8)</f>
        <v>412</v>
      </c>
      <c r="Q8" s="149">
        <f t="shared" si="0"/>
        <v>12088.168</v>
      </c>
    </row>
    <row r="9" spans="1:17" ht="15">
      <c r="A9" s="4" t="s">
        <v>18</v>
      </c>
      <c r="B9" s="6">
        <f>SUM(OTT!D9)</f>
        <v>387</v>
      </c>
      <c r="C9" s="6">
        <f>SUM(Telcom!D9)</f>
        <v>412</v>
      </c>
      <c r="D9" s="6">
        <f>SUM('IT Software Dev'!D9)</f>
        <v>2198</v>
      </c>
      <c r="E9" s="6">
        <f>SUM('eRA Ongoing'!D9)</f>
        <v>1643</v>
      </c>
      <c r="F9" s="6">
        <f>SUM('HR Ongoing'!D9)</f>
        <v>718</v>
      </c>
      <c r="G9" s="6">
        <f>SUM('IV&amp;V'!D9)</f>
        <v>153</v>
      </c>
      <c r="H9" s="6">
        <f>SUM('CIT Assessments'!D9)</f>
        <v>2602</v>
      </c>
      <c r="I9" s="6">
        <f>SUM(Bioethics!D9)</f>
        <v>20</v>
      </c>
      <c r="J9" s="6">
        <f>SUM('Grad Prog'!D9)</f>
        <v>86.516</v>
      </c>
      <c r="K9" s="6">
        <f>SUM('NRSA Payback'!D9)</f>
        <v>35</v>
      </c>
      <c r="L9" s="6">
        <f>SUM('Intern Prog'!D9)</f>
        <v>122</v>
      </c>
      <c r="M9" s="6">
        <f>SUM('NIH OHR  '!D9+0)</f>
        <v>1169</v>
      </c>
      <c r="N9" s="6">
        <f>SUM(' HR Residual'!D9)</f>
        <v>52</v>
      </c>
      <c r="O9" s="6">
        <f>SUM(OFM!D9)</f>
        <v>342</v>
      </c>
      <c r="P9" s="6">
        <f>SUM(UFMS!D9)</f>
        <v>341</v>
      </c>
      <c r="Q9" s="149">
        <f t="shared" si="0"/>
        <v>10280.516</v>
      </c>
    </row>
    <row r="10" spans="1:17" ht="15">
      <c r="A10" s="4" t="s">
        <v>19</v>
      </c>
      <c r="B10" s="6">
        <f>SUM(OTT!D10)</f>
        <v>1242</v>
      </c>
      <c r="C10" s="6">
        <f>SUM(Telcom!D10)</f>
        <v>1068</v>
      </c>
      <c r="D10" s="6">
        <f>SUM('IT Software Dev'!D10)</f>
        <v>6337</v>
      </c>
      <c r="E10" s="6">
        <f>SUM('eRA Ongoing'!D10)</f>
        <v>4461</v>
      </c>
      <c r="F10" s="6">
        <f>SUM('HR Ongoing'!D10)</f>
        <v>2033</v>
      </c>
      <c r="G10" s="6">
        <f>SUM('IV&amp;V'!D10)</f>
        <v>453</v>
      </c>
      <c r="H10" s="6">
        <f>SUM('CIT Assessments'!D10)</f>
        <v>8510</v>
      </c>
      <c r="I10" s="6">
        <f>SUM(Bioethics!D10)</f>
        <v>57</v>
      </c>
      <c r="J10" s="6">
        <f>SUM('Grad Prog'!D10)</f>
        <v>68.408</v>
      </c>
      <c r="K10" s="6">
        <f>SUM('NRSA Payback'!D10)</f>
        <v>39</v>
      </c>
      <c r="L10" s="6">
        <f>SUM('Intern Prog'!D10)</f>
        <v>366</v>
      </c>
      <c r="M10" s="6">
        <f>SUM('NIH OHR  '!D10+0)</f>
        <v>3508</v>
      </c>
      <c r="N10" s="6">
        <f>SUM(' HR Residual'!D10)</f>
        <v>155</v>
      </c>
      <c r="O10" s="6">
        <f>SUM(OFM!D10)</f>
        <v>969</v>
      </c>
      <c r="P10" s="6">
        <f>SUM(UFMS!D10)</f>
        <v>982</v>
      </c>
      <c r="Q10" s="149">
        <f t="shared" si="0"/>
        <v>30248.408</v>
      </c>
    </row>
    <row r="11" spans="1:17" ht="15">
      <c r="A11" s="4" t="s">
        <v>20</v>
      </c>
      <c r="B11" s="6">
        <f>SUM(OTT!D11)</f>
        <v>2</v>
      </c>
      <c r="C11" s="6">
        <f>SUM(Telcom!D11)</f>
        <v>65</v>
      </c>
      <c r="D11" s="6">
        <f>SUM('IT Software Dev'!D11)</f>
        <v>2772</v>
      </c>
      <c r="E11" s="6">
        <f>SUM('eRA Ongoing'!D11)</f>
        <v>2314</v>
      </c>
      <c r="F11" s="6">
        <f>SUM('HR Ongoing'!D11)</f>
        <v>172</v>
      </c>
      <c r="G11" s="6">
        <f>SUM('IV&amp;V'!D11)</f>
        <v>28</v>
      </c>
      <c r="H11" s="6">
        <f>SUM('CIT Assessments'!D11)</f>
        <v>398</v>
      </c>
      <c r="I11" s="6">
        <f>SUM(Bioethics!D11)</f>
        <v>25</v>
      </c>
      <c r="J11" s="6">
        <f>SUM('Grad Prog'!D11)</f>
        <v>0</v>
      </c>
      <c r="K11" s="6">
        <f>SUM('NRSA Payback'!D11)</f>
        <v>46</v>
      </c>
      <c r="L11" s="6">
        <f>SUM('Intern Prog'!D11)</f>
        <v>28</v>
      </c>
      <c r="M11" s="6">
        <f>SUM('NIH OHR  '!D11+0)</f>
        <v>273</v>
      </c>
      <c r="N11" s="6">
        <f>SUM(' HR Residual'!D11)</f>
        <v>12</v>
      </c>
      <c r="O11" s="6">
        <f>SUM(OFM!D11)</f>
        <v>75</v>
      </c>
      <c r="P11" s="6">
        <f>SUM(UFMS!D11)</f>
        <v>430</v>
      </c>
      <c r="Q11" s="149">
        <f t="shared" si="0"/>
        <v>6640</v>
      </c>
    </row>
    <row r="12" spans="1:17" ht="15">
      <c r="A12" s="4" t="s">
        <v>21</v>
      </c>
      <c r="B12" s="6">
        <f>SUM(OTT!D12)</f>
        <v>305</v>
      </c>
      <c r="C12" s="6">
        <f>SUM(Telcom!D12)</f>
        <v>441</v>
      </c>
      <c r="D12" s="6">
        <f>SUM('IT Software Dev'!D12)</f>
        <v>1812</v>
      </c>
      <c r="E12" s="6">
        <f>SUM('eRA Ongoing'!D12)</f>
        <v>1288</v>
      </c>
      <c r="F12" s="6">
        <f>SUM('HR Ongoing'!D12)</f>
        <v>704</v>
      </c>
      <c r="G12" s="6">
        <f>SUM('IV&amp;V'!D12)</f>
        <v>189</v>
      </c>
      <c r="H12" s="6">
        <f>SUM('CIT Assessments'!D12)</f>
        <v>3384</v>
      </c>
      <c r="I12" s="6">
        <f>SUM(Bioethics!D12)</f>
        <v>16</v>
      </c>
      <c r="J12" s="6">
        <f>SUM('Grad Prog'!D12)</f>
        <v>58.348</v>
      </c>
      <c r="K12" s="6">
        <f>SUM('NRSA Payback'!D12)</f>
        <v>30</v>
      </c>
      <c r="L12" s="6">
        <f>SUM('Intern Prog'!D12)</f>
        <v>124</v>
      </c>
      <c r="M12" s="6">
        <f>SUM('NIH OHR  '!D12+0)</f>
        <v>1189</v>
      </c>
      <c r="N12" s="6">
        <f>SUM(' HR Residual'!D12)</f>
        <v>53</v>
      </c>
      <c r="O12" s="6">
        <f>SUM(OFM!D12)</f>
        <v>377</v>
      </c>
      <c r="P12" s="6">
        <f>SUM(UFMS!D12)</f>
        <v>281</v>
      </c>
      <c r="Q12" s="149">
        <f t="shared" si="0"/>
        <v>10251.348</v>
      </c>
    </row>
    <row r="13" spans="1:17" ht="15">
      <c r="A13" s="4" t="s">
        <v>22</v>
      </c>
      <c r="B13" s="6">
        <f>SUM(OTT!D13)</f>
        <v>86</v>
      </c>
      <c r="C13" s="6">
        <f>SUM(Telcom!D13)</f>
        <v>212</v>
      </c>
      <c r="D13" s="6">
        <f>SUM('IT Software Dev'!D13)</f>
        <v>953</v>
      </c>
      <c r="E13" s="6">
        <f>SUM('eRA Ongoing'!D13)</f>
        <v>705</v>
      </c>
      <c r="F13" s="6">
        <f>SUM('HR Ongoing'!D13)</f>
        <v>282</v>
      </c>
      <c r="G13" s="6">
        <f>SUM('IV&amp;V'!D13)</f>
        <v>71</v>
      </c>
      <c r="H13" s="6">
        <f>SUM('CIT Assessments'!D13)</f>
        <v>1132</v>
      </c>
      <c r="I13" s="6">
        <f>SUM(Bioethics!D13)</f>
        <v>9</v>
      </c>
      <c r="J13" s="6">
        <f>SUM('Grad Prog'!D13)</f>
        <v>16.096</v>
      </c>
      <c r="K13" s="6">
        <f>SUM('NRSA Payback'!D13)</f>
        <v>7</v>
      </c>
      <c r="L13" s="6">
        <f>SUM('Intern Prog'!D13)</f>
        <v>48</v>
      </c>
      <c r="M13" s="6">
        <f>SUM('NIH OHR  '!D13+0)</f>
        <v>462</v>
      </c>
      <c r="N13" s="6">
        <f>SUM(' HR Residual'!D13)</f>
        <v>20</v>
      </c>
      <c r="O13" s="6">
        <f>SUM(OFM!D13)</f>
        <v>156</v>
      </c>
      <c r="P13" s="6">
        <f>SUM(UFMS!D13)</f>
        <v>148</v>
      </c>
      <c r="Q13" s="149">
        <f t="shared" si="0"/>
        <v>4307.096</v>
      </c>
    </row>
    <row r="14" spans="1:17" ht="15">
      <c r="A14" s="4" t="s">
        <v>23</v>
      </c>
      <c r="B14" s="6">
        <f>SUM(OTT!D14)</f>
        <v>131</v>
      </c>
      <c r="C14" s="6">
        <f>SUM(Telcom!D14)</f>
        <v>11</v>
      </c>
      <c r="D14" s="6">
        <f>SUM('IT Software Dev'!D14)</f>
        <v>919</v>
      </c>
      <c r="E14" s="6">
        <f>SUM('eRA Ongoing'!D14)</f>
        <v>558</v>
      </c>
      <c r="F14" s="6">
        <f>SUM('HR Ongoing'!D14)</f>
        <v>873</v>
      </c>
      <c r="G14" s="6">
        <f>SUM('IV&amp;V'!D14)</f>
        <v>202</v>
      </c>
      <c r="H14" s="6">
        <f>SUM('CIT Assessments'!D14)</f>
        <v>3094</v>
      </c>
      <c r="I14" s="6">
        <f>SUM(Bioethics!D14)</f>
        <v>8</v>
      </c>
      <c r="J14" s="6">
        <f>SUM('Grad Prog'!D14)</f>
        <v>30.18</v>
      </c>
      <c r="K14" s="6">
        <f>SUM('NRSA Payback'!D14)</f>
        <v>13</v>
      </c>
      <c r="L14" s="6">
        <f>SUM('Intern Prog'!D14)</f>
        <v>151</v>
      </c>
      <c r="M14" s="6">
        <f>SUM('NIH OHR  '!D14+0)</f>
        <v>1449</v>
      </c>
      <c r="N14" s="6">
        <f>SUM(' HR Residual'!D14)</f>
        <v>64</v>
      </c>
      <c r="O14" s="6">
        <f>SUM(OFM!D14)</f>
        <v>361</v>
      </c>
      <c r="P14" s="6">
        <f>SUM(UFMS!D14)</f>
        <v>142</v>
      </c>
      <c r="Q14" s="149">
        <f t="shared" si="0"/>
        <v>8006.18</v>
      </c>
    </row>
    <row r="15" spans="1:17" ht="15">
      <c r="A15" s="4" t="s">
        <v>24</v>
      </c>
      <c r="B15" s="6">
        <f>SUM(OTT!D15)</f>
        <v>289</v>
      </c>
      <c r="C15" s="6">
        <f>SUM(Telcom!D15)</f>
        <v>117</v>
      </c>
      <c r="D15" s="6">
        <f>SUM('IT Software Dev'!D15)</f>
        <v>1499</v>
      </c>
      <c r="E15" s="6">
        <f>SUM('eRA Ongoing'!D15)</f>
        <v>1109</v>
      </c>
      <c r="F15" s="6">
        <f>SUM('HR Ongoing'!D15)</f>
        <v>487</v>
      </c>
      <c r="G15" s="6">
        <f>SUM('IV&amp;V'!D15)</f>
        <v>134</v>
      </c>
      <c r="H15" s="6">
        <f>SUM('CIT Assessments'!D15)</f>
        <v>2067</v>
      </c>
      <c r="I15" s="6">
        <f>SUM(Bioethics!D15)</f>
        <v>13</v>
      </c>
      <c r="J15" s="6">
        <f>SUM('Grad Prog'!D15)</f>
        <v>36.216</v>
      </c>
      <c r="K15" s="6">
        <f>SUM('NRSA Payback'!D15)</f>
        <v>8</v>
      </c>
      <c r="L15" s="6">
        <f>SUM('Intern Prog'!D15)</f>
        <v>86</v>
      </c>
      <c r="M15" s="6">
        <f>SUM('NIH OHR  '!D15+0)</f>
        <v>827</v>
      </c>
      <c r="N15" s="6">
        <f>SUM(' HR Residual'!D15)</f>
        <v>37</v>
      </c>
      <c r="O15" s="6">
        <f>SUM(OFM!D15)</f>
        <v>266</v>
      </c>
      <c r="P15" s="6">
        <f>SUM(UFMS!D15)</f>
        <v>232</v>
      </c>
      <c r="Q15" s="149">
        <f t="shared" si="0"/>
        <v>7207.216</v>
      </c>
    </row>
    <row r="16" spans="1:17" ht="15">
      <c r="A16" s="4" t="s">
        <v>25</v>
      </c>
      <c r="B16" s="6">
        <f>SUM(OTT!D16)</f>
        <v>65</v>
      </c>
      <c r="C16" s="6">
        <f>SUM(Telcom!D16)</f>
        <v>173</v>
      </c>
      <c r="D16" s="6">
        <f>SUM('IT Software Dev'!D16)</f>
        <v>727</v>
      </c>
      <c r="E16" s="6">
        <f>SUM('eRA Ongoing'!D16)</f>
        <v>532</v>
      </c>
      <c r="F16" s="6">
        <f>SUM('HR Ongoing'!D16)</f>
        <v>267</v>
      </c>
      <c r="G16" s="6">
        <f>SUM('IV&amp;V'!D16)</f>
        <v>59</v>
      </c>
      <c r="H16" s="6">
        <f>SUM('CIT Assessments'!D16)</f>
        <v>972</v>
      </c>
      <c r="I16" s="6">
        <f>SUM(Bioethics!D16)</f>
        <v>7</v>
      </c>
      <c r="J16" s="6">
        <f>SUM('Grad Prog'!D16)</f>
        <v>16.096</v>
      </c>
      <c r="K16" s="6">
        <f>SUM('NRSA Payback'!D16)</f>
        <v>35</v>
      </c>
      <c r="L16" s="6">
        <f>SUM('Intern Prog'!D16)</f>
        <v>48</v>
      </c>
      <c r="M16" s="6">
        <f>SUM('NIH OHR  '!D16+0)</f>
        <v>464</v>
      </c>
      <c r="N16" s="6">
        <f>SUM(' HR Residual'!D16)</f>
        <v>21</v>
      </c>
      <c r="O16" s="6">
        <f>SUM(OFM!D16)</f>
        <v>144</v>
      </c>
      <c r="P16" s="6">
        <f>SUM(UFMS!D16)</f>
        <v>113</v>
      </c>
      <c r="Q16" s="149">
        <f t="shared" si="0"/>
        <v>3643.096</v>
      </c>
    </row>
    <row r="17" spans="1:17" ht="15">
      <c r="A17" s="4" t="s">
        <v>26</v>
      </c>
      <c r="B17" s="6">
        <f>SUM(OTT!D17)</f>
        <v>77</v>
      </c>
      <c r="C17" s="6">
        <f>SUM(Telcom!D17)</f>
        <v>113</v>
      </c>
      <c r="D17" s="6">
        <f>SUM('IT Software Dev'!D17)</f>
        <v>564</v>
      </c>
      <c r="E17" s="6">
        <f>SUM('eRA Ongoing'!D17)</f>
        <v>418</v>
      </c>
      <c r="F17" s="6">
        <f>SUM('HR Ongoing'!D17)</f>
        <v>178</v>
      </c>
      <c r="G17" s="6">
        <f>SUM('IV&amp;V'!D17)</f>
        <v>39</v>
      </c>
      <c r="H17" s="6">
        <f>SUM('CIT Assessments'!D17)</f>
        <v>631</v>
      </c>
      <c r="I17" s="6">
        <f>SUM(Bioethics!D17)</f>
        <v>5</v>
      </c>
      <c r="J17" s="6">
        <f>SUM('Grad Prog'!D17)</f>
        <v>28.168</v>
      </c>
      <c r="K17" s="6">
        <f>SUM('NRSA Payback'!D17)</f>
        <v>7</v>
      </c>
      <c r="L17" s="6">
        <f>SUM('Intern Prog'!D17)</f>
        <v>31</v>
      </c>
      <c r="M17" s="6">
        <f>SUM('NIH OHR  '!D17+0)</f>
        <v>295</v>
      </c>
      <c r="N17" s="6">
        <f>SUM(' HR Residual'!D17)</f>
        <v>13</v>
      </c>
      <c r="O17" s="6">
        <f>SUM(OFM!D17)</f>
        <v>92</v>
      </c>
      <c r="P17" s="6">
        <f>SUM(UFMS!D17)</f>
        <v>87</v>
      </c>
      <c r="Q17" s="149">
        <f t="shared" si="0"/>
        <v>2578.168</v>
      </c>
    </row>
    <row r="18" spans="1:17" ht="15">
      <c r="A18" s="4" t="s">
        <v>27</v>
      </c>
      <c r="B18" s="6">
        <f>SUM(OTT!D18)</f>
        <v>253</v>
      </c>
      <c r="C18" s="6">
        <f>SUM(Telcom!D18)</f>
        <v>475</v>
      </c>
      <c r="D18" s="6">
        <f>SUM('IT Software Dev'!D18)</f>
        <v>2010</v>
      </c>
      <c r="E18" s="6">
        <f>SUM('eRA Ongoing'!D18)</f>
        <v>1446</v>
      </c>
      <c r="F18" s="6">
        <f>SUM('HR Ongoing'!D18)</f>
        <v>777</v>
      </c>
      <c r="G18" s="6">
        <f>SUM('IV&amp;V'!D18)</f>
        <v>181</v>
      </c>
      <c r="H18" s="6">
        <f>SUM('CIT Assessments'!D18)</f>
        <v>2858</v>
      </c>
      <c r="I18" s="6">
        <f>SUM(Bioethics!D18)</f>
        <v>18</v>
      </c>
      <c r="J18" s="6">
        <f>SUM('Grad Prog'!D18)</f>
        <v>54.324</v>
      </c>
      <c r="K18" s="6">
        <f>SUM('NRSA Payback'!D18)</f>
        <v>33</v>
      </c>
      <c r="L18" s="6">
        <f>SUM('Intern Prog'!D18)</f>
        <v>145</v>
      </c>
      <c r="M18" s="6">
        <f>SUM('NIH OHR  '!D18+0)</f>
        <v>1391</v>
      </c>
      <c r="N18" s="6">
        <f>SUM(' HR Residual'!D18)</f>
        <v>62</v>
      </c>
      <c r="O18" s="6">
        <f>SUM(OFM!D18)</f>
        <v>303</v>
      </c>
      <c r="P18" s="6">
        <f>SUM(UFMS!D18)</f>
        <v>312</v>
      </c>
      <c r="Q18" s="149">
        <f t="shared" si="0"/>
        <v>10318.324</v>
      </c>
    </row>
    <row r="19" spans="1:17" ht="15">
      <c r="A19" s="4" t="s">
        <v>28</v>
      </c>
      <c r="B19" s="6">
        <f>SUM(OTT!D19)</f>
        <v>84</v>
      </c>
      <c r="C19" s="6">
        <f>SUM(Telcom!D19)</f>
        <v>122</v>
      </c>
      <c r="D19" s="6">
        <f>SUM('IT Software Dev'!D19)</f>
        <v>1434</v>
      </c>
      <c r="E19" s="6">
        <f>SUM('eRA Ongoing'!D19)</f>
        <v>1062</v>
      </c>
      <c r="F19" s="6">
        <f>SUM('HR Ongoing'!D19)</f>
        <v>466</v>
      </c>
      <c r="G19" s="6">
        <f>SUM('IV&amp;V'!D19)</f>
        <v>112</v>
      </c>
      <c r="H19" s="6">
        <f>SUM('CIT Assessments'!D19)</f>
        <v>1662</v>
      </c>
      <c r="I19" s="6">
        <f>SUM(Bioethics!D19)</f>
        <v>13</v>
      </c>
      <c r="J19" s="6">
        <f>SUM('Grad Prog'!D19)</f>
        <v>22.132</v>
      </c>
      <c r="K19" s="6">
        <f>SUM('NRSA Payback'!D19)</f>
        <v>11</v>
      </c>
      <c r="L19" s="6">
        <f>SUM('Intern Prog'!D19)</f>
        <v>83</v>
      </c>
      <c r="M19" s="6">
        <f>SUM('NIH OHR  '!D19+0)</f>
        <v>794</v>
      </c>
      <c r="N19" s="6">
        <f>SUM(' HR Residual'!D19)</f>
        <v>35</v>
      </c>
      <c r="O19" s="6">
        <f>SUM(OFM!D19)</f>
        <v>172</v>
      </c>
      <c r="P19" s="6">
        <f>SUM(UFMS!D19)</f>
        <v>222</v>
      </c>
      <c r="Q19" s="149">
        <f t="shared" si="0"/>
        <v>6294.132</v>
      </c>
    </row>
    <row r="20" spans="1:17" ht="15">
      <c r="A20" s="4" t="s">
        <v>29</v>
      </c>
      <c r="B20" s="6">
        <f>SUM(OTT!D20)</f>
        <v>64</v>
      </c>
      <c r="C20" s="6">
        <f>SUM(Telcom!D20)</f>
        <v>143</v>
      </c>
      <c r="D20" s="6">
        <f>SUM('IT Software Dev'!D20)</f>
        <v>625</v>
      </c>
      <c r="E20" s="6">
        <f>SUM('eRA Ongoing'!D20)</f>
        <v>449</v>
      </c>
      <c r="F20" s="6">
        <f>SUM('HR Ongoing'!D20)</f>
        <v>284</v>
      </c>
      <c r="G20" s="6">
        <f>SUM('IV&amp;V'!D20)</f>
        <v>46</v>
      </c>
      <c r="H20" s="6">
        <f>SUM('CIT Assessments'!D20)</f>
        <v>741</v>
      </c>
      <c r="I20" s="6">
        <f>SUM(Bioethics!D20)</f>
        <v>6</v>
      </c>
      <c r="J20" s="6">
        <f>SUM('Grad Prog'!D20)</f>
        <v>18.108</v>
      </c>
      <c r="K20" s="6">
        <f>SUM('NRSA Payback'!D20)</f>
        <v>3</v>
      </c>
      <c r="L20" s="6">
        <f>SUM('Intern Prog'!D20)</f>
        <v>51</v>
      </c>
      <c r="M20" s="6">
        <f>SUM('NIH OHR  '!D20+0)</f>
        <v>492</v>
      </c>
      <c r="N20" s="6">
        <f>SUM(' HR Residual'!D20)</f>
        <v>22</v>
      </c>
      <c r="O20" s="6">
        <f>SUM(OFM!D20)</f>
        <v>119</v>
      </c>
      <c r="P20" s="6">
        <f>SUM(UFMS!D20)</f>
        <v>97</v>
      </c>
      <c r="Q20" s="149">
        <f t="shared" si="0"/>
        <v>3160.108</v>
      </c>
    </row>
    <row r="21" spans="1:17" ht="15">
      <c r="A21" s="4" t="s">
        <v>30</v>
      </c>
      <c r="B21" s="6">
        <f>SUM(OTT!D21)</f>
        <v>1</v>
      </c>
      <c r="C21" s="6">
        <f>SUM(Telcom!D21)</f>
        <v>25</v>
      </c>
      <c r="D21" s="6">
        <f>SUM('IT Software Dev'!D21)</f>
        <v>197</v>
      </c>
      <c r="E21" s="6">
        <f>SUM('eRA Ongoing'!D21)</f>
        <v>153</v>
      </c>
      <c r="F21" s="6">
        <f>SUM('HR Ongoing'!D21)</f>
        <v>69</v>
      </c>
      <c r="G21" s="6">
        <f>SUM('IV&amp;V'!D21)</f>
        <v>10</v>
      </c>
      <c r="H21" s="6">
        <f>SUM('CIT Assessments'!D21)</f>
        <v>151</v>
      </c>
      <c r="I21" s="6">
        <f>SUM(Bioethics!D21)</f>
        <v>2</v>
      </c>
      <c r="J21" s="6">
        <f>SUM('Grad Prog'!D21)</f>
        <v>12.072</v>
      </c>
      <c r="K21" s="6">
        <f>SUM('NRSA Payback'!D21)</f>
        <v>6</v>
      </c>
      <c r="L21" s="6">
        <f>SUM('Intern Prog'!D21)</f>
        <v>10</v>
      </c>
      <c r="M21" s="6">
        <f>SUM('NIH OHR  '!D21+0)</f>
        <v>95</v>
      </c>
      <c r="N21" s="6">
        <f>SUM(' HR Residual'!D21)</f>
        <v>4</v>
      </c>
      <c r="O21" s="6">
        <f>SUM(OFM!D21)</f>
        <v>21</v>
      </c>
      <c r="P21" s="6">
        <f>SUM(UFMS!D21)</f>
        <v>31</v>
      </c>
      <c r="Q21" s="149">
        <f t="shared" si="0"/>
        <v>787.072</v>
      </c>
    </row>
    <row r="22" spans="1:17" ht="15">
      <c r="A22" s="4" t="s">
        <v>31</v>
      </c>
      <c r="B22" s="6">
        <f>SUM(OTT!D22)</f>
        <v>148</v>
      </c>
      <c r="C22" s="6">
        <f>SUM(Telcom!D22)</f>
        <v>277</v>
      </c>
      <c r="D22" s="6">
        <f>SUM('IT Software Dev'!D22)</f>
        <v>696</v>
      </c>
      <c r="E22" s="6">
        <f>SUM('eRA Ongoing'!D22)</f>
        <v>452</v>
      </c>
      <c r="F22" s="6">
        <f>SUM('HR Ongoing'!D22)</f>
        <v>372</v>
      </c>
      <c r="G22" s="6">
        <f>SUM('IV&amp;V'!D22)</f>
        <v>82</v>
      </c>
      <c r="H22" s="6">
        <f>SUM('CIT Assessments'!D22)</f>
        <v>1385</v>
      </c>
      <c r="I22" s="6">
        <f>SUM(Bioethics!D22)</f>
        <v>6</v>
      </c>
      <c r="J22" s="6">
        <f>SUM('Grad Prog'!D22)</f>
        <v>46.276</v>
      </c>
      <c r="K22" s="6">
        <f>SUM('NRSA Payback'!D22)</f>
        <v>3</v>
      </c>
      <c r="L22" s="6">
        <f>SUM('Intern Prog'!D22)</f>
        <v>68</v>
      </c>
      <c r="M22" s="6">
        <f>SUM('NIH OHR  '!D22+0)</f>
        <v>653</v>
      </c>
      <c r="N22" s="6">
        <f>SUM(' HR Residual'!D22)</f>
        <v>29</v>
      </c>
      <c r="O22" s="6">
        <f>SUM(OFM!D22)</f>
        <v>262</v>
      </c>
      <c r="P22" s="6">
        <f>SUM(UFMS!D22)</f>
        <v>108</v>
      </c>
      <c r="Q22" s="149">
        <f t="shared" si="0"/>
        <v>4587.276</v>
      </c>
    </row>
    <row r="23" spans="1:17" ht="15">
      <c r="A23" s="4" t="s">
        <v>32</v>
      </c>
      <c r="B23" s="6">
        <f>SUM(OTT!D23)</f>
        <v>0</v>
      </c>
      <c r="C23" s="6">
        <f>SUM(Telcom!D23)</f>
        <v>30</v>
      </c>
      <c r="D23" s="6">
        <f>SUM('IT Software Dev'!D23)</f>
        <v>425</v>
      </c>
      <c r="E23" s="6">
        <f>SUM('eRA Ongoing'!D23)</f>
        <v>335</v>
      </c>
      <c r="F23" s="6">
        <f>SUM('HR Ongoing'!D23)</f>
        <v>72</v>
      </c>
      <c r="G23" s="6">
        <f>SUM('IV&amp;V'!D23)</f>
        <v>13</v>
      </c>
      <c r="H23" s="6">
        <f>SUM('CIT Assessments'!D23)</f>
        <v>187</v>
      </c>
      <c r="I23" s="6">
        <f>SUM(Bioethics!D23)</f>
        <v>4</v>
      </c>
      <c r="J23" s="6">
        <f>SUM('Grad Prog'!D23)</f>
        <v>0</v>
      </c>
      <c r="K23" s="6">
        <f>SUM('NRSA Payback'!D23)</f>
        <v>2</v>
      </c>
      <c r="L23" s="6">
        <f>SUM('Intern Prog'!D23)</f>
        <v>11</v>
      </c>
      <c r="M23" s="6">
        <f>SUM('NIH OHR  '!D23+0)</f>
        <v>108</v>
      </c>
      <c r="N23" s="6">
        <f>SUM(' HR Residual'!D23)</f>
        <v>5</v>
      </c>
      <c r="O23" s="6">
        <f>SUM(OFM!D23)</f>
        <v>26</v>
      </c>
      <c r="P23" s="6">
        <f>SUM(UFMS!D23)</f>
        <v>66</v>
      </c>
      <c r="Q23" s="149">
        <f t="shared" si="0"/>
        <v>1284</v>
      </c>
    </row>
    <row r="24" spans="1:17" ht="15">
      <c r="A24" s="4" t="s">
        <v>33</v>
      </c>
      <c r="B24" s="6">
        <f>SUM(OTT!D24)</f>
        <v>0</v>
      </c>
      <c r="C24" s="6">
        <f>SUM(Telcom!D24)</f>
        <v>51</v>
      </c>
      <c r="D24" s="6">
        <f>SUM('IT Software Dev'!D24)</f>
        <v>1583</v>
      </c>
      <c r="E24" s="6">
        <f>SUM('eRA Ongoing'!D24)</f>
        <v>1322</v>
      </c>
      <c r="F24" s="6">
        <f>SUM('HR Ongoing'!D24)</f>
        <v>150</v>
      </c>
      <c r="G24" s="6">
        <f>SUM('IV&amp;V'!D24)</f>
        <v>17</v>
      </c>
      <c r="H24" s="6">
        <f>SUM('CIT Assessments'!D24)</f>
        <v>259</v>
      </c>
      <c r="I24" s="6">
        <f>SUM(Bioethics!D24)</f>
        <v>14</v>
      </c>
      <c r="J24" s="6">
        <f>SUM('Grad Prog'!D24)</f>
        <v>0</v>
      </c>
      <c r="K24" s="6">
        <f>SUM('NRSA Payback'!D24)</f>
        <v>2</v>
      </c>
      <c r="L24" s="6">
        <f>SUM('Intern Prog'!D24)</f>
        <v>24</v>
      </c>
      <c r="M24" s="6">
        <f>SUM('NIH OHR  '!D24+0)</f>
        <v>234</v>
      </c>
      <c r="N24" s="6">
        <f>SUM(' HR Residual'!D24)</f>
        <v>10</v>
      </c>
      <c r="O24" s="6">
        <f>SUM(OFM!D24)</f>
        <v>35</v>
      </c>
      <c r="P24" s="6">
        <f>SUM(UFMS!D24)</f>
        <v>245</v>
      </c>
      <c r="Q24" s="149">
        <f t="shared" si="0"/>
        <v>3946</v>
      </c>
    </row>
    <row r="25" spans="1:17" ht="15">
      <c r="A25" s="4" t="s">
        <v>34</v>
      </c>
      <c r="B25" s="6">
        <f>SUM(OTT!D25)</f>
        <v>0</v>
      </c>
      <c r="C25" s="6">
        <f>SUM(Telcom!D25)</f>
        <v>21</v>
      </c>
      <c r="D25" s="6">
        <f>SUM('IT Software Dev'!D25)</f>
        <v>174</v>
      </c>
      <c r="E25" s="6">
        <f>SUM('eRA Ongoing'!D25)</f>
        <v>122</v>
      </c>
      <c r="F25" s="6">
        <f>SUM('HR Ongoing'!D25)</f>
        <v>102</v>
      </c>
      <c r="G25" s="6">
        <f>SUM('IV&amp;V'!D25)</f>
        <v>17</v>
      </c>
      <c r="H25" s="6">
        <f>SUM('CIT Assessments'!D25)</f>
        <v>256</v>
      </c>
      <c r="I25" s="6">
        <f>SUM(Bioethics!D25)</f>
        <v>2</v>
      </c>
      <c r="J25" s="6">
        <f>SUM('Grad Prog'!D25)</f>
        <v>0</v>
      </c>
      <c r="K25" s="6">
        <f>SUM('NRSA Payback'!D25)</f>
        <v>2</v>
      </c>
      <c r="L25" s="6">
        <f>SUM('Intern Prog'!D25)</f>
        <v>17</v>
      </c>
      <c r="M25" s="6">
        <f>SUM('NIH OHR  '!D25+0)</f>
        <v>165</v>
      </c>
      <c r="N25" s="6">
        <f>SUM(' HR Residual'!D25)</f>
        <v>7</v>
      </c>
      <c r="O25" s="6">
        <f>SUM(OFM!D25)</f>
        <v>30</v>
      </c>
      <c r="P25" s="6">
        <f>SUM(UFMS!D25)</f>
        <v>27</v>
      </c>
      <c r="Q25" s="149">
        <f t="shared" si="0"/>
        <v>942</v>
      </c>
    </row>
    <row r="26" spans="1:17" ht="15">
      <c r="A26" s="4" t="s">
        <v>35</v>
      </c>
      <c r="B26" s="6">
        <f>SUM(OTT!D26)</f>
        <v>0</v>
      </c>
      <c r="C26" s="6">
        <f>SUM(Telcom!D26)</f>
        <v>16</v>
      </c>
      <c r="D26" s="6">
        <f>SUM('IT Software Dev'!D26)</f>
        <v>280</v>
      </c>
      <c r="E26" s="6">
        <f>SUM('eRA Ongoing'!D26)</f>
        <v>225</v>
      </c>
      <c r="F26" s="6">
        <f>SUM('HR Ongoing'!D26)</f>
        <v>39</v>
      </c>
      <c r="G26" s="6">
        <f>SUM('IV&amp;V'!D26)</f>
        <v>5</v>
      </c>
      <c r="H26" s="6">
        <f>SUM('CIT Assessments'!D26)</f>
        <v>127</v>
      </c>
      <c r="I26" s="6">
        <f>SUM(Bioethics!D26)</f>
        <v>3</v>
      </c>
      <c r="J26" s="6">
        <f>SUM('Grad Prog'!D26)</f>
        <v>0</v>
      </c>
      <c r="K26" s="6">
        <f>SUM('NRSA Payback'!D26)</f>
        <v>0</v>
      </c>
      <c r="L26" s="6">
        <f>SUM('Intern Prog'!D26)</f>
        <v>7</v>
      </c>
      <c r="M26" s="6">
        <f>SUM('NIH OHR  '!D26+0)</f>
        <v>63</v>
      </c>
      <c r="N26" s="6">
        <f>SUM(' HR Residual'!D26)</f>
        <v>3</v>
      </c>
      <c r="O26" s="6">
        <f>SUM(OFM!D26)</f>
        <v>13</v>
      </c>
      <c r="P26" s="6">
        <f>SUM(UFMS!D26)</f>
        <v>43</v>
      </c>
      <c r="Q26" s="149">
        <f t="shared" si="0"/>
        <v>824</v>
      </c>
    </row>
    <row r="27" spans="1:17" ht="15">
      <c r="A27" s="4" t="s">
        <v>36</v>
      </c>
      <c r="B27" s="6">
        <f>SUM(OTT!D27)</f>
        <v>0</v>
      </c>
      <c r="C27" s="6">
        <f>SUM(Telcom!D27)</f>
        <v>27</v>
      </c>
      <c r="D27" s="6">
        <f>SUM('IT Software Dev'!D27)</f>
        <v>96</v>
      </c>
      <c r="E27" s="6">
        <f>SUM('eRA Ongoing'!D27)</f>
        <v>68</v>
      </c>
      <c r="F27" s="6">
        <f>SUM('HR Ongoing'!D27)</f>
        <v>80</v>
      </c>
      <c r="G27" s="6">
        <f>SUM('IV&amp;V'!D27)</f>
        <v>10</v>
      </c>
      <c r="H27" s="6">
        <f>SUM('CIT Assessments'!D27)</f>
        <v>153</v>
      </c>
      <c r="I27" s="6">
        <f>SUM(Bioethics!D27)</f>
        <v>1</v>
      </c>
      <c r="J27" s="6">
        <f>SUM('Grad Prog'!D27)</f>
        <v>0</v>
      </c>
      <c r="K27" s="6">
        <f>SUM('NRSA Payback'!D27)</f>
        <v>0</v>
      </c>
      <c r="L27" s="6">
        <f>SUM('Intern Prog'!D27)</f>
        <v>12</v>
      </c>
      <c r="M27" s="6">
        <f>SUM('NIH OHR  '!D27+0)</f>
        <v>117</v>
      </c>
      <c r="N27" s="6">
        <f>SUM(' HR Residual'!D27)</f>
        <v>5</v>
      </c>
      <c r="O27" s="6">
        <f>SUM(OFM!D27)</f>
        <v>19</v>
      </c>
      <c r="P27" s="6">
        <f>SUM(UFMS!D27)</f>
        <v>15</v>
      </c>
      <c r="Q27" s="149">
        <f t="shared" si="0"/>
        <v>603</v>
      </c>
    </row>
    <row r="28" spans="1:17" ht="15">
      <c r="A28" s="4" t="s">
        <v>37</v>
      </c>
      <c r="B28" s="6">
        <f>SUM(OTT!D28)</f>
        <v>2</v>
      </c>
      <c r="C28" s="6">
        <f>SUM(Telcom!D28)</f>
        <v>435</v>
      </c>
      <c r="D28" s="6">
        <f>SUM('IT Software Dev'!D28)</f>
        <v>451</v>
      </c>
      <c r="E28" s="6">
        <f>SUM('eRA Ongoing'!D28)</f>
        <v>86</v>
      </c>
      <c r="F28" s="6">
        <f>SUM('HR Ongoing'!D28)</f>
        <v>887</v>
      </c>
      <c r="G28" s="6">
        <f>SUM('IV&amp;V'!D28)</f>
        <v>202</v>
      </c>
      <c r="H28" s="6">
        <f>SUM('CIT Assessments'!D28)</f>
        <v>2937</v>
      </c>
      <c r="I28" s="6">
        <f>SUM(Bioethics!D28)</f>
        <v>4</v>
      </c>
      <c r="J28" s="6">
        <f>SUM('Grad Prog'!D28)</f>
        <v>18.108</v>
      </c>
      <c r="K28" s="6">
        <f>SUM('NRSA Payback'!D28)</f>
        <v>0</v>
      </c>
      <c r="L28" s="6">
        <f>SUM('Intern Prog'!D28)</f>
        <v>150</v>
      </c>
      <c r="M28" s="6">
        <f>SUM('NIH OHR  '!D28+0)</f>
        <v>1436</v>
      </c>
      <c r="N28" s="6">
        <f>SUM(' HR Residual'!D28)</f>
        <v>64</v>
      </c>
      <c r="O28" s="6">
        <f>SUM(OFM!D28)</f>
        <v>122</v>
      </c>
      <c r="P28" s="6">
        <f>SUM(UFMS!D28)</f>
        <v>70</v>
      </c>
      <c r="Q28" s="149">
        <f t="shared" si="0"/>
        <v>6864.108</v>
      </c>
    </row>
    <row r="29" spans="1:17" ht="15">
      <c r="A29" s="4" t="s">
        <v>38</v>
      </c>
      <c r="B29" s="6">
        <f>SUM(OTT!D29)</f>
        <v>471</v>
      </c>
      <c r="C29" s="6">
        <f>SUM(Telcom!D29)</f>
        <v>0</v>
      </c>
      <c r="D29" s="6">
        <f>SUM('IT Software Dev'!D29)</f>
        <v>0</v>
      </c>
      <c r="E29" s="6">
        <f>SUM('eRA Ongoing'!D29)</f>
        <v>0</v>
      </c>
      <c r="F29" s="6">
        <f>SUM('HR Ongoing'!D29)</f>
        <v>0</v>
      </c>
      <c r="G29" s="6">
        <f>SUM('IV&amp;V'!D29)</f>
        <v>0</v>
      </c>
      <c r="H29" s="6">
        <f>SUM('CIT Assessments'!D29)</f>
        <v>825</v>
      </c>
      <c r="I29" s="6">
        <f>SUM(Bioethics!D29)</f>
        <v>0</v>
      </c>
      <c r="J29" s="6">
        <f>SUM('Grad Prog'!D29)</f>
        <v>0</v>
      </c>
      <c r="K29" s="6">
        <f>SUM('NRSA Payback'!D29)</f>
        <v>0</v>
      </c>
      <c r="L29" s="6">
        <f>SUM('Intern Prog'!D29)</f>
        <v>0</v>
      </c>
      <c r="M29" s="6">
        <f>SUM('NIH OHR  '!D29+0)</f>
        <v>0</v>
      </c>
      <c r="N29" s="6">
        <f>SUM(' HR Residual'!D29)</f>
        <v>0</v>
      </c>
      <c r="O29" s="6">
        <f>SUM(OFM!D29)</f>
        <v>0</v>
      </c>
      <c r="P29" s="6">
        <f>SUM(UFMS!D29)</f>
        <v>0</v>
      </c>
      <c r="Q29" s="149">
        <f t="shared" si="0"/>
        <v>1296</v>
      </c>
    </row>
    <row r="30" spans="1:17" ht="15">
      <c r="A30" s="4" t="s">
        <v>8</v>
      </c>
      <c r="B30" s="6">
        <f>SUM(OTT!D30)</f>
        <v>0</v>
      </c>
      <c r="C30" s="6">
        <f>SUM(Telcom!D30)</f>
        <v>397</v>
      </c>
      <c r="D30" s="6">
        <f>SUM('IT Software Dev'!D30)</f>
        <v>580</v>
      </c>
      <c r="E30" s="6">
        <f>SUM('eRA Ongoing'!D30)</f>
        <v>271</v>
      </c>
      <c r="F30" s="6">
        <f>SUM('HR Ongoing'!D30)</f>
        <v>157</v>
      </c>
      <c r="G30" s="6">
        <f>SUM('IV&amp;V'!D30)</f>
        <v>126</v>
      </c>
      <c r="H30" s="6">
        <f>SUM('CIT Assessments'!D30)</f>
        <v>1977</v>
      </c>
      <c r="I30" s="6">
        <f>SUM(Bioethics!D30)</f>
        <v>1557</v>
      </c>
      <c r="J30" s="6">
        <f>SUM('Grad Prog'!D30)</f>
        <v>60.36</v>
      </c>
      <c r="K30" s="6">
        <f>SUM('NRSA Payback'!D30)</f>
        <v>0</v>
      </c>
      <c r="L30" s="6">
        <f>SUM('Intern Prog'!D30)</f>
        <v>142</v>
      </c>
      <c r="M30" s="6">
        <f>SUM('NIH OHR  '!D30+0)</f>
        <v>1358</v>
      </c>
      <c r="N30" s="6">
        <f>SUM(' HR Residual'!D30)</f>
        <v>60</v>
      </c>
      <c r="O30" s="6">
        <f>SUM(OFM!D30)</f>
        <v>249</v>
      </c>
      <c r="P30" s="6">
        <f>SUM(UFMS!D30)</f>
        <v>90</v>
      </c>
      <c r="Q30" s="149">
        <f t="shared" si="0"/>
        <v>7024.36</v>
      </c>
    </row>
    <row r="31" spans="1:17" ht="15">
      <c r="A31" s="4" t="s">
        <v>51</v>
      </c>
      <c r="B31" s="6">
        <f>SUM(OTT!D31)</f>
        <v>0</v>
      </c>
      <c r="C31" s="6">
        <f>SUM(Telcom!D31)</f>
        <v>434</v>
      </c>
      <c r="D31" s="6">
        <f>SUM('IT Software Dev'!D31)</f>
        <v>0</v>
      </c>
      <c r="E31" s="6">
        <f>SUM('eRA Ongoing'!D31)</f>
        <v>0</v>
      </c>
      <c r="F31" s="6">
        <f>SUM('HR Ongoing'!D31)</f>
        <v>0</v>
      </c>
      <c r="G31" s="6">
        <f>SUM('IV&amp;V'!D31)</f>
        <v>0</v>
      </c>
      <c r="H31" s="6">
        <f>SUM('CIT Assessments'!D31)</f>
        <v>2097</v>
      </c>
      <c r="I31" s="6">
        <f>SUM(Bioethics!D31)</f>
        <v>0</v>
      </c>
      <c r="J31" s="6">
        <f>SUM('Grad Prog'!D31)</f>
        <v>0</v>
      </c>
      <c r="K31" s="6">
        <f>SUM('NRSA Payback'!D31)</f>
        <v>0</v>
      </c>
      <c r="L31" s="6">
        <f>SUM('Intern Prog'!D31)</f>
        <v>249</v>
      </c>
      <c r="M31" s="6">
        <f>SUM('NIH OHR  '!D31+0)</f>
        <v>2389</v>
      </c>
      <c r="N31" s="6">
        <f>SUM(' HR Residual'!D31)</f>
        <v>106</v>
      </c>
      <c r="O31" s="6">
        <f>SUM(OFM!D31)</f>
        <v>843</v>
      </c>
      <c r="P31" s="6">
        <f>SUM(UFMS!D31)</f>
        <v>0</v>
      </c>
      <c r="Q31" s="149">
        <f t="shared" si="0"/>
        <v>6118</v>
      </c>
    </row>
    <row r="32" spans="1:17" ht="15">
      <c r="A32" s="4" t="s">
        <v>39</v>
      </c>
      <c r="B32" s="6">
        <f>SUM(OTT!D32)</f>
        <v>157</v>
      </c>
      <c r="C32" s="6">
        <f>SUM(Telcom!D32)</f>
        <v>1167</v>
      </c>
      <c r="D32" s="6">
        <f>SUM('IT Software Dev'!D32)</f>
        <v>0</v>
      </c>
      <c r="E32" s="6">
        <f>SUM('eRA Ongoing'!D32)</f>
        <v>0</v>
      </c>
      <c r="F32" s="6">
        <f>SUM('HR Ongoing'!D32)</f>
        <v>0</v>
      </c>
      <c r="G32" s="6">
        <f>SUM('IV&amp;V'!D32)</f>
        <v>0</v>
      </c>
      <c r="H32" s="6">
        <f>SUM('CIT Assessments'!D32)</f>
        <v>4874</v>
      </c>
      <c r="I32" s="6">
        <f>SUM(Bioethics!D32)</f>
        <v>0</v>
      </c>
      <c r="J32" s="6">
        <f>SUM('Grad Prog'!D32)</f>
        <v>8.048</v>
      </c>
      <c r="K32" s="6">
        <f>SUM('NRSA Payback'!D32)</f>
        <v>0</v>
      </c>
      <c r="L32" s="6">
        <f>SUM('Intern Prog'!D32)</f>
        <v>420</v>
      </c>
      <c r="M32" s="6">
        <f>SUM('NIH OHR  '!D32+0)</f>
        <v>4029</v>
      </c>
      <c r="N32" s="6">
        <f>SUM(' HR Residual'!D32)</f>
        <v>179</v>
      </c>
      <c r="O32" s="6">
        <f>SUM(OFM!D32)</f>
        <v>337</v>
      </c>
      <c r="P32" s="6">
        <f>SUM(UFMS!D32)</f>
        <v>0</v>
      </c>
      <c r="Q32" s="149">
        <f t="shared" si="0"/>
        <v>11171.047999999999</v>
      </c>
    </row>
    <row r="33" spans="1:17" ht="15">
      <c r="A33" s="4" t="s">
        <v>5</v>
      </c>
      <c r="B33" s="6">
        <f>SUM(OTT!D33)</f>
        <v>0</v>
      </c>
      <c r="C33" s="6">
        <f>SUM(Telcom!D33)</f>
        <v>146</v>
      </c>
      <c r="D33" s="6">
        <f>SUM('IT Software Dev'!D33)</f>
        <v>0</v>
      </c>
      <c r="E33" s="6">
        <f>SUM('eRA Ongoing'!D33)</f>
        <v>0</v>
      </c>
      <c r="F33" s="6">
        <f>SUM('HR Ongoing'!D33)</f>
        <v>0</v>
      </c>
      <c r="G33" s="6">
        <f>SUM('IV&amp;V'!D33)</f>
        <v>0</v>
      </c>
      <c r="H33" s="6">
        <f>SUM('CIT Assessments'!D33)</f>
        <v>741</v>
      </c>
      <c r="I33" s="6">
        <f>SUM(Bioethics!D33)</f>
        <v>0</v>
      </c>
      <c r="J33" s="6">
        <f>SUM('Grad Prog'!D33)</f>
        <v>0</v>
      </c>
      <c r="K33" s="6">
        <f>SUM('NRSA Payback'!D33)</f>
        <v>0</v>
      </c>
      <c r="L33" s="6">
        <f>SUM('Intern Prog'!D33)</f>
        <v>67</v>
      </c>
      <c r="M33" s="6">
        <f>SUM('NIH OHR  '!D33+0)</f>
        <v>644</v>
      </c>
      <c r="N33" s="6">
        <f>SUM(' HR Residual'!D33)</f>
        <v>29</v>
      </c>
      <c r="O33" s="6">
        <f>SUM(OFM!D33)</f>
        <v>142</v>
      </c>
      <c r="P33" s="6">
        <f>SUM(UFMS!D33)</f>
        <v>0</v>
      </c>
      <c r="Q33" s="149">
        <f t="shared" si="0"/>
        <v>1769</v>
      </c>
    </row>
    <row r="34" spans="1:17" ht="15">
      <c r="A34" s="4" t="s">
        <v>6</v>
      </c>
      <c r="B34" s="6">
        <f>SUM(OTT!D34)</f>
        <v>3</v>
      </c>
      <c r="C34" s="6">
        <f>SUM(Telcom!D34)</f>
        <v>574</v>
      </c>
      <c r="D34" s="6">
        <f>SUM('IT Software Dev'!D34)</f>
        <v>0</v>
      </c>
      <c r="E34" s="6">
        <f>SUM('eRA Ongoing'!D34)</f>
        <v>0</v>
      </c>
      <c r="F34" s="6">
        <f>SUM('HR Ongoing'!D34)</f>
        <v>0</v>
      </c>
      <c r="G34" s="6">
        <f>SUM('IV&amp;V'!D34)</f>
        <v>0</v>
      </c>
      <c r="H34" s="6">
        <f>SUM('CIT Assessments'!D34)</f>
        <v>1782</v>
      </c>
      <c r="I34" s="6">
        <f>SUM(Bioethics!D34)</f>
        <v>0</v>
      </c>
      <c r="J34" s="6">
        <f>SUM('Grad Prog'!D34)</f>
        <v>0</v>
      </c>
      <c r="K34" s="6">
        <f>SUM('NRSA Payback'!D34)</f>
        <v>0</v>
      </c>
      <c r="L34" s="6">
        <f>SUM('Intern Prog'!D34)</f>
        <v>87</v>
      </c>
      <c r="M34" s="6">
        <f>SUM('NIH OHR  '!D34+0)</f>
        <v>831</v>
      </c>
      <c r="N34" s="6">
        <f>SUM(' HR Residual'!D34)</f>
        <v>37</v>
      </c>
      <c r="O34" s="6">
        <f>SUM(OFM!D34)</f>
        <v>129</v>
      </c>
      <c r="P34" s="6">
        <f>SUM(UFMS!D34)</f>
        <v>0</v>
      </c>
      <c r="Q34" s="149">
        <f t="shared" si="0"/>
        <v>3443</v>
      </c>
    </row>
    <row r="35" spans="1:17" ht="15">
      <c r="A35" s="4" t="s">
        <v>9</v>
      </c>
      <c r="B35" s="6">
        <f>SUM(OTT!D35)</f>
        <v>48</v>
      </c>
      <c r="C35" s="6">
        <f>SUM(Telcom!D35)</f>
        <v>580</v>
      </c>
      <c r="D35" s="6">
        <f>SUM('IT Software Dev'!D35)</f>
        <v>0</v>
      </c>
      <c r="E35" s="6">
        <f>SUM('eRA Ongoing'!D35)</f>
        <v>0</v>
      </c>
      <c r="F35" s="6">
        <f>SUM('HR Ongoing'!D35)</f>
        <v>0</v>
      </c>
      <c r="G35" s="6">
        <f>SUM('IV&amp;V'!D35)</f>
        <v>0</v>
      </c>
      <c r="H35" s="6">
        <f>SUM('CIT Assessments'!D35)</f>
        <v>2361</v>
      </c>
      <c r="I35" s="6">
        <f>SUM(Bioethics!D35)</f>
        <v>0</v>
      </c>
      <c r="J35" s="6">
        <f>SUM('Grad Prog'!D35)</f>
        <v>0</v>
      </c>
      <c r="K35" s="6">
        <f>SUM('NRSA Payback'!D35)</f>
        <v>0</v>
      </c>
      <c r="L35" s="6">
        <f>SUM('Intern Prog'!D35)</f>
        <v>141</v>
      </c>
      <c r="M35" s="6">
        <f>SUM('NIH OHR  '!D35+0)</f>
        <v>1354</v>
      </c>
      <c r="N35" s="6">
        <f>SUM(' HR Residual'!D35)</f>
        <v>60</v>
      </c>
      <c r="O35" s="6">
        <f>SUM(OFM!D35)</f>
        <v>434</v>
      </c>
      <c r="P35" s="6">
        <f>SUM(UFMS!D35)</f>
        <v>0</v>
      </c>
      <c r="Q35" s="149">
        <f t="shared" si="0"/>
        <v>4978</v>
      </c>
    </row>
    <row r="36" spans="1:17" ht="15">
      <c r="A36" s="4" t="s">
        <v>145</v>
      </c>
      <c r="B36" s="6">
        <f>SUM(OTT!D36)</f>
        <v>0</v>
      </c>
      <c r="C36" s="6">
        <f>SUM(Telcom!D36)</f>
        <v>425</v>
      </c>
      <c r="D36" s="6">
        <f>SUM('IT Software Dev'!D36)</f>
        <v>0</v>
      </c>
      <c r="E36" s="6">
        <f>SUM('eRA Ongoing'!D36)</f>
        <v>0</v>
      </c>
      <c r="F36" s="6">
        <f>SUM('HR Ongoing'!D36)</f>
        <v>0</v>
      </c>
      <c r="G36" s="6">
        <f>SUM('IV&amp;V'!D36)</f>
        <v>0</v>
      </c>
      <c r="H36" s="6">
        <f>SUM('CIT Assessments'!D36)</f>
        <v>1235</v>
      </c>
      <c r="I36" s="6">
        <f>SUM(Bioethics!D36)</f>
        <v>0</v>
      </c>
      <c r="J36" s="6">
        <f>SUM('Grad Prog'!D36)</f>
        <v>0</v>
      </c>
      <c r="K36" s="6">
        <f>SUM('NRSA Payback'!D36)</f>
        <v>0</v>
      </c>
      <c r="L36" s="6">
        <f>SUM('Intern Prog'!D36)</f>
        <v>115</v>
      </c>
      <c r="M36" s="6">
        <f>SUM('NIH OHR  '!D36+0)</f>
        <v>1100</v>
      </c>
      <c r="N36" s="6">
        <f>SUM(' HR Residual'!D36)</f>
        <v>49</v>
      </c>
      <c r="O36" s="6">
        <f>SUM(OFM!D36)</f>
        <v>106</v>
      </c>
      <c r="P36" s="6">
        <f>SUM(UFMS!D36)</f>
        <v>0</v>
      </c>
      <c r="Q36" s="149">
        <f t="shared" si="0"/>
        <v>3030</v>
      </c>
    </row>
    <row r="37" spans="1:17" ht="15">
      <c r="A37" s="11" t="s">
        <v>128</v>
      </c>
      <c r="B37" s="12">
        <f>SUM(OTT!D37)</f>
        <v>0</v>
      </c>
      <c r="C37" s="12">
        <f>SUM(Telcom!D37)</f>
        <v>152</v>
      </c>
      <c r="D37" s="12">
        <f>SUM('IT Software Dev'!D37)</f>
        <v>0</v>
      </c>
      <c r="E37" s="12">
        <f>SUM('eRA Ongoing'!D37)</f>
        <v>0</v>
      </c>
      <c r="F37" s="12">
        <f>SUM('HR Ongoing'!D37)</f>
        <v>0</v>
      </c>
      <c r="G37" s="12">
        <f>SUM('IV&amp;V'!D37)</f>
        <v>0</v>
      </c>
      <c r="H37" s="12">
        <f>SUM('CIT Assessments'!D37)</f>
        <v>1212</v>
      </c>
      <c r="I37" s="12">
        <f>SUM(Bioethics!D37)</f>
        <v>0</v>
      </c>
      <c r="J37" s="12">
        <f>SUM('Grad Prog'!D37)</f>
        <v>0</v>
      </c>
      <c r="K37" s="12">
        <f>SUM('NRSA Payback'!D37)</f>
        <v>0</v>
      </c>
      <c r="L37" s="12">
        <f>SUM('Intern Prog'!D37)</f>
        <v>61</v>
      </c>
      <c r="M37" s="12">
        <f>SUM('NIH OHR  '!D37+0)</f>
        <v>590</v>
      </c>
      <c r="N37" s="12">
        <f>SUM(' HR Residual'!D37)</f>
        <v>26</v>
      </c>
      <c r="O37" s="12">
        <f>SUM(OFM!D37)</f>
        <v>0</v>
      </c>
      <c r="P37" s="12">
        <f>SUM(UFMS!D37)</f>
        <v>0</v>
      </c>
      <c r="Q37" s="150">
        <f t="shared" si="0"/>
        <v>2041</v>
      </c>
    </row>
    <row r="38" spans="1:17" ht="15.75">
      <c r="A38" s="7"/>
      <c r="B38" s="3"/>
      <c r="C38" s="3"/>
      <c r="D38" s="3"/>
      <c r="E38" s="3"/>
      <c r="F38" s="3"/>
      <c r="G38" s="3"/>
      <c r="H38" s="3"/>
      <c r="I38" s="3"/>
      <c r="J38" s="5"/>
      <c r="K38" s="5"/>
      <c r="L38" s="3"/>
      <c r="M38" s="3"/>
      <c r="N38" s="3"/>
      <c r="O38" s="3"/>
      <c r="P38" s="3"/>
      <c r="Q38" s="151"/>
    </row>
    <row r="39" spans="1:17" ht="15.75">
      <c r="A39" s="8" t="s">
        <v>40</v>
      </c>
      <c r="B39" s="9">
        <f>SUM(B5:B38)</f>
        <v>8607</v>
      </c>
      <c r="C39" s="9">
        <f aca="true" t="shared" si="1" ref="C39:P39">SUM(C5:C38)</f>
        <v>11070</v>
      </c>
      <c r="D39" s="9">
        <f t="shared" si="1"/>
        <v>40568</v>
      </c>
      <c r="E39" s="9">
        <f t="shared" si="1"/>
        <v>28775</v>
      </c>
      <c r="F39" s="9">
        <f t="shared" si="1"/>
        <v>14820</v>
      </c>
      <c r="G39" s="9">
        <f t="shared" si="1"/>
        <v>3290</v>
      </c>
      <c r="H39" s="9">
        <f t="shared" si="1"/>
        <v>69119</v>
      </c>
      <c r="I39" s="9">
        <f t="shared" si="1"/>
        <v>1916</v>
      </c>
      <c r="J39" s="9">
        <f t="shared" si="1"/>
        <v>802.7879999999998</v>
      </c>
      <c r="K39" s="9">
        <f t="shared" si="1"/>
        <v>527</v>
      </c>
      <c r="L39" s="9">
        <f t="shared" si="1"/>
        <v>3890</v>
      </c>
      <c r="M39" s="9">
        <f t="shared" si="1"/>
        <v>37328</v>
      </c>
      <c r="N39" s="9">
        <f t="shared" si="1"/>
        <v>1654</v>
      </c>
      <c r="O39" s="9">
        <f t="shared" si="1"/>
        <v>8707</v>
      </c>
      <c r="P39" s="9">
        <f t="shared" si="1"/>
        <v>6288</v>
      </c>
      <c r="Q39" s="152">
        <f>SUM(Q5:Q38)</f>
        <v>237361.78800000003</v>
      </c>
    </row>
    <row r="40" spans="1:17" ht="12.75">
      <c r="A40" s="81" t="s">
        <v>101</v>
      </c>
      <c r="J40" s="114"/>
      <c r="K40" s="114"/>
      <c r="Q40" s="114"/>
    </row>
  </sheetData>
  <mergeCells count="2">
    <mergeCell ref="A1:Q1"/>
    <mergeCell ref="A2:Q2"/>
  </mergeCells>
  <printOptions/>
  <pageMargins left="0.42" right="0.46" top="1" bottom="1" header="0.5" footer="0.5"/>
  <pageSetup fitToHeight="1" fitToWidth="1" horizontalDpi="600" verticalDpi="6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2:D43"/>
  <sheetViews>
    <sheetView workbookViewId="0" topLeftCell="A1">
      <selection activeCell="O9" sqref="O9"/>
    </sheetView>
  </sheetViews>
  <sheetFormatPr defaultColWidth="9.140625" defaultRowHeight="12.75"/>
  <cols>
    <col min="2" max="2" width="16.00390625" style="0" customWidth="1"/>
    <col min="3" max="3" width="12.7109375" style="0" customWidth="1"/>
    <col min="4" max="4" width="13.140625" style="0" customWidth="1"/>
  </cols>
  <sheetData>
    <row r="2" ht="18">
      <c r="A2" s="25" t="s">
        <v>304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129</v>
      </c>
      <c r="C4" s="21" t="s">
        <v>42</v>
      </c>
      <c r="D4" s="22" t="s">
        <v>43</v>
      </c>
    </row>
    <row r="5" spans="1:4" ht="12.75">
      <c r="A5" s="4" t="s">
        <v>0</v>
      </c>
      <c r="B5" s="31">
        <f>SUM(Census!H5)</f>
        <v>5215</v>
      </c>
      <c r="C5" s="71">
        <f>SUM(B5/$B$38)</f>
        <v>0.2212558336868901</v>
      </c>
      <c r="D5" s="34">
        <f>ROUND(C5*$D$43,0)+3</f>
        <v>731</v>
      </c>
    </row>
    <row r="6" spans="1:4" ht="12.75">
      <c r="A6" s="4" t="s">
        <v>15</v>
      </c>
      <c r="B6" s="31">
        <f>SUM(Census!H6)</f>
        <v>1266</v>
      </c>
      <c r="C6" s="71">
        <f aca="true" t="shared" si="0" ref="C6:C30">SUM(B6/$B$38)</f>
        <v>0.05371234620280017</v>
      </c>
      <c r="D6" s="32">
        <f>ROUND(C6*$D$43,0)</f>
        <v>177</v>
      </c>
    </row>
    <row r="7" spans="1:4" ht="12.75">
      <c r="A7" s="4" t="s">
        <v>16</v>
      </c>
      <c r="B7" s="31">
        <f>SUM(Census!H7)</f>
        <v>512</v>
      </c>
      <c r="C7" s="71">
        <f t="shared" si="0"/>
        <v>0.02172252863809928</v>
      </c>
      <c r="D7" s="32">
        <f aca="true" t="shared" si="1" ref="D7:D30">ROUND(C7*$D$43,0)</f>
        <v>71</v>
      </c>
    </row>
    <row r="8" spans="1:4" ht="12.75">
      <c r="A8" s="4" t="s">
        <v>17</v>
      </c>
      <c r="B8" s="31">
        <f>SUM(Census!H8)</f>
        <v>1161</v>
      </c>
      <c r="C8" s="71">
        <f t="shared" si="0"/>
        <v>0.04925753075943996</v>
      </c>
      <c r="D8" s="32">
        <f t="shared" si="1"/>
        <v>162</v>
      </c>
    </row>
    <row r="9" spans="1:4" ht="12.75">
      <c r="A9" s="4" t="s">
        <v>18</v>
      </c>
      <c r="B9" s="31">
        <f>SUM(Census!H9)</f>
        <v>1097</v>
      </c>
      <c r="C9" s="71">
        <f t="shared" si="0"/>
        <v>0.046542214679677556</v>
      </c>
      <c r="D9" s="32">
        <f t="shared" si="1"/>
        <v>153</v>
      </c>
    </row>
    <row r="10" spans="1:4" ht="12.75">
      <c r="A10" s="4" t="s">
        <v>19</v>
      </c>
      <c r="B10" s="31">
        <f>SUM(Census!H10)</f>
        <v>3243</v>
      </c>
      <c r="C10" s="71">
        <f t="shared" si="0"/>
        <v>0.13759015697921087</v>
      </c>
      <c r="D10" s="32">
        <f t="shared" si="1"/>
        <v>453</v>
      </c>
    </row>
    <row r="11" spans="1:4" ht="12.75">
      <c r="A11" s="4" t="s">
        <v>20</v>
      </c>
      <c r="B11" s="31">
        <f>SUM(Census!H11)</f>
        <v>198</v>
      </c>
      <c r="C11" s="71">
        <f t="shared" si="0"/>
        <v>0.008400509121764956</v>
      </c>
      <c r="D11" s="32">
        <f t="shared" si="1"/>
        <v>28</v>
      </c>
    </row>
    <row r="12" spans="1:4" ht="12.75">
      <c r="A12" s="4" t="s">
        <v>21</v>
      </c>
      <c r="B12" s="31">
        <f>SUM(Census!H12)</f>
        <v>1353</v>
      </c>
      <c r="C12" s="71">
        <f t="shared" si="0"/>
        <v>0.0574034789987272</v>
      </c>
      <c r="D12" s="32">
        <f t="shared" si="1"/>
        <v>189</v>
      </c>
    </row>
    <row r="13" spans="1:4" ht="12.75">
      <c r="A13" s="4" t="s">
        <v>22</v>
      </c>
      <c r="B13" s="31">
        <f>SUM(Census!H13)</f>
        <v>509</v>
      </c>
      <c r="C13" s="71">
        <f t="shared" si="0"/>
        <v>0.021595248196860414</v>
      </c>
      <c r="D13" s="32">
        <f t="shared" si="1"/>
        <v>71</v>
      </c>
    </row>
    <row r="14" spans="1:4" ht="12.75">
      <c r="A14" s="4" t="s">
        <v>23</v>
      </c>
      <c r="B14" s="31">
        <f>SUM(Census!H14)</f>
        <v>1450</v>
      </c>
      <c r="C14" s="71">
        <f t="shared" si="0"/>
        <v>0.0615188799321171</v>
      </c>
      <c r="D14" s="32">
        <f t="shared" si="1"/>
        <v>202</v>
      </c>
    </row>
    <row r="15" spans="1:4" ht="12.75">
      <c r="A15" s="4" t="s">
        <v>24</v>
      </c>
      <c r="B15" s="31">
        <f>SUM(Census!H15)</f>
        <v>961</v>
      </c>
      <c r="C15" s="71">
        <f t="shared" si="0"/>
        <v>0.040772168010182436</v>
      </c>
      <c r="D15" s="32">
        <f t="shared" si="1"/>
        <v>134</v>
      </c>
    </row>
    <row r="16" spans="1:4" ht="12.75">
      <c r="A16" s="4" t="s">
        <v>25</v>
      </c>
      <c r="B16" s="31">
        <f>SUM(Census!H16)</f>
        <v>425</v>
      </c>
      <c r="C16" s="71">
        <f t="shared" si="0"/>
        <v>0.018031395842172254</v>
      </c>
      <c r="D16" s="32">
        <f t="shared" si="1"/>
        <v>59</v>
      </c>
    </row>
    <row r="17" spans="1:4" ht="12.75">
      <c r="A17" s="4" t="s">
        <v>26</v>
      </c>
      <c r="B17" s="31">
        <f>SUM(Census!H17)</f>
        <v>282</v>
      </c>
      <c r="C17" s="71">
        <f t="shared" si="0"/>
        <v>0.011964361476453118</v>
      </c>
      <c r="D17" s="32">
        <f t="shared" si="1"/>
        <v>39</v>
      </c>
    </row>
    <row r="18" spans="1:4" ht="12.75">
      <c r="A18" s="4" t="s">
        <v>27</v>
      </c>
      <c r="B18" s="31">
        <f>SUM(Census!H18)</f>
        <v>1298</v>
      </c>
      <c r="C18" s="71">
        <f t="shared" si="0"/>
        <v>0.055070004242681374</v>
      </c>
      <c r="D18" s="32">
        <f t="shared" si="1"/>
        <v>181</v>
      </c>
    </row>
    <row r="19" spans="1:4" ht="12.75">
      <c r="A19" s="4" t="s">
        <v>28</v>
      </c>
      <c r="B19" s="31">
        <f>SUM(Census!H19)</f>
        <v>805</v>
      </c>
      <c r="C19" s="71">
        <f t="shared" si="0"/>
        <v>0.03415358506576156</v>
      </c>
      <c r="D19" s="32">
        <f t="shared" si="1"/>
        <v>112</v>
      </c>
    </row>
    <row r="20" spans="1:4" ht="12.75">
      <c r="A20" s="4" t="s">
        <v>29</v>
      </c>
      <c r="B20" s="31">
        <f>SUM(Census!H20)</f>
        <v>331</v>
      </c>
      <c r="C20" s="71">
        <f t="shared" si="0"/>
        <v>0.014043275350021213</v>
      </c>
      <c r="D20" s="32">
        <f t="shared" si="1"/>
        <v>46</v>
      </c>
    </row>
    <row r="21" spans="1:4" ht="12.75">
      <c r="A21" s="4" t="s">
        <v>30</v>
      </c>
      <c r="B21" s="31">
        <f>SUM(Census!H21)</f>
        <v>72</v>
      </c>
      <c r="C21" s="71">
        <f t="shared" si="0"/>
        <v>0.003054730589732711</v>
      </c>
      <c r="D21" s="32">
        <f t="shared" si="1"/>
        <v>10</v>
      </c>
    </row>
    <row r="22" spans="1:4" ht="12.75">
      <c r="A22" s="4" t="s">
        <v>31</v>
      </c>
      <c r="B22" s="31">
        <f>SUM(Census!H22)</f>
        <v>590</v>
      </c>
      <c r="C22" s="71">
        <f t="shared" si="0"/>
        <v>0.025031820110309716</v>
      </c>
      <c r="D22" s="32">
        <f t="shared" si="1"/>
        <v>82</v>
      </c>
    </row>
    <row r="23" spans="1:4" ht="12.75">
      <c r="A23" s="4" t="s">
        <v>32</v>
      </c>
      <c r="B23" s="31">
        <f>SUM(Census!H23)</f>
        <v>91</v>
      </c>
      <c r="C23" s="71">
        <f t="shared" si="0"/>
        <v>0.0038608400509121763</v>
      </c>
      <c r="D23" s="32">
        <f t="shared" si="1"/>
        <v>13</v>
      </c>
    </row>
    <row r="24" spans="1:4" ht="12.75">
      <c r="A24" s="4" t="s">
        <v>33</v>
      </c>
      <c r="B24" s="31">
        <f>SUM(Census!H24)</f>
        <v>124</v>
      </c>
      <c r="C24" s="71">
        <f t="shared" si="0"/>
        <v>0.005260924904539669</v>
      </c>
      <c r="D24" s="32">
        <f t="shared" si="1"/>
        <v>17</v>
      </c>
    </row>
    <row r="25" spans="1:4" ht="12.75">
      <c r="A25" s="4" t="s">
        <v>34</v>
      </c>
      <c r="B25" s="31">
        <f>SUM(Census!H25)</f>
        <v>124</v>
      </c>
      <c r="C25" s="71">
        <f t="shared" si="0"/>
        <v>0.005260924904539669</v>
      </c>
      <c r="D25" s="32">
        <f t="shared" si="1"/>
        <v>17</v>
      </c>
    </row>
    <row r="26" spans="1:4" ht="12.75">
      <c r="A26" s="4" t="s">
        <v>35</v>
      </c>
      <c r="B26" s="31">
        <f>SUM(Census!H26)</f>
        <v>39</v>
      </c>
      <c r="C26" s="71">
        <f t="shared" si="0"/>
        <v>0.0016546457361052184</v>
      </c>
      <c r="D26" s="32">
        <f t="shared" si="1"/>
        <v>5</v>
      </c>
    </row>
    <row r="27" spans="1:4" ht="12.75">
      <c r="A27" s="4" t="s">
        <v>36</v>
      </c>
      <c r="B27" s="31">
        <f>SUM(Census!H27)</f>
        <v>74</v>
      </c>
      <c r="C27" s="71">
        <f t="shared" si="0"/>
        <v>0.0031395842172252863</v>
      </c>
      <c r="D27" s="32">
        <f t="shared" si="1"/>
        <v>10</v>
      </c>
    </row>
    <row r="28" spans="1:4" ht="12.75">
      <c r="A28" s="4" t="s">
        <v>37</v>
      </c>
      <c r="B28" s="31">
        <f>SUM(Census!H28)</f>
        <v>1445</v>
      </c>
      <c r="C28" s="71">
        <f t="shared" si="0"/>
        <v>0.06130674586338566</v>
      </c>
      <c r="D28" s="32">
        <f t="shared" si="1"/>
        <v>202</v>
      </c>
    </row>
    <row r="29" spans="1:4" ht="12.75">
      <c r="A29" s="4" t="s">
        <v>38</v>
      </c>
      <c r="B29" s="31">
        <v>0</v>
      </c>
      <c r="C29" s="71">
        <f t="shared" si="0"/>
        <v>0</v>
      </c>
      <c r="D29" s="32">
        <f t="shared" si="1"/>
        <v>0</v>
      </c>
    </row>
    <row r="30" spans="1:4" ht="12.75">
      <c r="A30" s="4" t="s">
        <v>8</v>
      </c>
      <c r="B30" s="31">
        <f>SUM(Census!H30)</f>
        <v>905</v>
      </c>
      <c r="C30" s="71">
        <f t="shared" si="0"/>
        <v>0.03839626644039033</v>
      </c>
      <c r="D30" s="32">
        <f t="shared" si="1"/>
        <v>126</v>
      </c>
    </row>
    <row r="31" spans="1:4" ht="12.75">
      <c r="A31" s="4" t="s">
        <v>51</v>
      </c>
      <c r="B31" s="32"/>
      <c r="C31" s="17"/>
      <c r="D31" s="17"/>
    </row>
    <row r="32" spans="1:4" ht="12.75">
      <c r="A32" s="4" t="s">
        <v>39</v>
      </c>
      <c r="B32" s="15"/>
      <c r="C32" s="17"/>
      <c r="D32" s="17"/>
    </row>
    <row r="33" spans="1:4" ht="12.75">
      <c r="A33" s="4" t="s">
        <v>5</v>
      </c>
      <c r="B33" s="15"/>
      <c r="C33" s="17"/>
      <c r="D33" s="17"/>
    </row>
    <row r="34" spans="1:4" ht="12.75">
      <c r="A34" s="4" t="s">
        <v>6</v>
      </c>
      <c r="B34" s="15"/>
      <c r="C34" s="17"/>
      <c r="D34" s="17"/>
    </row>
    <row r="35" spans="1:4" ht="12.75">
      <c r="A35" s="4" t="s">
        <v>9</v>
      </c>
      <c r="B35" s="32"/>
      <c r="C35" s="32"/>
      <c r="D35" s="49"/>
    </row>
    <row r="36" spans="1:4" ht="12.75">
      <c r="A36" s="4" t="s">
        <v>145</v>
      </c>
      <c r="B36" s="31"/>
      <c r="C36" s="32"/>
      <c r="D36" s="49"/>
    </row>
    <row r="37" spans="1:4" ht="12.75">
      <c r="A37" s="4" t="s">
        <v>128</v>
      </c>
      <c r="B37" s="18"/>
      <c r="C37" s="17"/>
      <c r="D37" s="18"/>
    </row>
    <row r="38" spans="1:4" ht="12.75">
      <c r="A38" s="20" t="s">
        <v>40</v>
      </c>
      <c r="B38" s="53">
        <f>SUM(B5:B37)</f>
        <v>23570</v>
      </c>
      <c r="C38" s="80">
        <f>SUM(C5:C35)</f>
        <v>1</v>
      </c>
      <c r="D38" s="53">
        <f>SUM(D5:D37)</f>
        <v>3290</v>
      </c>
    </row>
    <row r="39" spans="1:4" ht="12.75">
      <c r="A39" s="23" t="s">
        <v>199</v>
      </c>
      <c r="D39" s="70"/>
    </row>
    <row r="40" ht="12.75">
      <c r="A40" s="110"/>
    </row>
    <row r="41" ht="12.75">
      <c r="D41" s="70"/>
    </row>
    <row r="43" ht="12.75">
      <c r="D43" s="92">
        <v>3290</v>
      </c>
    </row>
  </sheetData>
  <mergeCells count="1">
    <mergeCell ref="B3:D3"/>
  </mergeCells>
  <printOptions/>
  <pageMargins left="0.75" right="0.75" top="1" bottom="1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2:AF43"/>
  <sheetViews>
    <sheetView workbookViewId="0" topLeftCell="A1">
      <pane xSplit="5" ySplit="4" topLeftCell="H14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140625" defaultRowHeight="12.75"/>
  <cols>
    <col min="2" max="3" width="0" style="0" hidden="1" customWidth="1"/>
    <col min="5" max="5" width="2.57421875" style="0" customWidth="1"/>
    <col min="8" max="8" width="11.28125" style="0" customWidth="1"/>
    <col min="9" max="9" width="2.7109375" style="0" customWidth="1"/>
    <col min="12" max="12" width="11.8515625" style="0" customWidth="1"/>
    <col min="13" max="13" width="2.00390625" style="0" customWidth="1"/>
    <col min="16" max="16" width="10.7109375" style="0" customWidth="1"/>
    <col min="17" max="17" width="2.421875" style="0" customWidth="1"/>
    <col min="20" max="20" width="10.28125" style="0" customWidth="1"/>
    <col min="21" max="21" width="2.8515625" style="0" customWidth="1"/>
    <col min="24" max="24" width="10.00390625" style="0" customWidth="1"/>
    <col min="25" max="25" width="2.28125" style="0" customWidth="1"/>
    <col min="28" max="28" width="10.00390625" style="0" customWidth="1"/>
    <col min="29" max="29" width="2.140625" style="0" customWidth="1"/>
    <col min="30" max="32" width="0" style="0" hidden="1" customWidth="1"/>
  </cols>
  <sheetData>
    <row r="2" ht="18">
      <c r="A2" s="25" t="s">
        <v>301</v>
      </c>
    </row>
    <row r="3" spans="1:32" ht="12.75">
      <c r="A3" s="13"/>
      <c r="B3" s="273" t="s">
        <v>40</v>
      </c>
      <c r="C3" s="274"/>
      <c r="D3" s="275"/>
      <c r="F3" s="282" t="s">
        <v>198</v>
      </c>
      <c r="G3" s="283"/>
      <c r="H3" s="284"/>
      <c r="I3" s="222"/>
      <c r="J3" s="282" t="s">
        <v>57</v>
      </c>
      <c r="K3" s="283"/>
      <c r="L3" s="284"/>
      <c r="M3" s="222"/>
      <c r="N3" s="282" t="s">
        <v>209</v>
      </c>
      <c r="O3" s="283"/>
      <c r="P3" s="284"/>
      <c r="Q3" s="222"/>
      <c r="R3" s="282" t="s">
        <v>195</v>
      </c>
      <c r="S3" s="283"/>
      <c r="T3" s="284"/>
      <c r="U3" s="222"/>
      <c r="V3" s="282" t="s">
        <v>302</v>
      </c>
      <c r="W3" s="283"/>
      <c r="X3" s="284"/>
      <c r="Y3" s="222"/>
      <c r="Z3" s="282" t="s">
        <v>303</v>
      </c>
      <c r="AA3" s="283"/>
      <c r="AB3" s="284"/>
      <c r="AD3" s="282"/>
      <c r="AE3" s="283"/>
      <c r="AF3" s="284"/>
    </row>
    <row r="4" spans="1:32" ht="12.75">
      <c r="A4" s="14"/>
      <c r="B4" s="21"/>
      <c r="C4" s="21"/>
      <c r="D4" s="22" t="s">
        <v>43</v>
      </c>
      <c r="F4" s="223"/>
      <c r="G4" s="223" t="s">
        <v>42</v>
      </c>
      <c r="H4" s="224" t="s">
        <v>43</v>
      </c>
      <c r="I4" s="222"/>
      <c r="J4" s="223" t="s">
        <v>41</v>
      </c>
      <c r="K4" s="223" t="s">
        <v>42</v>
      </c>
      <c r="L4" s="225" t="s">
        <v>43</v>
      </c>
      <c r="M4" s="222"/>
      <c r="N4" s="223" t="s">
        <v>41</v>
      </c>
      <c r="O4" s="223" t="s">
        <v>42</v>
      </c>
      <c r="P4" s="224" t="s">
        <v>43</v>
      </c>
      <c r="Q4" s="222"/>
      <c r="R4" s="223" t="s">
        <v>41</v>
      </c>
      <c r="S4" s="223" t="s">
        <v>42</v>
      </c>
      <c r="T4" s="224" t="s">
        <v>43</v>
      </c>
      <c r="U4" s="222"/>
      <c r="V4" s="223" t="s">
        <v>41</v>
      </c>
      <c r="W4" s="223" t="s">
        <v>42</v>
      </c>
      <c r="X4" s="224" t="s">
        <v>43</v>
      </c>
      <c r="Y4" s="222"/>
      <c r="Z4" s="223" t="s">
        <v>41</v>
      </c>
      <c r="AA4" s="223" t="s">
        <v>42</v>
      </c>
      <c r="AB4" s="224" t="s">
        <v>43</v>
      </c>
      <c r="AD4" s="223" t="s">
        <v>41</v>
      </c>
      <c r="AE4" s="223" t="s">
        <v>42</v>
      </c>
      <c r="AF4" s="224" t="s">
        <v>43</v>
      </c>
    </row>
    <row r="5" spans="1:32" ht="12.75">
      <c r="A5" s="4" t="s">
        <v>0</v>
      </c>
      <c r="B5" s="226"/>
      <c r="C5" s="187"/>
      <c r="D5" s="243">
        <f>SUM(H5+L5+P5+T5+X5+AB5+AF5)</f>
        <v>11445</v>
      </c>
      <c r="F5" s="227"/>
      <c r="G5" s="228">
        <v>0.15018093062729682</v>
      </c>
      <c r="H5" s="243">
        <f>2538-4</f>
        <v>2534</v>
      </c>
      <c r="I5" s="222"/>
      <c r="J5" s="230">
        <v>5215</v>
      </c>
      <c r="K5" s="228">
        <v>0.16844315245478036</v>
      </c>
      <c r="L5" s="229">
        <f>ROUND(K5*$L$43,0)</f>
        <v>6308</v>
      </c>
      <c r="M5" s="222"/>
      <c r="N5" s="230">
        <v>5215</v>
      </c>
      <c r="O5" s="228">
        <v>0.16844315245478036</v>
      </c>
      <c r="P5" s="229">
        <f>ROUND(O5*$P$43,0)-2</f>
        <v>419</v>
      </c>
      <c r="Q5" s="222"/>
      <c r="R5" s="230">
        <v>5215</v>
      </c>
      <c r="S5" s="228">
        <v>0.16844315245478036</v>
      </c>
      <c r="T5" s="229">
        <f>ROUND(S5*$T$43,0)-2</f>
        <v>1666</v>
      </c>
      <c r="U5" s="222"/>
      <c r="V5" s="230">
        <v>5215</v>
      </c>
      <c r="W5" s="228">
        <f>SUM(V5/$V$38)</f>
        <v>0.1708044019389493</v>
      </c>
      <c r="X5" s="229">
        <f>ROUND(W5*$X$43,0)</f>
        <v>230</v>
      </c>
      <c r="Y5" s="222"/>
      <c r="Z5" s="229">
        <f>SUM('School Tax'!F11)</f>
        <v>91894</v>
      </c>
      <c r="AA5" s="228">
        <f>SUM('School Tax'!D11)</f>
        <v>0.2766644957766985</v>
      </c>
      <c r="AB5" s="229">
        <f>ROUND(AA5*$AB$43,0)+2</f>
        <v>288</v>
      </c>
      <c r="AD5" s="230">
        <v>5215</v>
      </c>
      <c r="AE5" s="228">
        <f>SUM(AD5/$AD$38)</f>
        <v>0.16844315245478036</v>
      </c>
      <c r="AF5" s="229">
        <f>ROUND(AE5*$AF$43,0)</f>
        <v>0</v>
      </c>
    </row>
    <row r="6" spans="1:32" ht="12.75">
      <c r="A6" s="4" t="s">
        <v>15</v>
      </c>
      <c r="B6" s="226"/>
      <c r="C6" s="187"/>
      <c r="D6" s="232">
        <f>SUM(H6+L6+P6+T6+X6+AB6+AF6)</f>
        <v>2820</v>
      </c>
      <c r="F6" s="231"/>
      <c r="G6" s="228">
        <v>0.03897240588413463</v>
      </c>
      <c r="H6" s="232">
        <v>658</v>
      </c>
      <c r="I6" s="222"/>
      <c r="J6" s="232">
        <v>1266</v>
      </c>
      <c r="K6" s="228">
        <v>0.04089147286821705</v>
      </c>
      <c r="L6" s="232">
        <f aca="true" t="shared" si="0" ref="L6:L37">ROUND(K6*$L$43,0)</f>
        <v>1531</v>
      </c>
      <c r="M6" s="222"/>
      <c r="N6" s="232">
        <v>1266</v>
      </c>
      <c r="O6" s="228">
        <v>0.04089147286821705</v>
      </c>
      <c r="P6" s="232">
        <f aca="true" t="shared" si="1" ref="P6:P37">ROUND(O6*$P$43,0)</f>
        <v>102</v>
      </c>
      <c r="Q6" s="222"/>
      <c r="R6" s="232">
        <v>1266</v>
      </c>
      <c r="S6" s="228">
        <v>0.04089147286821705</v>
      </c>
      <c r="T6" s="232">
        <f aca="true" t="shared" si="2" ref="T6:T37">ROUND(S6*$T$43,0)</f>
        <v>405</v>
      </c>
      <c r="U6" s="222"/>
      <c r="V6" s="232">
        <v>1266</v>
      </c>
      <c r="W6" s="228">
        <f>SUM(V6/$V$38)</f>
        <v>0.04146469278134416</v>
      </c>
      <c r="X6" s="232">
        <f aca="true" t="shared" si="3" ref="X6:X37">ROUND(W6*$X$43,0)</f>
        <v>56</v>
      </c>
      <c r="Y6" s="222"/>
      <c r="Z6" s="232">
        <f>SUM('School Tax'!F12)</f>
        <v>21729</v>
      </c>
      <c r="AA6" s="228">
        <f>SUM('School Tax'!D12)</f>
        <v>0.06541875593302639</v>
      </c>
      <c r="AB6" s="232">
        <f aca="true" t="shared" si="4" ref="AB6:AB37">ROUND(AA6*$AB$43,0)</f>
        <v>68</v>
      </c>
      <c r="AD6" s="232">
        <v>1266</v>
      </c>
      <c r="AE6" s="228">
        <f aca="true" t="shared" si="5" ref="AE6:AE37">SUM(AD6/$AD$38)</f>
        <v>0.04089147286821705</v>
      </c>
      <c r="AF6" s="232">
        <f>ROUND(AE6*$AF$43,0)</f>
        <v>0</v>
      </c>
    </row>
    <row r="7" spans="1:32" ht="12.75">
      <c r="A7" s="4" t="s">
        <v>16</v>
      </c>
      <c r="B7" s="226"/>
      <c r="C7" s="187"/>
      <c r="D7" s="232">
        <f aca="true" t="shared" si="6" ref="D7:D37">SUM(H7+L7+P7+T7+X7+AB7+AF7)</f>
        <v>1196</v>
      </c>
      <c r="F7" s="231"/>
      <c r="G7" s="228">
        <v>0.01931736047750165</v>
      </c>
      <c r="H7" s="232">
        <v>326</v>
      </c>
      <c r="I7" s="222"/>
      <c r="J7" s="232">
        <v>512</v>
      </c>
      <c r="K7" s="228">
        <v>0.016537467700258397</v>
      </c>
      <c r="L7" s="232">
        <f t="shared" si="0"/>
        <v>619</v>
      </c>
      <c r="M7" s="222"/>
      <c r="N7" s="232">
        <v>512</v>
      </c>
      <c r="O7" s="228">
        <v>0.016537467700258397</v>
      </c>
      <c r="P7" s="232">
        <f t="shared" si="1"/>
        <v>41</v>
      </c>
      <c r="Q7" s="222"/>
      <c r="R7" s="232">
        <v>512</v>
      </c>
      <c r="S7" s="228">
        <v>0.016537467700258397</v>
      </c>
      <c r="T7" s="232">
        <f t="shared" si="2"/>
        <v>164</v>
      </c>
      <c r="U7" s="222"/>
      <c r="V7" s="232">
        <v>512</v>
      </c>
      <c r="W7" s="228">
        <f aca="true" t="shared" si="7" ref="W7:W37">SUM(V7/$V$38)</f>
        <v>0.01676929123542513</v>
      </c>
      <c r="X7" s="232">
        <f t="shared" si="3"/>
        <v>23</v>
      </c>
      <c r="Y7" s="222"/>
      <c r="Z7" s="232">
        <f>SUM('School Tax'!F13)</f>
        <v>7485</v>
      </c>
      <c r="AA7" s="228">
        <f>SUM('School Tax'!D13)</f>
        <v>0.022536063065214516</v>
      </c>
      <c r="AB7" s="232">
        <f t="shared" si="4"/>
        <v>23</v>
      </c>
      <c r="AD7" s="232">
        <v>512</v>
      </c>
      <c r="AE7" s="228">
        <f t="shared" si="5"/>
        <v>0.016537467700258397</v>
      </c>
      <c r="AF7" s="232">
        <f aca="true" t="shared" si="8" ref="AF7:AF37">ROUND(AE7*$AF$43,0)</f>
        <v>0</v>
      </c>
    </row>
    <row r="8" spans="1:32" ht="12.75">
      <c r="A8" s="4" t="s">
        <v>17</v>
      </c>
      <c r="B8" s="226"/>
      <c r="C8" s="187"/>
      <c r="D8" s="232">
        <f t="shared" si="6"/>
        <v>3048</v>
      </c>
      <c r="F8" s="231"/>
      <c r="G8" s="228">
        <v>0.06281197823347115</v>
      </c>
      <c r="H8" s="232">
        <v>1061</v>
      </c>
      <c r="I8" s="222"/>
      <c r="J8" s="232">
        <v>1161</v>
      </c>
      <c r="K8" s="228">
        <v>0.0375</v>
      </c>
      <c r="L8" s="232">
        <f t="shared" si="0"/>
        <v>1404</v>
      </c>
      <c r="M8" s="222"/>
      <c r="N8" s="232">
        <v>1161</v>
      </c>
      <c r="O8" s="228">
        <v>0.0375</v>
      </c>
      <c r="P8" s="232">
        <f t="shared" si="1"/>
        <v>94</v>
      </c>
      <c r="Q8" s="222"/>
      <c r="R8" s="232">
        <v>1161</v>
      </c>
      <c r="S8" s="228">
        <v>0.0375</v>
      </c>
      <c r="T8" s="232">
        <f t="shared" si="2"/>
        <v>371</v>
      </c>
      <c r="U8" s="222"/>
      <c r="V8" s="232">
        <v>1161</v>
      </c>
      <c r="W8" s="228">
        <f t="shared" si="7"/>
        <v>0.03802567797720424</v>
      </c>
      <c r="X8" s="232">
        <f t="shared" si="3"/>
        <v>51</v>
      </c>
      <c r="Y8" s="222"/>
      <c r="Z8" s="232">
        <f>SUM('School Tax'!F14)</f>
        <v>21436</v>
      </c>
      <c r="AA8" s="228">
        <f>SUM('School Tax'!D14)</f>
        <v>0.06453583021441744</v>
      </c>
      <c r="AB8" s="232">
        <f t="shared" si="4"/>
        <v>67</v>
      </c>
      <c r="AD8" s="232">
        <v>1161</v>
      </c>
      <c r="AE8" s="228">
        <f t="shared" si="5"/>
        <v>0.0375</v>
      </c>
      <c r="AF8" s="232">
        <f t="shared" si="8"/>
        <v>0</v>
      </c>
    </row>
    <row r="9" spans="1:32" ht="12.75">
      <c r="A9" s="4" t="s">
        <v>18</v>
      </c>
      <c r="B9" s="226"/>
      <c r="C9" s="187"/>
      <c r="D9" s="232">
        <f t="shared" si="6"/>
        <v>2602</v>
      </c>
      <c r="F9" s="231"/>
      <c r="G9" s="228">
        <v>0.043140351283857944</v>
      </c>
      <c r="H9" s="232">
        <v>729</v>
      </c>
      <c r="I9" s="222"/>
      <c r="J9" s="232">
        <v>1097</v>
      </c>
      <c r="K9" s="228">
        <v>0.0354328165374677</v>
      </c>
      <c r="L9" s="232">
        <f t="shared" si="0"/>
        <v>1327</v>
      </c>
      <c r="M9" s="222"/>
      <c r="N9" s="232">
        <v>1097</v>
      </c>
      <c r="O9" s="228">
        <v>0.0354328165374677</v>
      </c>
      <c r="P9" s="232">
        <f t="shared" si="1"/>
        <v>89</v>
      </c>
      <c r="Q9" s="222"/>
      <c r="R9" s="232">
        <v>1097</v>
      </c>
      <c r="S9" s="228">
        <v>0.0354328165374677</v>
      </c>
      <c r="T9" s="232">
        <f t="shared" si="2"/>
        <v>351</v>
      </c>
      <c r="U9" s="222"/>
      <c r="V9" s="232">
        <v>1097</v>
      </c>
      <c r="W9" s="228">
        <f t="shared" si="7"/>
        <v>0.035929516572776106</v>
      </c>
      <c r="X9" s="232">
        <f t="shared" si="3"/>
        <v>48</v>
      </c>
      <c r="Y9" s="222"/>
      <c r="Z9" s="232">
        <f>SUM('School Tax'!F15)</f>
        <v>18746</v>
      </c>
      <c r="AA9" s="228">
        <f>SUM('School Tax'!D15)</f>
        <v>0.056437708636897</v>
      </c>
      <c r="AB9" s="232">
        <f t="shared" si="4"/>
        <v>58</v>
      </c>
      <c r="AD9" s="232">
        <v>1097</v>
      </c>
      <c r="AE9" s="228">
        <f t="shared" si="5"/>
        <v>0.0354328165374677</v>
      </c>
      <c r="AF9" s="232">
        <f t="shared" si="8"/>
        <v>0</v>
      </c>
    </row>
    <row r="10" spans="1:32" ht="12.75">
      <c r="A10" s="4" t="s">
        <v>19</v>
      </c>
      <c r="B10" s="226"/>
      <c r="C10" s="233"/>
      <c r="D10" s="232">
        <f t="shared" si="6"/>
        <v>8510</v>
      </c>
      <c r="F10" s="231"/>
      <c r="G10" s="228">
        <v>0.17314685180608466</v>
      </c>
      <c r="H10" s="232">
        <v>2924</v>
      </c>
      <c r="I10" s="222"/>
      <c r="J10" s="232">
        <v>3243</v>
      </c>
      <c r="K10" s="228">
        <v>0.10474806201550388</v>
      </c>
      <c r="L10" s="232">
        <f t="shared" si="0"/>
        <v>3923</v>
      </c>
      <c r="M10" s="222"/>
      <c r="N10" s="232">
        <v>3243</v>
      </c>
      <c r="O10" s="228">
        <v>0.10474806201550388</v>
      </c>
      <c r="P10" s="232">
        <f t="shared" si="1"/>
        <v>262</v>
      </c>
      <c r="Q10" s="222"/>
      <c r="R10" s="232">
        <v>3243</v>
      </c>
      <c r="S10" s="228">
        <v>0.10474806201550388</v>
      </c>
      <c r="T10" s="232">
        <f t="shared" si="2"/>
        <v>1037</v>
      </c>
      <c r="U10" s="222"/>
      <c r="V10" s="232">
        <v>3243</v>
      </c>
      <c r="W10" s="228">
        <f t="shared" si="7"/>
        <v>0.1062164286650072</v>
      </c>
      <c r="X10" s="232">
        <f t="shared" si="3"/>
        <v>143</v>
      </c>
      <c r="Y10" s="222"/>
      <c r="Z10" s="232">
        <f>SUM('School Tax'!F16)</f>
        <v>70847</v>
      </c>
      <c r="AA10" s="228">
        <f>SUM('School Tax'!D16)</f>
        <v>0.21329768782337352</v>
      </c>
      <c r="AB10" s="232">
        <f t="shared" si="4"/>
        <v>221</v>
      </c>
      <c r="AD10" s="232">
        <v>3243</v>
      </c>
      <c r="AE10" s="228">
        <f t="shared" si="5"/>
        <v>0.10474806201550388</v>
      </c>
      <c r="AF10" s="232">
        <f t="shared" si="8"/>
        <v>0</v>
      </c>
    </row>
    <row r="11" spans="1:32" ht="12.75">
      <c r="A11" s="4" t="s">
        <v>20</v>
      </c>
      <c r="B11" s="226"/>
      <c r="C11" s="187"/>
      <c r="D11" s="232">
        <f t="shared" si="6"/>
        <v>398</v>
      </c>
      <c r="F11" s="231"/>
      <c r="G11" s="228">
        <v>0.004131988053734059</v>
      </c>
      <c r="H11" s="232">
        <v>70</v>
      </c>
      <c r="I11" s="222"/>
      <c r="J11" s="232">
        <v>198</v>
      </c>
      <c r="K11" s="228">
        <v>0.006395348837209302</v>
      </c>
      <c r="L11" s="232">
        <f t="shared" si="0"/>
        <v>240</v>
      </c>
      <c r="M11" s="222"/>
      <c r="N11" s="232">
        <v>198</v>
      </c>
      <c r="O11" s="228">
        <v>0.006395348837209302</v>
      </c>
      <c r="P11" s="232">
        <f t="shared" si="1"/>
        <v>16</v>
      </c>
      <c r="Q11" s="222"/>
      <c r="R11" s="232">
        <v>198</v>
      </c>
      <c r="S11" s="228">
        <v>0.006395348837209302</v>
      </c>
      <c r="T11" s="232">
        <f t="shared" si="2"/>
        <v>63</v>
      </c>
      <c r="U11" s="222"/>
      <c r="V11" s="232">
        <v>198</v>
      </c>
      <c r="W11" s="228">
        <f t="shared" si="7"/>
        <v>0.006484999344949561</v>
      </c>
      <c r="X11" s="232">
        <f t="shared" si="3"/>
        <v>9</v>
      </c>
      <c r="Y11" s="222"/>
      <c r="Z11" s="232">
        <f>SUM('School Tax'!F17)</f>
        <v>153</v>
      </c>
      <c r="AA11" s="228">
        <f>SUM('School Tax'!D17)</f>
        <v>0</v>
      </c>
      <c r="AB11" s="232">
        <f t="shared" si="4"/>
        <v>0</v>
      </c>
      <c r="AD11" s="232">
        <v>198</v>
      </c>
      <c r="AE11" s="228">
        <f t="shared" si="5"/>
        <v>0.006395348837209302</v>
      </c>
      <c r="AF11" s="232">
        <f t="shared" si="8"/>
        <v>0</v>
      </c>
    </row>
    <row r="12" spans="1:32" ht="12.75">
      <c r="A12" s="4" t="s">
        <v>21</v>
      </c>
      <c r="B12" s="226"/>
      <c r="C12" s="187"/>
      <c r="D12" s="232">
        <f t="shared" si="6"/>
        <v>3384</v>
      </c>
      <c r="F12" s="232"/>
      <c r="G12" s="228">
        <v>0.06395690182761817</v>
      </c>
      <c r="H12" s="232">
        <v>1080</v>
      </c>
      <c r="I12" s="222"/>
      <c r="J12" s="232">
        <v>1353</v>
      </c>
      <c r="K12" s="228">
        <v>0.0437015503875969</v>
      </c>
      <c r="L12" s="232">
        <f t="shared" si="0"/>
        <v>1637</v>
      </c>
      <c r="M12" s="222"/>
      <c r="N12" s="232">
        <v>1353</v>
      </c>
      <c r="O12" s="228">
        <v>0.0437015503875969</v>
      </c>
      <c r="P12" s="232">
        <f t="shared" si="1"/>
        <v>109</v>
      </c>
      <c r="Q12" s="222"/>
      <c r="R12" s="232">
        <v>1353</v>
      </c>
      <c r="S12" s="228">
        <v>0.0437015503875969</v>
      </c>
      <c r="T12" s="232">
        <f t="shared" si="2"/>
        <v>433</v>
      </c>
      <c r="U12" s="222"/>
      <c r="V12" s="232">
        <v>1353</v>
      </c>
      <c r="W12" s="228">
        <f t="shared" si="7"/>
        <v>0.04431416219048867</v>
      </c>
      <c r="X12" s="232">
        <f t="shared" si="3"/>
        <v>60</v>
      </c>
      <c r="Y12" s="222"/>
      <c r="Z12" s="232">
        <f>SUM('School Tax'!F18)</f>
        <v>20799</v>
      </c>
      <c r="AA12" s="228">
        <f>SUM('School Tax'!D18)</f>
        <v>0.06261818866715965</v>
      </c>
      <c r="AB12" s="232">
        <f t="shared" si="4"/>
        <v>65</v>
      </c>
      <c r="AD12" s="232">
        <v>1353</v>
      </c>
      <c r="AE12" s="228">
        <f t="shared" si="5"/>
        <v>0.0437015503875969</v>
      </c>
      <c r="AF12" s="232">
        <f t="shared" si="8"/>
        <v>0</v>
      </c>
    </row>
    <row r="13" spans="1:32" ht="12.75">
      <c r="A13" s="4" t="s">
        <v>22</v>
      </c>
      <c r="B13" s="226"/>
      <c r="C13" s="187"/>
      <c r="D13" s="232">
        <f t="shared" si="6"/>
        <v>1132</v>
      </c>
      <c r="F13" s="231"/>
      <c r="G13" s="228">
        <v>0.015531792668251533</v>
      </c>
      <c r="H13" s="232">
        <v>262</v>
      </c>
      <c r="I13" s="222"/>
      <c r="J13" s="232">
        <v>509</v>
      </c>
      <c r="K13" s="228">
        <v>0.016440568475452198</v>
      </c>
      <c r="L13" s="232">
        <f t="shared" si="0"/>
        <v>616</v>
      </c>
      <c r="M13" s="222"/>
      <c r="N13" s="232">
        <v>509</v>
      </c>
      <c r="O13" s="228">
        <v>0.016440568475452198</v>
      </c>
      <c r="P13" s="232">
        <f t="shared" si="1"/>
        <v>41</v>
      </c>
      <c r="Q13" s="222"/>
      <c r="R13" s="232">
        <v>509</v>
      </c>
      <c r="S13" s="228">
        <v>0.016440568475452198</v>
      </c>
      <c r="T13" s="232">
        <f t="shared" si="2"/>
        <v>163</v>
      </c>
      <c r="U13" s="222"/>
      <c r="V13" s="232">
        <v>509</v>
      </c>
      <c r="W13" s="228">
        <f t="shared" si="7"/>
        <v>0.01667103366959256</v>
      </c>
      <c r="X13" s="232">
        <f t="shared" si="3"/>
        <v>22</v>
      </c>
      <c r="Y13" s="222"/>
      <c r="Z13" s="232">
        <f>SUM('School Tax'!F19)</f>
        <v>8863</v>
      </c>
      <c r="AA13" s="228">
        <f>SUM('School Tax'!D19)</f>
        <v>0.026683270862298953</v>
      </c>
      <c r="AB13" s="232">
        <f t="shared" si="4"/>
        <v>28</v>
      </c>
      <c r="AD13" s="232">
        <v>509</v>
      </c>
      <c r="AE13" s="228">
        <f t="shared" si="5"/>
        <v>0.016440568475452198</v>
      </c>
      <c r="AF13" s="232">
        <f t="shared" si="8"/>
        <v>0</v>
      </c>
    </row>
    <row r="14" spans="1:32" ht="12.75">
      <c r="A14" s="4" t="s">
        <v>23</v>
      </c>
      <c r="B14" s="226"/>
      <c r="C14" s="187"/>
      <c r="D14" s="232">
        <f t="shared" si="6"/>
        <v>3094</v>
      </c>
      <c r="F14" s="231"/>
      <c r="G14" s="228">
        <v>0.03804012444951645</v>
      </c>
      <c r="H14" s="232">
        <v>642</v>
      </c>
      <c r="I14" s="222"/>
      <c r="J14" s="232">
        <v>1450</v>
      </c>
      <c r="K14" s="228">
        <v>0.04683462532299742</v>
      </c>
      <c r="L14" s="232">
        <f t="shared" si="0"/>
        <v>1754</v>
      </c>
      <c r="M14" s="222"/>
      <c r="N14" s="232">
        <v>1450</v>
      </c>
      <c r="O14" s="228">
        <v>0.04683462532299742</v>
      </c>
      <c r="P14" s="232">
        <f t="shared" si="1"/>
        <v>117</v>
      </c>
      <c r="Q14" s="222"/>
      <c r="R14" s="232">
        <v>1450</v>
      </c>
      <c r="S14" s="228">
        <v>0.04683462532299742</v>
      </c>
      <c r="T14" s="232">
        <f t="shared" si="2"/>
        <v>464</v>
      </c>
      <c r="U14" s="222"/>
      <c r="V14" s="232">
        <v>1450</v>
      </c>
      <c r="W14" s="228">
        <f t="shared" si="7"/>
        <v>0.04749115681907507</v>
      </c>
      <c r="X14" s="232">
        <f t="shared" si="3"/>
        <v>64</v>
      </c>
      <c r="Y14" s="222"/>
      <c r="Z14" s="232">
        <f>SUM('School Tax'!F20)</f>
        <v>16930</v>
      </c>
      <c r="AA14" s="228">
        <f>SUM('School Tax'!D20)</f>
        <v>0.05097008582498918</v>
      </c>
      <c r="AB14" s="232">
        <f t="shared" si="4"/>
        <v>53</v>
      </c>
      <c r="AD14" s="232">
        <v>1450</v>
      </c>
      <c r="AE14" s="228">
        <f t="shared" si="5"/>
        <v>0.04683462532299742</v>
      </c>
      <c r="AF14" s="232">
        <f t="shared" si="8"/>
        <v>0</v>
      </c>
    </row>
    <row r="15" spans="1:32" ht="12.75">
      <c r="A15" s="4" t="s">
        <v>24</v>
      </c>
      <c r="B15" s="226"/>
      <c r="C15" s="187"/>
      <c r="D15" s="232">
        <f t="shared" si="6"/>
        <v>2067</v>
      </c>
      <c r="F15" s="231"/>
      <c r="G15" s="228">
        <v>0.02833037906716226</v>
      </c>
      <c r="H15" s="232">
        <v>478</v>
      </c>
      <c r="I15" s="222"/>
      <c r="J15" s="232">
        <v>961</v>
      </c>
      <c r="K15" s="228">
        <v>0.031040051679586563</v>
      </c>
      <c r="L15" s="232">
        <f t="shared" si="0"/>
        <v>1162</v>
      </c>
      <c r="M15" s="222"/>
      <c r="N15" s="232">
        <v>961</v>
      </c>
      <c r="O15" s="228">
        <v>0.031040051679586563</v>
      </c>
      <c r="P15" s="232">
        <f t="shared" si="1"/>
        <v>78</v>
      </c>
      <c r="Q15" s="222"/>
      <c r="R15" s="232">
        <v>961</v>
      </c>
      <c r="S15" s="228">
        <v>0.031040051679586563</v>
      </c>
      <c r="T15" s="232">
        <f t="shared" si="2"/>
        <v>307</v>
      </c>
      <c r="U15" s="222"/>
      <c r="V15" s="232">
        <v>961</v>
      </c>
      <c r="W15" s="228">
        <f t="shared" si="7"/>
        <v>0.0314751735883663</v>
      </c>
      <c r="X15" s="232">
        <f t="shared" si="3"/>
        <v>42</v>
      </c>
      <c r="Y15" s="222"/>
      <c r="Z15" s="232">
        <f>SUM('School Tax'!F21)</f>
        <v>7629</v>
      </c>
      <c r="AA15" s="228">
        <f>SUM('School Tax'!D21)</f>
        <v>0</v>
      </c>
      <c r="AB15" s="232">
        <f t="shared" si="4"/>
        <v>0</v>
      </c>
      <c r="AD15" s="232">
        <v>961</v>
      </c>
      <c r="AE15" s="228">
        <f t="shared" si="5"/>
        <v>0.031040051679586563</v>
      </c>
      <c r="AF15" s="232">
        <f t="shared" si="8"/>
        <v>0</v>
      </c>
    </row>
    <row r="16" spans="1:32" ht="12.75">
      <c r="A16" s="4" t="s">
        <v>25</v>
      </c>
      <c r="B16" s="226"/>
      <c r="C16" s="187"/>
      <c r="D16" s="232">
        <f t="shared" si="6"/>
        <v>972</v>
      </c>
      <c r="F16" s="231"/>
      <c r="G16" s="228">
        <v>0.014659186264821442</v>
      </c>
      <c r="H16" s="232">
        <v>248</v>
      </c>
      <c r="I16" s="222"/>
      <c r="J16" s="232">
        <v>425</v>
      </c>
      <c r="K16" s="228">
        <v>0.013727390180878552</v>
      </c>
      <c r="L16" s="232">
        <f t="shared" si="0"/>
        <v>514</v>
      </c>
      <c r="M16" s="222"/>
      <c r="N16" s="232">
        <v>425</v>
      </c>
      <c r="O16" s="228">
        <v>0.013727390180878552</v>
      </c>
      <c r="P16" s="232">
        <f t="shared" si="1"/>
        <v>34</v>
      </c>
      <c r="Q16" s="222"/>
      <c r="R16" s="232">
        <v>425</v>
      </c>
      <c r="S16" s="228">
        <v>0.013727390180878552</v>
      </c>
      <c r="T16" s="232">
        <f t="shared" si="2"/>
        <v>136</v>
      </c>
      <c r="U16" s="222"/>
      <c r="V16" s="232">
        <v>425</v>
      </c>
      <c r="W16" s="228">
        <f t="shared" si="7"/>
        <v>0.013919821826280624</v>
      </c>
      <c r="X16" s="232">
        <f t="shared" si="3"/>
        <v>19</v>
      </c>
      <c r="Y16" s="222"/>
      <c r="Z16" s="232">
        <f>SUM('School Tax'!F22)</f>
        <v>6609</v>
      </c>
      <c r="AA16" s="228">
        <f>SUM('School Tax'!D22)</f>
        <v>0.01989761717342179</v>
      </c>
      <c r="AB16" s="232">
        <f t="shared" si="4"/>
        <v>21</v>
      </c>
      <c r="AD16" s="232">
        <v>425</v>
      </c>
      <c r="AE16" s="228">
        <f t="shared" si="5"/>
        <v>0.013727390180878552</v>
      </c>
      <c r="AF16" s="232">
        <f t="shared" si="8"/>
        <v>0</v>
      </c>
    </row>
    <row r="17" spans="1:32" ht="12.75">
      <c r="A17" s="4" t="s">
        <v>26</v>
      </c>
      <c r="B17" s="226"/>
      <c r="C17" s="187"/>
      <c r="D17" s="232">
        <f t="shared" si="6"/>
        <v>631</v>
      </c>
      <c r="F17" s="231"/>
      <c r="G17" s="228">
        <v>0.008937684236396204</v>
      </c>
      <c r="H17" s="232">
        <v>151</v>
      </c>
      <c r="I17" s="222"/>
      <c r="J17" s="232">
        <v>282</v>
      </c>
      <c r="K17" s="228">
        <v>0.009108527131782946</v>
      </c>
      <c r="L17" s="232">
        <f t="shared" si="0"/>
        <v>341</v>
      </c>
      <c r="M17" s="222"/>
      <c r="N17" s="232">
        <v>282</v>
      </c>
      <c r="O17" s="228">
        <v>0.009108527131782946</v>
      </c>
      <c r="P17" s="232">
        <f t="shared" si="1"/>
        <v>23</v>
      </c>
      <c r="Q17" s="222"/>
      <c r="R17" s="232">
        <v>282</v>
      </c>
      <c r="S17" s="228">
        <v>0.009108527131782946</v>
      </c>
      <c r="T17" s="232">
        <f t="shared" si="2"/>
        <v>90</v>
      </c>
      <c r="U17" s="222"/>
      <c r="V17" s="232">
        <v>282</v>
      </c>
      <c r="W17" s="228">
        <f t="shared" si="7"/>
        <v>0.009236211188261496</v>
      </c>
      <c r="X17" s="232">
        <f t="shared" si="3"/>
        <v>12</v>
      </c>
      <c r="Y17" s="222"/>
      <c r="Z17" s="232">
        <f>SUM('School Tax'!F23)</f>
        <v>4526</v>
      </c>
      <c r="AA17" s="228">
        <f>SUM('School Tax'!D23)</f>
        <v>0.013625347835778996</v>
      </c>
      <c r="AB17" s="232">
        <f t="shared" si="4"/>
        <v>14</v>
      </c>
      <c r="AD17" s="232">
        <v>282</v>
      </c>
      <c r="AE17" s="228">
        <f t="shared" si="5"/>
        <v>0.009108527131782946</v>
      </c>
      <c r="AF17" s="232">
        <f t="shared" si="8"/>
        <v>0</v>
      </c>
    </row>
    <row r="18" spans="1:32" ht="12.75">
      <c r="A18" s="4" t="s">
        <v>27</v>
      </c>
      <c r="B18" s="226"/>
      <c r="C18" s="187"/>
      <c r="D18" s="232">
        <f t="shared" si="6"/>
        <v>2858</v>
      </c>
      <c r="F18" s="231"/>
      <c r="G18" s="228">
        <v>0.038233017572782226</v>
      </c>
      <c r="H18" s="232">
        <v>646</v>
      </c>
      <c r="I18" s="222"/>
      <c r="J18" s="232">
        <v>1298</v>
      </c>
      <c r="K18" s="228">
        <v>0.041925064599483204</v>
      </c>
      <c r="L18" s="232">
        <f t="shared" si="0"/>
        <v>1570</v>
      </c>
      <c r="M18" s="222"/>
      <c r="N18" s="232">
        <v>1298</v>
      </c>
      <c r="O18" s="228">
        <v>0.041925064599483204</v>
      </c>
      <c r="P18" s="232">
        <f t="shared" si="1"/>
        <v>105</v>
      </c>
      <c r="Q18" s="222"/>
      <c r="R18" s="232">
        <v>1298</v>
      </c>
      <c r="S18" s="228">
        <v>0.041925064599483204</v>
      </c>
      <c r="T18" s="232">
        <f t="shared" si="2"/>
        <v>415</v>
      </c>
      <c r="U18" s="222"/>
      <c r="V18" s="232">
        <v>1298</v>
      </c>
      <c r="W18" s="228">
        <f t="shared" si="7"/>
        <v>0.04251277348355823</v>
      </c>
      <c r="X18" s="232">
        <f t="shared" si="3"/>
        <v>57</v>
      </c>
      <c r="Y18" s="222"/>
      <c r="Z18" s="232">
        <f>SUM('School Tax'!F24)</f>
        <v>20858</v>
      </c>
      <c r="AA18" s="228">
        <f>SUM('School Tax'!D24)</f>
        <v>0.06279501222466685</v>
      </c>
      <c r="AB18" s="232">
        <f t="shared" si="4"/>
        <v>65</v>
      </c>
      <c r="AD18" s="232">
        <v>1298</v>
      </c>
      <c r="AE18" s="228">
        <f t="shared" si="5"/>
        <v>0.041925064599483204</v>
      </c>
      <c r="AF18" s="232">
        <f t="shared" si="8"/>
        <v>0</v>
      </c>
    </row>
    <row r="19" spans="1:32" ht="12.75">
      <c r="A19" s="4" t="s">
        <v>28</v>
      </c>
      <c r="B19" s="226"/>
      <c r="C19" s="187"/>
      <c r="D19" s="232">
        <f t="shared" si="6"/>
        <v>1662</v>
      </c>
      <c r="F19" s="231"/>
      <c r="G19" s="228">
        <v>0.019610144202457214</v>
      </c>
      <c r="H19" s="232">
        <v>331</v>
      </c>
      <c r="I19" s="222"/>
      <c r="J19" s="232">
        <v>805</v>
      </c>
      <c r="K19" s="228">
        <v>0.026001291989664083</v>
      </c>
      <c r="L19" s="232">
        <f t="shared" si="0"/>
        <v>974</v>
      </c>
      <c r="M19" s="222"/>
      <c r="N19" s="232">
        <v>805</v>
      </c>
      <c r="O19" s="228">
        <v>0.026001291989664083</v>
      </c>
      <c r="P19" s="232">
        <f t="shared" si="1"/>
        <v>65</v>
      </c>
      <c r="Q19" s="222"/>
      <c r="R19" s="232">
        <v>805</v>
      </c>
      <c r="S19" s="228">
        <v>0.026001291989664083</v>
      </c>
      <c r="T19" s="232">
        <f t="shared" si="2"/>
        <v>257</v>
      </c>
      <c r="U19" s="222"/>
      <c r="V19" s="232">
        <v>805</v>
      </c>
      <c r="W19" s="228">
        <f t="shared" si="7"/>
        <v>0.02636578016507271</v>
      </c>
      <c r="X19" s="232">
        <f t="shared" si="3"/>
        <v>35</v>
      </c>
      <c r="Y19" s="222"/>
      <c r="Z19" s="232">
        <f>SUM('School Tax'!F25)</f>
        <v>4897</v>
      </c>
      <c r="AA19" s="228">
        <f>SUM('School Tax'!D25)</f>
        <v>0</v>
      </c>
      <c r="AB19" s="232">
        <f t="shared" si="4"/>
        <v>0</v>
      </c>
      <c r="AD19" s="232">
        <v>805</v>
      </c>
      <c r="AE19" s="228">
        <f t="shared" si="5"/>
        <v>0.026001291989664083</v>
      </c>
      <c r="AF19" s="232">
        <f t="shared" si="8"/>
        <v>0</v>
      </c>
    </row>
    <row r="20" spans="1:32" ht="12.75">
      <c r="A20" s="4" t="s">
        <v>29</v>
      </c>
      <c r="B20" s="226"/>
      <c r="C20" s="187"/>
      <c r="D20" s="232">
        <f t="shared" si="6"/>
        <v>741</v>
      </c>
      <c r="F20" s="231"/>
      <c r="G20" s="228">
        <v>0.010333689951310197</v>
      </c>
      <c r="H20" s="232">
        <v>175</v>
      </c>
      <c r="I20" s="222"/>
      <c r="J20" s="232">
        <v>331</v>
      </c>
      <c r="K20" s="228">
        <v>0.010691214470284238</v>
      </c>
      <c r="L20" s="232">
        <f t="shared" si="0"/>
        <v>400</v>
      </c>
      <c r="M20" s="222"/>
      <c r="N20" s="232">
        <v>331</v>
      </c>
      <c r="O20" s="228">
        <v>0.010691214470284238</v>
      </c>
      <c r="P20" s="232">
        <f t="shared" si="1"/>
        <v>27</v>
      </c>
      <c r="Q20" s="222"/>
      <c r="R20" s="232">
        <v>331</v>
      </c>
      <c r="S20" s="228">
        <v>0.010691214470284238</v>
      </c>
      <c r="T20" s="232">
        <f t="shared" si="2"/>
        <v>106</v>
      </c>
      <c r="U20" s="222"/>
      <c r="V20" s="232">
        <v>331</v>
      </c>
      <c r="W20" s="228">
        <f t="shared" si="7"/>
        <v>0.010841084763526791</v>
      </c>
      <c r="X20" s="232">
        <f t="shared" si="3"/>
        <v>15</v>
      </c>
      <c r="Y20" s="222"/>
      <c r="Z20" s="232">
        <f>SUM('School Tax'!F26)</f>
        <v>5919</v>
      </c>
      <c r="AA20" s="228">
        <f>SUM('School Tax'!D26)</f>
        <v>0.01782063574625303</v>
      </c>
      <c r="AB20" s="232">
        <f t="shared" si="4"/>
        <v>18</v>
      </c>
      <c r="AD20" s="232">
        <v>331</v>
      </c>
      <c r="AE20" s="228">
        <f t="shared" si="5"/>
        <v>0.010691214470284238</v>
      </c>
      <c r="AF20" s="232">
        <f t="shared" si="8"/>
        <v>0</v>
      </c>
    </row>
    <row r="21" spans="1:32" ht="12.75">
      <c r="A21" s="4" t="s">
        <v>30</v>
      </c>
      <c r="B21" s="226"/>
      <c r="C21" s="187"/>
      <c r="D21" s="232">
        <f t="shared" si="6"/>
        <v>151</v>
      </c>
      <c r="F21" s="231"/>
      <c r="G21" s="228">
        <v>0.0018113680707654038</v>
      </c>
      <c r="H21" s="232">
        <v>31</v>
      </c>
      <c r="I21" s="222"/>
      <c r="J21" s="232">
        <v>72</v>
      </c>
      <c r="K21" s="228">
        <v>0.002325581395348837</v>
      </c>
      <c r="L21" s="232">
        <f t="shared" si="0"/>
        <v>87</v>
      </c>
      <c r="M21" s="222"/>
      <c r="N21" s="232">
        <v>72</v>
      </c>
      <c r="O21" s="228">
        <v>0.002325581395348837</v>
      </c>
      <c r="P21" s="232">
        <f t="shared" si="1"/>
        <v>6</v>
      </c>
      <c r="Q21" s="222"/>
      <c r="R21" s="232">
        <v>72</v>
      </c>
      <c r="S21" s="228">
        <v>0.002325581395348837</v>
      </c>
      <c r="T21" s="232">
        <f t="shared" si="2"/>
        <v>23</v>
      </c>
      <c r="U21" s="222"/>
      <c r="V21" s="232">
        <v>72</v>
      </c>
      <c r="W21" s="228">
        <f t="shared" si="7"/>
        <v>0.0023581815799816586</v>
      </c>
      <c r="X21" s="232">
        <f t="shared" si="3"/>
        <v>3</v>
      </c>
      <c r="Y21" s="222"/>
      <c r="Z21" s="232">
        <f>SUM('School Tax'!F27)</f>
        <v>442</v>
      </c>
      <c r="AA21" s="228">
        <f>SUM('School Tax'!D27)</f>
        <v>0.0013295542099304905</v>
      </c>
      <c r="AB21" s="232">
        <f t="shared" si="4"/>
        <v>1</v>
      </c>
      <c r="AD21" s="232">
        <v>72</v>
      </c>
      <c r="AE21" s="228">
        <f t="shared" si="5"/>
        <v>0.002325581395348837</v>
      </c>
      <c r="AF21" s="232">
        <f t="shared" si="8"/>
        <v>0</v>
      </c>
    </row>
    <row r="22" spans="1:32" ht="12.75">
      <c r="A22" s="4" t="s">
        <v>31</v>
      </c>
      <c r="B22" s="226"/>
      <c r="C22" s="187"/>
      <c r="D22" s="232">
        <f t="shared" si="6"/>
        <v>1385</v>
      </c>
      <c r="F22" s="231"/>
      <c r="G22" s="228">
        <v>0.021768427102204283</v>
      </c>
      <c r="H22" s="232">
        <v>368</v>
      </c>
      <c r="I22" s="222"/>
      <c r="J22" s="232">
        <v>590</v>
      </c>
      <c r="K22" s="228">
        <v>0.01905684754521964</v>
      </c>
      <c r="L22" s="232">
        <f t="shared" si="0"/>
        <v>714</v>
      </c>
      <c r="M22" s="222"/>
      <c r="N22" s="232">
        <v>590</v>
      </c>
      <c r="O22" s="228">
        <v>0.01905684754521964</v>
      </c>
      <c r="P22" s="232">
        <f t="shared" si="1"/>
        <v>48</v>
      </c>
      <c r="Q22" s="222"/>
      <c r="R22" s="232">
        <v>590</v>
      </c>
      <c r="S22" s="228">
        <v>0.01905684754521964</v>
      </c>
      <c r="T22" s="232">
        <f t="shared" si="2"/>
        <v>189</v>
      </c>
      <c r="U22" s="222"/>
      <c r="V22" s="232">
        <v>590</v>
      </c>
      <c r="W22" s="228">
        <f t="shared" si="7"/>
        <v>0.019323987947071925</v>
      </c>
      <c r="X22" s="232">
        <f t="shared" si="3"/>
        <v>26</v>
      </c>
      <c r="Y22" s="222"/>
      <c r="Z22" s="232">
        <f>SUM('School Tax'!F28)</f>
        <v>12864</v>
      </c>
      <c r="AA22" s="228">
        <f>SUM('School Tax'!D28)</f>
        <v>0.03872873001347435</v>
      </c>
      <c r="AB22" s="232">
        <f t="shared" si="4"/>
        <v>40</v>
      </c>
      <c r="AD22" s="232">
        <v>590</v>
      </c>
      <c r="AE22" s="228">
        <f t="shared" si="5"/>
        <v>0.01905684754521964</v>
      </c>
      <c r="AF22" s="232">
        <f t="shared" si="8"/>
        <v>0</v>
      </c>
    </row>
    <row r="23" spans="1:32" ht="12.75">
      <c r="A23" s="4" t="s">
        <v>32</v>
      </c>
      <c r="B23" s="226"/>
      <c r="C23" s="187"/>
      <c r="D23" s="232">
        <f t="shared" si="6"/>
        <v>187</v>
      </c>
      <c r="F23" s="231"/>
      <c r="G23" s="228">
        <v>0.002035392851315885</v>
      </c>
      <c r="H23" s="232">
        <v>34</v>
      </c>
      <c r="I23" s="222"/>
      <c r="J23" s="232">
        <v>91</v>
      </c>
      <c r="K23" s="228">
        <v>0.0029392764857881135</v>
      </c>
      <c r="L23" s="232">
        <f t="shared" si="0"/>
        <v>110</v>
      </c>
      <c r="M23" s="222"/>
      <c r="N23" s="232">
        <v>91</v>
      </c>
      <c r="O23" s="228">
        <v>0.0029392764857881135</v>
      </c>
      <c r="P23" s="232">
        <f t="shared" si="1"/>
        <v>7</v>
      </c>
      <c r="Q23" s="222"/>
      <c r="R23" s="232">
        <v>91</v>
      </c>
      <c r="S23" s="228">
        <v>0.0029392764857881135</v>
      </c>
      <c r="T23" s="232">
        <f t="shared" si="2"/>
        <v>29</v>
      </c>
      <c r="U23" s="222"/>
      <c r="V23" s="232">
        <v>91</v>
      </c>
      <c r="W23" s="228">
        <f t="shared" si="7"/>
        <v>0.002980479496921263</v>
      </c>
      <c r="X23" s="232">
        <f t="shared" si="3"/>
        <v>4</v>
      </c>
      <c r="Y23" s="222"/>
      <c r="Z23" s="232">
        <f>SUM('School Tax'!F29)</f>
        <v>1019</v>
      </c>
      <c r="AA23" s="228">
        <f>SUM('School Tax'!D29)</f>
        <v>0.0030667959929000376</v>
      </c>
      <c r="AB23" s="232">
        <f t="shared" si="4"/>
        <v>3</v>
      </c>
      <c r="AD23" s="232">
        <v>91</v>
      </c>
      <c r="AE23" s="228">
        <f t="shared" si="5"/>
        <v>0.0029392764857881135</v>
      </c>
      <c r="AF23" s="232">
        <f t="shared" si="8"/>
        <v>0</v>
      </c>
    </row>
    <row r="24" spans="1:32" ht="12.75">
      <c r="A24" s="4" t="s">
        <v>33</v>
      </c>
      <c r="B24" s="226"/>
      <c r="C24" s="187"/>
      <c r="D24" s="232">
        <f t="shared" si="6"/>
        <v>259</v>
      </c>
      <c r="F24" s="231"/>
      <c r="G24" s="228">
        <v>0.0031785492752404547</v>
      </c>
      <c r="H24" s="232">
        <v>54</v>
      </c>
      <c r="I24" s="222"/>
      <c r="J24" s="232">
        <v>124</v>
      </c>
      <c r="K24" s="228">
        <v>0.004005167958656331</v>
      </c>
      <c r="L24" s="232">
        <f t="shared" si="0"/>
        <v>150</v>
      </c>
      <c r="M24" s="222"/>
      <c r="N24" s="232">
        <v>124</v>
      </c>
      <c r="O24" s="228">
        <v>0.004005167958656331</v>
      </c>
      <c r="P24" s="232">
        <f t="shared" si="1"/>
        <v>10</v>
      </c>
      <c r="Q24" s="222"/>
      <c r="R24" s="232">
        <v>124</v>
      </c>
      <c r="S24" s="228">
        <v>0.004005167958656331</v>
      </c>
      <c r="T24" s="232">
        <f t="shared" si="2"/>
        <v>40</v>
      </c>
      <c r="U24" s="222"/>
      <c r="V24" s="232">
        <v>124</v>
      </c>
      <c r="W24" s="228">
        <f t="shared" si="7"/>
        <v>0.004061312721079523</v>
      </c>
      <c r="X24" s="232">
        <f t="shared" si="3"/>
        <v>5</v>
      </c>
      <c r="Y24" s="222"/>
      <c r="Z24" s="232">
        <f>SUM('School Tax'!F30)</f>
        <v>0</v>
      </c>
      <c r="AA24" s="228">
        <f>SUM('School Tax'!D30)</f>
        <v>0</v>
      </c>
      <c r="AB24" s="232">
        <f t="shared" si="4"/>
        <v>0</v>
      </c>
      <c r="AD24" s="232">
        <v>124</v>
      </c>
      <c r="AE24" s="228">
        <f t="shared" si="5"/>
        <v>0.004005167958656331</v>
      </c>
      <c r="AF24" s="232">
        <f t="shared" si="8"/>
        <v>0</v>
      </c>
    </row>
    <row r="25" spans="1:32" ht="12.75">
      <c r="A25" s="4" t="s">
        <v>34</v>
      </c>
      <c r="B25" s="226"/>
      <c r="C25" s="187"/>
      <c r="D25" s="232">
        <f t="shared" si="6"/>
        <v>256</v>
      </c>
      <c r="F25" s="231"/>
      <c r="G25" s="228">
        <v>0.0028521312614972097</v>
      </c>
      <c r="H25" s="232">
        <v>48</v>
      </c>
      <c r="I25" s="222"/>
      <c r="J25" s="232">
        <v>124</v>
      </c>
      <c r="K25" s="228">
        <v>0.004005167958656331</v>
      </c>
      <c r="L25" s="232">
        <f t="shared" si="0"/>
        <v>150</v>
      </c>
      <c r="M25" s="222"/>
      <c r="N25" s="232">
        <v>124</v>
      </c>
      <c r="O25" s="228">
        <v>0.004005167958656331</v>
      </c>
      <c r="P25" s="232">
        <f t="shared" si="1"/>
        <v>10</v>
      </c>
      <c r="Q25" s="222"/>
      <c r="R25" s="232">
        <v>124</v>
      </c>
      <c r="S25" s="228">
        <v>0.004005167958656331</v>
      </c>
      <c r="T25" s="232">
        <f t="shared" si="2"/>
        <v>40</v>
      </c>
      <c r="U25" s="222"/>
      <c r="V25" s="232">
        <v>124</v>
      </c>
      <c r="W25" s="228">
        <f t="shared" si="7"/>
        <v>0.004061312721079523</v>
      </c>
      <c r="X25" s="232">
        <f t="shared" si="3"/>
        <v>5</v>
      </c>
      <c r="Y25" s="222"/>
      <c r="Z25" s="232">
        <f>SUM('School Tax'!F31)</f>
        <v>940</v>
      </c>
      <c r="AA25" s="228">
        <f>SUM('School Tax'!D31)</f>
        <v>0.002831163701660115</v>
      </c>
      <c r="AB25" s="232">
        <f t="shared" si="4"/>
        <v>3</v>
      </c>
      <c r="AD25" s="232">
        <v>124</v>
      </c>
      <c r="AE25" s="228">
        <f t="shared" si="5"/>
        <v>0.004005167958656331</v>
      </c>
      <c r="AF25" s="232">
        <f t="shared" si="8"/>
        <v>0</v>
      </c>
    </row>
    <row r="26" spans="1:32" ht="12.75">
      <c r="A26" s="4" t="s">
        <v>35</v>
      </c>
      <c r="B26" s="226"/>
      <c r="C26" s="187"/>
      <c r="D26" s="232">
        <f t="shared" si="6"/>
        <v>127</v>
      </c>
      <c r="F26" s="231"/>
      <c r="G26" s="228">
        <v>0.0036436849425723473</v>
      </c>
      <c r="H26" s="232">
        <v>62</v>
      </c>
      <c r="I26" s="222"/>
      <c r="J26" s="232">
        <v>39</v>
      </c>
      <c r="K26" s="228">
        <v>0.0012596899224806201</v>
      </c>
      <c r="L26" s="232">
        <f t="shared" si="0"/>
        <v>47</v>
      </c>
      <c r="M26" s="222"/>
      <c r="N26" s="232">
        <v>39</v>
      </c>
      <c r="O26" s="228">
        <v>0.0012596899224806201</v>
      </c>
      <c r="P26" s="232">
        <f t="shared" si="1"/>
        <v>3</v>
      </c>
      <c r="Q26" s="222"/>
      <c r="R26" s="232">
        <v>39</v>
      </c>
      <c r="S26" s="228">
        <v>0.0012596899224806201</v>
      </c>
      <c r="T26" s="232">
        <f t="shared" si="2"/>
        <v>12</v>
      </c>
      <c r="U26" s="222"/>
      <c r="V26" s="232">
        <v>39</v>
      </c>
      <c r="W26" s="228">
        <f t="shared" si="7"/>
        <v>0.0012773483558233985</v>
      </c>
      <c r="X26" s="232">
        <f t="shared" si="3"/>
        <v>2</v>
      </c>
      <c r="Y26" s="222"/>
      <c r="Z26" s="232">
        <f>SUM('School Tax'!F32)</f>
        <v>247</v>
      </c>
      <c r="AA26" s="228">
        <f>SUM('School Tax'!D32)</f>
        <v>0.0007430562978392161</v>
      </c>
      <c r="AB26" s="232">
        <f t="shared" si="4"/>
        <v>1</v>
      </c>
      <c r="AD26" s="232">
        <v>39</v>
      </c>
      <c r="AE26" s="228">
        <f t="shared" si="5"/>
        <v>0.0012596899224806201</v>
      </c>
      <c r="AF26" s="232">
        <f t="shared" si="8"/>
        <v>0</v>
      </c>
    </row>
    <row r="27" spans="1:32" ht="12.75">
      <c r="A27" s="4" t="s">
        <v>36</v>
      </c>
      <c r="B27" s="226"/>
      <c r="C27" s="187"/>
      <c r="D27" s="232">
        <f t="shared" si="6"/>
        <v>153</v>
      </c>
      <c r="F27" s="231"/>
      <c r="G27" s="228">
        <v>0.0017558830622790822</v>
      </c>
      <c r="H27" s="232">
        <v>30</v>
      </c>
      <c r="I27" s="222"/>
      <c r="J27" s="232">
        <v>74</v>
      </c>
      <c r="K27" s="228">
        <v>0.0023901808785529717</v>
      </c>
      <c r="L27" s="232">
        <f t="shared" si="0"/>
        <v>90</v>
      </c>
      <c r="M27" s="222"/>
      <c r="N27" s="232">
        <v>74</v>
      </c>
      <c r="O27" s="228">
        <v>0.0023901808785529717</v>
      </c>
      <c r="P27" s="232">
        <f t="shared" si="1"/>
        <v>6</v>
      </c>
      <c r="Q27" s="222"/>
      <c r="R27" s="232">
        <v>74</v>
      </c>
      <c r="S27" s="228">
        <v>0.0023901808785529717</v>
      </c>
      <c r="T27" s="232">
        <f t="shared" si="2"/>
        <v>24</v>
      </c>
      <c r="U27" s="222"/>
      <c r="V27" s="232">
        <v>74</v>
      </c>
      <c r="W27" s="228">
        <f t="shared" si="7"/>
        <v>0.002423686623870038</v>
      </c>
      <c r="X27" s="232">
        <f t="shared" si="3"/>
        <v>3</v>
      </c>
      <c r="Y27" s="222"/>
      <c r="Z27" s="232">
        <f>SUM('School Tax'!F33)</f>
        <v>0</v>
      </c>
      <c r="AA27" s="228">
        <f aca="true" t="shared" si="9" ref="AA27:AA37">SUM(Z27/$Z$38)</f>
        <v>0</v>
      </c>
      <c r="AB27" s="232">
        <f t="shared" si="4"/>
        <v>0</v>
      </c>
      <c r="AD27" s="232">
        <v>74</v>
      </c>
      <c r="AE27" s="228">
        <f t="shared" si="5"/>
        <v>0.0023901808785529717</v>
      </c>
      <c r="AF27" s="232">
        <f t="shared" si="8"/>
        <v>0</v>
      </c>
    </row>
    <row r="28" spans="1:32" ht="12.75">
      <c r="A28" s="4" t="s">
        <v>37</v>
      </c>
      <c r="B28" s="226"/>
      <c r="C28" s="187"/>
      <c r="D28" s="232">
        <f t="shared" si="6"/>
        <v>2937</v>
      </c>
      <c r="F28" s="231"/>
      <c r="G28" s="228">
        <v>0.03231629525799136</v>
      </c>
      <c r="H28" s="232">
        <v>546</v>
      </c>
      <c r="I28" s="222"/>
      <c r="J28" s="232">
        <v>1445</v>
      </c>
      <c r="K28" s="228">
        <v>0.04667312661498708</v>
      </c>
      <c r="L28" s="232">
        <f t="shared" si="0"/>
        <v>1748</v>
      </c>
      <c r="M28" s="222"/>
      <c r="N28" s="232">
        <v>1445</v>
      </c>
      <c r="O28" s="228">
        <v>0.04667312661498708</v>
      </c>
      <c r="P28" s="232">
        <f t="shared" si="1"/>
        <v>117</v>
      </c>
      <c r="Q28" s="222"/>
      <c r="R28" s="232">
        <v>1445</v>
      </c>
      <c r="S28" s="228">
        <v>0.04667312661498708</v>
      </c>
      <c r="T28" s="232">
        <f t="shared" si="2"/>
        <v>462</v>
      </c>
      <c r="U28" s="222"/>
      <c r="V28" s="232">
        <v>1445</v>
      </c>
      <c r="W28" s="228">
        <f t="shared" si="7"/>
        <v>0.04732739420935412</v>
      </c>
      <c r="X28" s="232">
        <f t="shared" si="3"/>
        <v>64</v>
      </c>
      <c r="Y28" s="222"/>
      <c r="Z28" s="232">
        <f>SUM('School Tax'!F34)</f>
        <v>0</v>
      </c>
      <c r="AA28" s="228">
        <f t="shared" si="9"/>
        <v>0</v>
      </c>
      <c r="AB28" s="232">
        <f t="shared" si="4"/>
        <v>0</v>
      </c>
      <c r="AD28" s="232">
        <v>1445</v>
      </c>
      <c r="AE28" s="228">
        <f t="shared" si="5"/>
        <v>0.04667312661498708</v>
      </c>
      <c r="AF28" s="232">
        <f t="shared" si="8"/>
        <v>0</v>
      </c>
    </row>
    <row r="29" spans="1:32" ht="12.75">
      <c r="A29" s="4" t="s">
        <v>38</v>
      </c>
      <c r="B29" s="226"/>
      <c r="C29" s="187"/>
      <c r="D29" s="232">
        <f t="shared" si="6"/>
        <v>825</v>
      </c>
      <c r="F29" s="231"/>
      <c r="G29" s="228">
        <v>0.007994431906806756</v>
      </c>
      <c r="H29" s="232">
        <v>135</v>
      </c>
      <c r="I29" s="222"/>
      <c r="J29" s="232">
        <v>428</v>
      </c>
      <c r="K29" s="228">
        <v>0.013824289405684755</v>
      </c>
      <c r="L29" s="232">
        <f t="shared" si="0"/>
        <v>518</v>
      </c>
      <c r="M29" s="222"/>
      <c r="N29" s="232">
        <v>428</v>
      </c>
      <c r="O29" s="228">
        <v>0.013824289405684755</v>
      </c>
      <c r="P29" s="232">
        <f t="shared" si="1"/>
        <v>35</v>
      </c>
      <c r="Q29" s="222"/>
      <c r="R29" s="232">
        <v>428</v>
      </c>
      <c r="S29" s="228">
        <v>0.013824289405684755</v>
      </c>
      <c r="T29" s="232">
        <f t="shared" si="2"/>
        <v>137</v>
      </c>
      <c r="U29" s="222"/>
      <c r="V29" s="232">
        <v>0</v>
      </c>
      <c r="W29" s="228">
        <f t="shared" si="7"/>
        <v>0</v>
      </c>
      <c r="X29" s="232">
        <f t="shared" si="3"/>
        <v>0</v>
      </c>
      <c r="Y29" s="222"/>
      <c r="Z29" s="232">
        <v>0</v>
      </c>
      <c r="AA29" s="228">
        <f t="shared" si="9"/>
        <v>0</v>
      </c>
      <c r="AB29" s="232">
        <f t="shared" si="4"/>
        <v>0</v>
      </c>
      <c r="AD29" s="232">
        <v>428</v>
      </c>
      <c r="AE29" s="228">
        <f t="shared" si="5"/>
        <v>0.013824289405684755</v>
      </c>
      <c r="AF29" s="232">
        <f t="shared" si="8"/>
        <v>0</v>
      </c>
    </row>
    <row r="30" spans="1:32" ht="12.75">
      <c r="A30" s="4" t="s">
        <v>8</v>
      </c>
      <c r="B30" s="226"/>
      <c r="C30" s="187"/>
      <c r="D30" s="232">
        <f t="shared" si="6"/>
        <v>1977</v>
      </c>
      <c r="F30" s="231"/>
      <c r="G30" s="228">
        <v>0.02842620612976682</v>
      </c>
      <c r="H30" s="232">
        <v>480</v>
      </c>
      <c r="I30" s="222"/>
      <c r="J30" s="232">
        <v>905</v>
      </c>
      <c r="K30" s="228">
        <v>0.029231266149870802</v>
      </c>
      <c r="L30" s="232">
        <f t="shared" si="0"/>
        <v>1095</v>
      </c>
      <c r="M30" s="222"/>
      <c r="N30" s="232">
        <v>905</v>
      </c>
      <c r="O30" s="228">
        <v>0.029231266149870802</v>
      </c>
      <c r="P30" s="232">
        <f t="shared" si="1"/>
        <v>73</v>
      </c>
      <c r="Q30" s="222"/>
      <c r="R30" s="232">
        <v>905</v>
      </c>
      <c r="S30" s="228">
        <v>0.029231266149870802</v>
      </c>
      <c r="T30" s="232">
        <f t="shared" si="2"/>
        <v>289</v>
      </c>
      <c r="U30" s="222"/>
      <c r="V30" s="232">
        <v>905</v>
      </c>
      <c r="W30" s="228">
        <f t="shared" si="7"/>
        <v>0.02964103235949168</v>
      </c>
      <c r="X30" s="232">
        <f t="shared" si="3"/>
        <v>40</v>
      </c>
      <c r="Y30" s="222"/>
      <c r="Z30" s="232">
        <f>SUM('School Tax'!F36)</f>
        <v>0</v>
      </c>
      <c r="AA30" s="228">
        <f t="shared" si="9"/>
        <v>0</v>
      </c>
      <c r="AB30" s="232">
        <f t="shared" si="4"/>
        <v>0</v>
      </c>
      <c r="AD30" s="232">
        <v>905</v>
      </c>
      <c r="AE30" s="228">
        <f t="shared" si="5"/>
        <v>0.029231266149870802</v>
      </c>
      <c r="AF30" s="232">
        <f t="shared" si="8"/>
        <v>0</v>
      </c>
    </row>
    <row r="31" spans="1:32" ht="12.75">
      <c r="A31" s="4" t="s">
        <v>51</v>
      </c>
      <c r="B31" s="226"/>
      <c r="C31" s="187"/>
      <c r="D31" s="232">
        <f t="shared" si="6"/>
        <v>2097</v>
      </c>
      <c r="F31" s="231"/>
      <c r="G31" s="228">
        <v>0.01757209993957403</v>
      </c>
      <c r="H31" s="232">
        <v>297</v>
      </c>
      <c r="I31" s="222"/>
      <c r="J31" s="232">
        <v>1088</v>
      </c>
      <c r="K31" s="228">
        <v>0.0351421188630491</v>
      </c>
      <c r="L31" s="232">
        <f t="shared" si="0"/>
        <v>1316</v>
      </c>
      <c r="M31" s="222"/>
      <c r="N31" s="232">
        <v>1088</v>
      </c>
      <c r="O31" s="228">
        <v>0.0351421188630491</v>
      </c>
      <c r="P31" s="232">
        <f t="shared" si="1"/>
        <v>88</v>
      </c>
      <c r="Q31" s="222"/>
      <c r="R31" s="232">
        <v>1088</v>
      </c>
      <c r="S31" s="228">
        <v>0.0351421188630491</v>
      </c>
      <c r="T31" s="232">
        <f t="shared" si="2"/>
        <v>348</v>
      </c>
      <c r="U31" s="222"/>
      <c r="V31" s="232">
        <v>1088</v>
      </c>
      <c r="W31" s="228">
        <f t="shared" si="7"/>
        <v>0.035634743875278395</v>
      </c>
      <c r="X31" s="232">
        <f t="shared" si="3"/>
        <v>48</v>
      </c>
      <c r="Y31" s="222"/>
      <c r="Z31" s="232">
        <v>0</v>
      </c>
      <c r="AA31" s="228">
        <f t="shared" si="9"/>
        <v>0</v>
      </c>
      <c r="AB31" s="232">
        <f t="shared" si="4"/>
        <v>0</v>
      </c>
      <c r="AD31" s="232">
        <v>1088</v>
      </c>
      <c r="AE31" s="228">
        <f t="shared" si="5"/>
        <v>0.0351421188630491</v>
      </c>
      <c r="AF31" s="232">
        <f t="shared" si="8"/>
        <v>0</v>
      </c>
    </row>
    <row r="32" spans="1:32" ht="12.75">
      <c r="A32" s="4" t="s">
        <v>39</v>
      </c>
      <c r="B32" s="226"/>
      <c r="C32" s="187"/>
      <c r="D32" s="232">
        <f t="shared" si="6"/>
        <v>4874</v>
      </c>
      <c r="F32" s="231"/>
      <c r="G32" s="228">
        <v>0.057289455512290706</v>
      </c>
      <c r="H32" s="232">
        <v>967</v>
      </c>
      <c r="I32" s="222"/>
      <c r="J32" s="232">
        <v>2362</v>
      </c>
      <c r="K32" s="228">
        <v>0.07629198966408268</v>
      </c>
      <c r="L32" s="232">
        <f t="shared" si="0"/>
        <v>2857</v>
      </c>
      <c r="M32" s="222"/>
      <c r="N32" s="232">
        <v>2362</v>
      </c>
      <c r="O32" s="228">
        <v>0.07629198966408268</v>
      </c>
      <c r="P32" s="232">
        <f t="shared" si="1"/>
        <v>191</v>
      </c>
      <c r="Q32" s="222"/>
      <c r="R32" s="232">
        <v>2362</v>
      </c>
      <c r="S32" s="228">
        <v>0.07629198966408268</v>
      </c>
      <c r="T32" s="232">
        <f t="shared" si="2"/>
        <v>755</v>
      </c>
      <c r="U32" s="222"/>
      <c r="V32" s="232">
        <v>2362</v>
      </c>
      <c r="W32" s="228">
        <f t="shared" si="7"/>
        <v>0.07736145683217607</v>
      </c>
      <c r="X32" s="232">
        <f t="shared" si="3"/>
        <v>104</v>
      </c>
      <c r="Y32" s="222"/>
      <c r="Z32" s="232">
        <v>0</v>
      </c>
      <c r="AA32" s="228">
        <f t="shared" si="9"/>
        <v>0</v>
      </c>
      <c r="AB32" s="232">
        <f t="shared" si="4"/>
        <v>0</v>
      </c>
      <c r="AD32" s="232">
        <v>2362</v>
      </c>
      <c r="AE32" s="228">
        <f t="shared" si="5"/>
        <v>0.07629198966408268</v>
      </c>
      <c r="AF32" s="232">
        <f t="shared" si="8"/>
        <v>0</v>
      </c>
    </row>
    <row r="33" spans="1:32" ht="12.75">
      <c r="A33" s="4" t="s">
        <v>5</v>
      </c>
      <c r="B33" s="226"/>
      <c r="C33" s="187"/>
      <c r="D33" s="232">
        <f t="shared" si="6"/>
        <v>741</v>
      </c>
      <c r="F33" s="231"/>
      <c r="G33" s="228">
        <v>0.00906325466492719</v>
      </c>
      <c r="H33" s="232">
        <v>153</v>
      </c>
      <c r="I33" s="222"/>
      <c r="J33" s="232">
        <v>355</v>
      </c>
      <c r="K33" s="228">
        <v>0.01146640826873385</v>
      </c>
      <c r="L33" s="232">
        <f t="shared" si="0"/>
        <v>429</v>
      </c>
      <c r="M33" s="222"/>
      <c r="N33" s="232">
        <v>355</v>
      </c>
      <c r="O33" s="228">
        <v>0.01146640826873385</v>
      </c>
      <c r="P33" s="232">
        <f t="shared" si="1"/>
        <v>29</v>
      </c>
      <c r="Q33" s="222"/>
      <c r="R33" s="232">
        <v>355</v>
      </c>
      <c r="S33" s="228">
        <v>0.01146640826873385</v>
      </c>
      <c r="T33" s="232">
        <f t="shared" si="2"/>
        <v>114</v>
      </c>
      <c r="U33" s="222"/>
      <c r="V33" s="232">
        <v>355</v>
      </c>
      <c r="W33" s="228">
        <f t="shared" si="7"/>
        <v>0.011627145290187345</v>
      </c>
      <c r="X33" s="232">
        <f t="shared" si="3"/>
        <v>16</v>
      </c>
      <c r="Y33" s="222"/>
      <c r="Z33" s="232">
        <v>0</v>
      </c>
      <c r="AA33" s="228">
        <f t="shared" si="9"/>
        <v>0</v>
      </c>
      <c r="AB33" s="232">
        <f t="shared" si="4"/>
        <v>0</v>
      </c>
      <c r="AD33" s="232">
        <v>355</v>
      </c>
      <c r="AE33" s="228">
        <f t="shared" si="5"/>
        <v>0.01146640826873385</v>
      </c>
      <c r="AF33" s="232">
        <f t="shared" si="8"/>
        <v>0</v>
      </c>
    </row>
    <row r="34" spans="1:32" ht="12.75">
      <c r="A34" s="4" t="s">
        <v>6</v>
      </c>
      <c r="B34" s="226"/>
      <c r="C34" s="187"/>
      <c r="D34" s="232">
        <f t="shared" si="6"/>
        <v>1782</v>
      </c>
      <c r="F34" s="231"/>
      <c r="G34" s="228">
        <v>0.017545683397733162</v>
      </c>
      <c r="H34" s="232">
        <v>296</v>
      </c>
      <c r="I34" s="222"/>
      <c r="J34" s="232">
        <v>898</v>
      </c>
      <c r="K34" s="228">
        <v>0.02900516795865633</v>
      </c>
      <c r="L34" s="232">
        <f t="shared" si="0"/>
        <v>1086</v>
      </c>
      <c r="M34" s="222"/>
      <c r="N34" s="232">
        <v>898</v>
      </c>
      <c r="O34" s="228">
        <v>0.02900516795865633</v>
      </c>
      <c r="P34" s="232">
        <f t="shared" si="1"/>
        <v>73</v>
      </c>
      <c r="Q34" s="222"/>
      <c r="R34" s="232">
        <v>898</v>
      </c>
      <c r="S34" s="228">
        <v>0.02900516795865633</v>
      </c>
      <c r="T34" s="232">
        <f t="shared" si="2"/>
        <v>287</v>
      </c>
      <c r="U34" s="222"/>
      <c r="V34" s="232">
        <v>898</v>
      </c>
      <c r="W34" s="228">
        <f t="shared" si="7"/>
        <v>0.029411764705882353</v>
      </c>
      <c r="X34" s="232">
        <f t="shared" si="3"/>
        <v>40</v>
      </c>
      <c r="Y34" s="222"/>
      <c r="Z34" s="232">
        <v>0</v>
      </c>
      <c r="AA34" s="228">
        <f t="shared" si="9"/>
        <v>0</v>
      </c>
      <c r="AB34" s="232">
        <f t="shared" si="4"/>
        <v>0</v>
      </c>
      <c r="AD34" s="232">
        <v>898</v>
      </c>
      <c r="AE34" s="228">
        <f t="shared" si="5"/>
        <v>0.02900516795865633</v>
      </c>
      <c r="AF34" s="232">
        <f t="shared" si="8"/>
        <v>0</v>
      </c>
    </row>
    <row r="35" spans="1:32" ht="12.75">
      <c r="A35" s="4" t="s">
        <v>9</v>
      </c>
      <c r="B35" s="226">
        <v>0</v>
      </c>
      <c r="C35" s="226">
        <v>0</v>
      </c>
      <c r="D35" s="232">
        <f t="shared" si="6"/>
        <v>2361</v>
      </c>
      <c r="F35" s="231"/>
      <c r="G35" s="228">
        <v>0.019250813503800146</v>
      </c>
      <c r="H35" s="232">
        <v>325</v>
      </c>
      <c r="I35" s="222"/>
      <c r="J35" s="232">
        <v>1231</v>
      </c>
      <c r="K35" s="228">
        <v>0.0397609819121447</v>
      </c>
      <c r="L35" s="232">
        <f t="shared" si="0"/>
        <v>1489</v>
      </c>
      <c r="M35" s="222"/>
      <c r="N35" s="232">
        <v>1231</v>
      </c>
      <c r="O35" s="228">
        <v>0.0397609819121447</v>
      </c>
      <c r="P35" s="232">
        <f t="shared" si="1"/>
        <v>99</v>
      </c>
      <c r="Q35" s="222"/>
      <c r="R35" s="232">
        <v>1231</v>
      </c>
      <c r="S35" s="228">
        <v>0.0397609819121447</v>
      </c>
      <c r="T35" s="232">
        <f t="shared" si="2"/>
        <v>394</v>
      </c>
      <c r="U35" s="222"/>
      <c r="V35" s="232">
        <v>1231</v>
      </c>
      <c r="W35" s="228">
        <f t="shared" si="7"/>
        <v>0.04031835451329752</v>
      </c>
      <c r="X35" s="232">
        <f t="shared" si="3"/>
        <v>54</v>
      </c>
      <c r="Y35" s="222"/>
      <c r="Z35" s="232">
        <v>0</v>
      </c>
      <c r="AA35" s="228">
        <f t="shared" si="9"/>
        <v>0</v>
      </c>
      <c r="AB35" s="232">
        <f t="shared" si="4"/>
        <v>0</v>
      </c>
      <c r="AD35" s="232">
        <v>1231</v>
      </c>
      <c r="AE35" s="228">
        <f t="shared" si="5"/>
        <v>0.0397609819121447</v>
      </c>
      <c r="AF35" s="232">
        <f t="shared" si="8"/>
        <v>0</v>
      </c>
    </row>
    <row r="36" spans="1:32" ht="12.75">
      <c r="A36" s="4" t="s">
        <v>145</v>
      </c>
      <c r="B36" s="234"/>
      <c r="C36" s="226"/>
      <c r="D36" s="232">
        <f t="shared" si="6"/>
        <v>1235</v>
      </c>
      <c r="F36" s="231"/>
      <c r="G36" s="228">
        <v>0.005442828749665853</v>
      </c>
      <c r="H36" s="232">
        <v>92</v>
      </c>
      <c r="I36" s="222"/>
      <c r="J36" s="232">
        <v>691</v>
      </c>
      <c r="K36" s="228">
        <v>0.022319121447028425</v>
      </c>
      <c r="L36" s="232">
        <f t="shared" si="0"/>
        <v>836</v>
      </c>
      <c r="M36" s="222"/>
      <c r="N36" s="232">
        <v>691</v>
      </c>
      <c r="O36" s="228">
        <v>0.022319121447028425</v>
      </c>
      <c r="P36" s="232">
        <f t="shared" si="1"/>
        <v>56</v>
      </c>
      <c r="Q36" s="222"/>
      <c r="R36" s="232">
        <v>691</v>
      </c>
      <c r="S36" s="228">
        <v>0.022319121447028425</v>
      </c>
      <c r="T36" s="232">
        <f t="shared" si="2"/>
        <v>221</v>
      </c>
      <c r="U36" s="222"/>
      <c r="V36" s="232">
        <v>691</v>
      </c>
      <c r="W36" s="228">
        <f t="shared" si="7"/>
        <v>0.022631992663435085</v>
      </c>
      <c r="X36" s="232">
        <f t="shared" si="3"/>
        <v>30</v>
      </c>
      <c r="Y36" s="222"/>
      <c r="Z36" s="232">
        <v>0</v>
      </c>
      <c r="AA36" s="228">
        <f t="shared" si="9"/>
        <v>0</v>
      </c>
      <c r="AB36" s="232">
        <f t="shared" si="4"/>
        <v>0</v>
      </c>
      <c r="AD36" s="232">
        <v>691</v>
      </c>
      <c r="AE36" s="228">
        <f t="shared" si="5"/>
        <v>0.022319121447028425</v>
      </c>
      <c r="AF36" s="232">
        <f t="shared" si="8"/>
        <v>0</v>
      </c>
    </row>
    <row r="37" spans="1:32" ht="12.75">
      <c r="A37" s="4" t="s">
        <v>128</v>
      </c>
      <c r="B37" s="18"/>
      <c r="C37" s="17"/>
      <c r="D37" s="237">
        <f t="shared" si="6"/>
        <v>1212</v>
      </c>
      <c r="F37" s="235"/>
      <c r="G37" s="228">
        <v>0.03871870776517296</v>
      </c>
      <c r="H37" s="236">
        <v>654</v>
      </c>
      <c r="I37" s="222"/>
      <c r="J37" s="237">
        <v>337</v>
      </c>
      <c r="K37" s="228">
        <v>0.010885012919896641</v>
      </c>
      <c r="L37" s="237">
        <f t="shared" si="0"/>
        <v>408</v>
      </c>
      <c r="M37" s="222"/>
      <c r="N37" s="237">
        <v>337</v>
      </c>
      <c r="O37" s="228">
        <v>0.010885012919896641</v>
      </c>
      <c r="P37" s="237">
        <f t="shared" si="1"/>
        <v>27</v>
      </c>
      <c r="Q37" s="222"/>
      <c r="R37" s="237">
        <v>337</v>
      </c>
      <c r="S37" s="228">
        <v>0.010885012919896641</v>
      </c>
      <c r="T37" s="237">
        <f t="shared" si="2"/>
        <v>108</v>
      </c>
      <c r="U37" s="222"/>
      <c r="V37" s="237">
        <v>337</v>
      </c>
      <c r="W37" s="228">
        <f t="shared" si="7"/>
        <v>0.01103759989519193</v>
      </c>
      <c r="X37" s="237">
        <f t="shared" si="3"/>
        <v>15</v>
      </c>
      <c r="Y37" s="222"/>
      <c r="Z37" s="237">
        <v>0</v>
      </c>
      <c r="AA37" s="228">
        <f t="shared" si="9"/>
        <v>0</v>
      </c>
      <c r="AB37" s="237">
        <f t="shared" si="4"/>
        <v>0</v>
      </c>
      <c r="AD37" s="237">
        <v>337</v>
      </c>
      <c r="AE37" s="228">
        <f t="shared" si="5"/>
        <v>0.010885012919896641</v>
      </c>
      <c r="AF37" s="237">
        <f t="shared" si="8"/>
        <v>0</v>
      </c>
    </row>
    <row r="38" spans="1:32" ht="12.75">
      <c r="A38" s="20" t="s">
        <v>40</v>
      </c>
      <c r="B38" s="43">
        <v>0</v>
      </c>
      <c r="C38" s="80"/>
      <c r="D38" s="241">
        <f>SUM(D5:D37)</f>
        <v>69119</v>
      </c>
      <c r="F38" s="238"/>
      <c r="G38" s="239">
        <v>1</v>
      </c>
      <c r="H38" s="241">
        <f>SUM(H5:H37)</f>
        <v>16887</v>
      </c>
      <c r="I38" s="222"/>
      <c r="J38" s="240">
        <v>30960</v>
      </c>
      <c r="K38" s="239">
        <v>1</v>
      </c>
      <c r="L38" s="241">
        <f>SUM(L5:L37)</f>
        <v>37450</v>
      </c>
      <c r="M38" s="222"/>
      <c r="N38" s="240">
        <v>30960</v>
      </c>
      <c r="O38" s="239">
        <v>1</v>
      </c>
      <c r="P38" s="241">
        <f>SUM(P5:P37)</f>
        <v>2500</v>
      </c>
      <c r="Q38" s="222"/>
      <c r="R38" s="240">
        <v>30960</v>
      </c>
      <c r="S38" s="239">
        <v>1</v>
      </c>
      <c r="T38" s="241">
        <f>SUM(T5:T37)</f>
        <v>9900</v>
      </c>
      <c r="U38" s="222"/>
      <c r="V38" s="240">
        <f>SUM(V5:V37)</f>
        <v>30532</v>
      </c>
      <c r="W38" s="239">
        <f>SUM(W5:W37)</f>
        <v>1</v>
      </c>
      <c r="X38" s="241">
        <f>SUM(X5:X37)</f>
        <v>1345</v>
      </c>
      <c r="Y38" s="222"/>
      <c r="Z38" s="240">
        <f>SUM(Z5:Z37)</f>
        <v>344832</v>
      </c>
      <c r="AA38" s="239">
        <f>SUM(AA5:AA37)</f>
        <v>1</v>
      </c>
      <c r="AB38" s="241">
        <f>SUM(AB5:AB37)</f>
        <v>1037</v>
      </c>
      <c r="AD38" s="240">
        <v>30960</v>
      </c>
      <c r="AE38" s="239">
        <v>1</v>
      </c>
      <c r="AF38" s="241">
        <f>SUM(AF5:AF37)</f>
        <v>0</v>
      </c>
    </row>
    <row r="39" spans="1:32" ht="12.75">
      <c r="A39" s="112" t="s">
        <v>237</v>
      </c>
      <c r="B39" s="112"/>
      <c r="C39" s="112"/>
      <c r="D39" s="182"/>
      <c r="F39" s="281" t="s">
        <v>200</v>
      </c>
      <c r="G39" s="281"/>
      <c r="H39" s="281"/>
      <c r="I39" s="222"/>
      <c r="J39" s="242" t="s">
        <v>199</v>
      </c>
      <c r="K39" s="222"/>
      <c r="L39" s="222"/>
      <c r="M39" s="222"/>
      <c r="N39" s="242" t="s">
        <v>199</v>
      </c>
      <c r="O39" s="222"/>
      <c r="P39" s="222"/>
      <c r="Q39" s="222"/>
      <c r="R39" s="242" t="s">
        <v>199</v>
      </c>
      <c r="S39" s="222"/>
      <c r="T39" s="222"/>
      <c r="U39" s="222"/>
      <c r="V39" s="242" t="s">
        <v>199</v>
      </c>
      <c r="W39" s="222"/>
      <c r="X39" s="222"/>
      <c r="Y39" s="222"/>
      <c r="Z39" s="242" t="s">
        <v>69</v>
      </c>
      <c r="AA39" s="222"/>
      <c r="AB39" s="222"/>
      <c r="AD39" s="242" t="s">
        <v>199</v>
      </c>
      <c r="AE39" s="222"/>
      <c r="AF39" s="222"/>
    </row>
    <row r="40" spans="1:25" ht="12.75">
      <c r="A40" s="112" t="s">
        <v>238</v>
      </c>
      <c r="B40" s="112"/>
      <c r="C40" s="112"/>
      <c r="D40" s="145"/>
      <c r="F40" s="112" t="s">
        <v>201</v>
      </c>
      <c r="M40" t="s">
        <v>236</v>
      </c>
      <c r="N40" t="s">
        <v>210</v>
      </c>
      <c r="Y40" s="70"/>
    </row>
    <row r="41" ht="12.75">
      <c r="A41" s="130" t="s">
        <v>239</v>
      </c>
    </row>
    <row r="42" spans="8:32" ht="12.75">
      <c r="H42" s="70"/>
      <c r="L42" s="70"/>
      <c r="P42" s="70"/>
      <c r="T42" s="70"/>
      <c r="X42" s="70"/>
      <c r="AB42" s="70"/>
      <c r="AF42" s="70"/>
    </row>
    <row r="43" spans="8:32" ht="12.75">
      <c r="H43" s="92">
        <v>16887</v>
      </c>
      <c r="L43" s="92">
        <v>37450</v>
      </c>
      <c r="P43" s="92">
        <v>2500</v>
      </c>
      <c r="T43" s="92">
        <v>9900</v>
      </c>
      <c r="X43" s="92">
        <v>1345</v>
      </c>
      <c r="AB43" s="92">
        <v>1035</v>
      </c>
      <c r="AF43" s="92">
        <v>0</v>
      </c>
    </row>
  </sheetData>
  <mergeCells count="9">
    <mergeCell ref="F39:H39"/>
    <mergeCell ref="AD3:AF3"/>
    <mergeCell ref="B3:D3"/>
    <mergeCell ref="F3:H3"/>
    <mergeCell ref="J3:L3"/>
    <mergeCell ref="N3:P3"/>
    <mergeCell ref="R3:T3"/>
    <mergeCell ref="V3:X3"/>
    <mergeCell ref="Z3:AB3"/>
  </mergeCells>
  <printOptions/>
  <pageMargins left="0.2" right="0.23" top="1" bottom="1" header="0.5" footer="0.5"/>
  <pageSetup horizontalDpi="1200" verticalDpi="1200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2:D43"/>
  <sheetViews>
    <sheetView workbookViewId="0" topLeftCell="A20">
      <selection activeCell="O9" sqref="O9"/>
    </sheetView>
  </sheetViews>
  <sheetFormatPr defaultColWidth="9.140625" defaultRowHeight="12.75"/>
  <cols>
    <col min="2" max="2" width="12.421875" style="0" customWidth="1"/>
    <col min="3" max="3" width="11.7109375" style="0" customWidth="1"/>
    <col min="4" max="4" width="14.57421875" style="0" customWidth="1"/>
  </cols>
  <sheetData>
    <row r="2" ht="18">
      <c r="A2" s="25" t="s">
        <v>197</v>
      </c>
    </row>
    <row r="3" spans="1:4" ht="12.75">
      <c r="A3" s="154"/>
      <c r="B3" s="273" t="s">
        <v>40</v>
      </c>
      <c r="C3" s="274"/>
      <c r="D3" s="275"/>
    </row>
    <row r="4" spans="1:4" ht="12.75">
      <c r="A4" s="155"/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157">
        <f>SUM('FY07 PB'!B6)</f>
        <v>4688307</v>
      </c>
      <c r="C5" s="199">
        <f>SUM(B5/$B$38)</f>
        <v>0.17103615733187058</v>
      </c>
      <c r="D5" s="166">
        <f>ROUND(C5*$D$43,0)-2</f>
        <v>59</v>
      </c>
    </row>
    <row r="6" spans="1:4" ht="12.75">
      <c r="A6" s="4" t="s">
        <v>15</v>
      </c>
      <c r="B6" s="160">
        <f>SUM('FY07 PB'!B7)</f>
        <v>2865993</v>
      </c>
      <c r="C6" s="199">
        <f aca="true" t="shared" si="0" ref="C6:C28">SUM(B6/$B$38)</f>
        <v>0.104555531380526</v>
      </c>
      <c r="D6" s="31">
        <f>ROUND(C6*$D$43,0)</f>
        <v>38</v>
      </c>
    </row>
    <row r="7" spans="1:4" ht="12.75">
      <c r="A7" s="4" t="s">
        <v>16</v>
      </c>
      <c r="B7" s="160">
        <f>SUM('FY07 PB'!B8)</f>
        <v>381434</v>
      </c>
      <c r="C7" s="199">
        <f t="shared" si="0"/>
        <v>0.013915258884651692</v>
      </c>
      <c r="D7" s="31">
        <f aca="true" t="shared" si="1" ref="D7:D28">ROUND(C7*$D$43,0)</f>
        <v>5</v>
      </c>
    </row>
    <row r="8" spans="1:4" ht="12.75">
      <c r="A8" s="4" t="s">
        <v>17</v>
      </c>
      <c r="B8" s="160">
        <f>SUM('FY07 PB'!B9)</f>
        <v>1823846</v>
      </c>
      <c r="C8" s="199">
        <f t="shared" si="0"/>
        <v>0.06653651550657899</v>
      </c>
      <c r="D8" s="31">
        <f t="shared" si="1"/>
        <v>24</v>
      </c>
    </row>
    <row r="9" spans="1:4" ht="12.75">
      <c r="A9" s="4" t="s">
        <v>18</v>
      </c>
      <c r="B9" s="160">
        <f>SUM('FY07 PB'!B10)</f>
        <v>1506344</v>
      </c>
      <c r="C9" s="199">
        <f t="shared" si="0"/>
        <v>0.054953587591409704</v>
      </c>
      <c r="D9" s="31">
        <f t="shared" si="1"/>
        <v>20</v>
      </c>
    </row>
    <row r="10" spans="1:4" ht="12.75">
      <c r="A10" s="4" t="s">
        <v>19</v>
      </c>
      <c r="B10" s="160">
        <f>SUM('FY07 PB'!B11)</f>
        <v>4343644</v>
      </c>
      <c r="C10" s="199">
        <f t="shared" si="0"/>
        <v>0.15846235721714377</v>
      </c>
      <c r="D10" s="31">
        <f t="shared" si="1"/>
        <v>57</v>
      </c>
    </row>
    <row r="11" spans="1:4" ht="12.75">
      <c r="A11" s="4" t="s">
        <v>20</v>
      </c>
      <c r="B11" s="160">
        <f>SUM('FY07 PB'!B12)</f>
        <v>1900262</v>
      </c>
      <c r="C11" s="199">
        <f t="shared" si="0"/>
        <v>0.06932428068464268</v>
      </c>
      <c r="D11" s="31">
        <f t="shared" si="1"/>
        <v>25</v>
      </c>
    </row>
    <row r="12" spans="1:4" ht="12.75">
      <c r="A12" s="4" t="s">
        <v>21</v>
      </c>
      <c r="B12" s="160">
        <f>SUM('FY07 PB'!B13)</f>
        <v>1242239</v>
      </c>
      <c r="C12" s="199">
        <f t="shared" si="0"/>
        <v>0.04531865874990387</v>
      </c>
      <c r="D12" s="31">
        <f t="shared" si="1"/>
        <v>16</v>
      </c>
    </row>
    <row r="13" spans="1:4" ht="12.75">
      <c r="A13" s="4" t="s">
        <v>22</v>
      </c>
      <c r="B13" s="160">
        <f>SUM('FY07 PB'!B14)</f>
        <v>653375</v>
      </c>
      <c r="C13" s="199">
        <f t="shared" si="0"/>
        <v>0.023836056234523666</v>
      </c>
      <c r="D13" s="31">
        <f t="shared" si="1"/>
        <v>9</v>
      </c>
    </row>
    <row r="14" spans="1:4" ht="12.75">
      <c r="A14" s="4" t="s">
        <v>23</v>
      </c>
      <c r="B14" s="160">
        <f>SUM('FY07 PB'!B15)</f>
        <v>629630</v>
      </c>
      <c r="C14" s="199">
        <f t="shared" si="0"/>
        <v>0.02296980460982305</v>
      </c>
      <c r="D14" s="31">
        <f t="shared" si="1"/>
        <v>8</v>
      </c>
    </row>
    <row r="15" spans="1:4" ht="12.75">
      <c r="A15" s="4" t="s">
        <v>24</v>
      </c>
      <c r="B15" s="160">
        <f>SUM('FY07 PB'!B16)</f>
        <v>1027276</v>
      </c>
      <c r="C15" s="199">
        <f t="shared" si="0"/>
        <v>0.03747650048498417</v>
      </c>
      <c r="D15" s="31">
        <f t="shared" si="1"/>
        <v>13</v>
      </c>
    </row>
    <row r="16" spans="1:4" ht="12.75">
      <c r="A16" s="4" t="s">
        <v>25</v>
      </c>
      <c r="B16" s="160">
        <f>SUM('FY07 PB'!B17)</f>
        <v>498443</v>
      </c>
      <c r="C16" s="199">
        <f t="shared" si="0"/>
        <v>0.01818391486926295</v>
      </c>
      <c r="D16" s="31">
        <f t="shared" si="1"/>
        <v>7</v>
      </c>
    </row>
    <row r="17" spans="1:4" ht="12.75">
      <c r="A17" s="4" t="s">
        <v>26</v>
      </c>
      <c r="B17" s="160">
        <f>SUM('FY07 PB'!B18)</f>
        <v>386829</v>
      </c>
      <c r="C17" s="199">
        <f t="shared" si="0"/>
        <v>0.014112076215258548</v>
      </c>
      <c r="D17" s="31">
        <f t="shared" si="1"/>
        <v>5</v>
      </c>
    </row>
    <row r="18" spans="1:4" ht="12.75">
      <c r="A18" s="4" t="s">
        <v>27</v>
      </c>
      <c r="B18" s="160">
        <f>SUM('FY07 PB'!B19)</f>
        <v>1377969</v>
      </c>
      <c r="C18" s="199">
        <f t="shared" si="0"/>
        <v>0.05027028364022244</v>
      </c>
      <c r="D18" s="31">
        <f t="shared" si="1"/>
        <v>18</v>
      </c>
    </row>
    <row r="19" spans="1:4" ht="12.75">
      <c r="A19" s="4" t="s">
        <v>28</v>
      </c>
      <c r="B19" s="160">
        <f>SUM('FY07 PB'!B20)</f>
        <v>982820</v>
      </c>
      <c r="C19" s="199">
        <f t="shared" si="0"/>
        <v>0.035854681903064164</v>
      </c>
      <c r="D19" s="31">
        <f t="shared" si="1"/>
        <v>13</v>
      </c>
    </row>
    <row r="20" spans="1:4" ht="12.75">
      <c r="A20" s="4" t="s">
        <v>29</v>
      </c>
      <c r="B20" s="160">
        <f>SUM('FY07 PB'!B21)</f>
        <v>428087</v>
      </c>
      <c r="C20" s="199">
        <f t="shared" si="0"/>
        <v>0.015617227174698345</v>
      </c>
      <c r="D20" s="31">
        <f t="shared" si="1"/>
        <v>6</v>
      </c>
    </row>
    <row r="21" spans="1:4" ht="12.75">
      <c r="A21" s="4" t="s">
        <v>30</v>
      </c>
      <c r="B21" s="160">
        <f>SUM('FY07 PB'!B22)</f>
        <v>134902</v>
      </c>
      <c r="C21" s="199">
        <f t="shared" si="0"/>
        <v>0.004921418263860281</v>
      </c>
      <c r="D21" s="31">
        <f t="shared" si="1"/>
        <v>2</v>
      </c>
    </row>
    <row r="22" spans="1:4" ht="12.75">
      <c r="A22" s="4" t="s">
        <v>31</v>
      </c>
      <c r="B22" s="160">
        <f>SUM('FY07 PB'!B23)</f>
        <v>477112</v>
      </c>
      <c r="C22" s="199">
        <f t="shared" si="0"/>
        <v>0.01740572942363276</v>
      </c>
      <c r="D22" s="31">
        <f t="shared" si="1"/>
        <v>6</v>
      </c>
    </row>
    <row r="23" spans="1:4" ht="12.75">
      <c r="A23" s="4" t="s">
        <v>32</v>
      </c>
      <c r="B23" s="160">
        <f>SUM('FY07 PB'!B24)</f>
        <v>291291</v>
      </c>
      <c r="C23" s="199">
        <f t="shared" si="0"/>
        <v>0.010626713076886372</v>
      </c>
      <c r="D23" s="31">
        <f t="shared" si="1"/>
        <v>4</v>
      </c>
    </row>
    <row r="24" spans="1:4" ht="12.75">
      <c r="A24" s="4" t="s">
        <v>33</v>
      </c>
      <c r="B24" s="160">
        <f>SUM('FY07 PB'!B25)</f>
        <v>1084985</v>
      </c>
      <c r="C24" s="199">
        <f t="shared" si="0"/>
        <v>0.03958180749740143</v>
      </c>
      <c r="D24" s="31">
        <f t="shared" si="1"/>
        <v>14</v>
      </c>
    </row>
    <row r="25" spans="1:4" ht="12.75">
      <c r="A25" s="4" t="s">
        <v>34</v>
      </c>
      <c r="B25" s="160">
        <f>SUM('FY07 PB'!B26)</f>
        <v>119099</v>
      </c>
      <c r="C25" s="199">
        <f t="shared" si="0"/>
        <v>0.004344902179415395</v>
      </c>
      <c r="D25" s="31">
        <f t="shared" si="1"/>
        <v>2</v>
      </c>
    </row>
    <row r="26" spans="1:4" ht="12.75">
      <c r="A26" s="4" t="s">
        <v>35</v>
      </c>
      <c r="B26" s="160">
        <f>SUM('FY07 PB'!B27)</f>
        <v>191954</v>
      </c>
      <c r="C26" s="199">
        <f t="shared" si="0"/>
        <v>0.007002756974848679</v>
      </c>
      <c r="D26" s="31">
        <f t="shared" si="1"/>
        <v>3</v>
      </c>
    </row>
    <row r="27" spans="1:4" ht="12.75">
      <c r="A27" s="4" t="s">
        <v>36</v>
      </c>
      <c r="B27" s="160">
        <f>SUM('FY07 PB'!B28)</f>
        <v>65876</v>
      </c>
      <c r="C27" s="199">
        <f t="shared" si="0"/>
        <v>0.0024032508750801316</v>
      </c>
      <c r="D27" s="31">
        <f t="shared" si="1"/>
        <v>1</v>
      </c>
    </row>
    <row r="28" spans="1:4" ht="12.75">
      <c r="A28" s="4" t="s">
        <v>37</v>
      </c>
      <c r="B28" s="160">
        <f>SUM('FY07 PB'!B29)</f>
        <v>309487</v>
      </c>
      <c r="C28" s="199">
        <f t="shared" si="0"/>
        <v>0.011290529230310351</v>
      </c>
      <c r="D28" s="31">
        <f t="shared" si="1"/>
        <v>4</v>
      </c>
    </row>
    <row r="29" spans="1:4" ht="12.75">
      <c r="A29" s="4" t="s">
        <v>38</v>
      </c>
      <c r="B29" s="158"/>
      <c r="C29" s="156"/>
      <c r="D29" s="160">
        <v>0</v>
      </c>
    </row>
    <row r="30" spans="1:4" ht="12.75">
      <c r="A30" s="4" t="s">
        <v>8</v>
      </c>
      <c r="B30" s="158"/>
      <c r="C30" s="156"/>
      <c r="D30" s="160">
        <v>1557</v>
      </c>
    </row>
    <row r="31" spans="1:4" ht="12.75">
      <c r="A31" s="4" t="s">
        <v>51</v>
      </c>
      <c r="B31" s="158"/>
      <c r="C31" s="156"/>
      <c r="D31" s="160">
        <v>0</v>
      </c>
    </row>
    <row r="32" spans="1:4" ht="12.75">
      <c r="A32" s="4" t="s">
        <v>39</v>
      </c>
      <c r="B32" s="158"/>
      <c r="C32" s="156"/>
      <c r="D32" s="160">
        <v>0</v>
      </c>
    </row>
    <row r="33" spans="1:4" ht="12.75">
      <c r="A33" s="4" t="s">
        <v>5</v>
      </c>
      <c r="B33" s="158"/>
      <c r="C33" s="156"/>
      <c r="D33" s="160">
        <v>0</v>
      </c>
    </row>
    <row r="34" spans="1:4" ht="12.75">
      <c r="A34" s="4" t="s">
        <v>6</v>
      </c>
      <c r="B34" s="158"/>
      <c r="C34" s="156"/>
      <c r="D34" s="160">
        <v>0</v>
      </c>
    </row>
    <row r="35" spans="1:4" ht="12.75">
      <c r="A35" s="4" t="s">
        <v>9</v>
      </c>
      <c r="B35" s="158"/>
      <c r="C35" s="156"/>
      <c r="D35" s="160">
        <v>0</v>
      </c>
    </row>
    <row r="36" spans="1:4" ht="12.75">
      <c r="A36" s="4" t="s">
        <v>145</v>
      </c>
      <c r="B36" s="158"/>
      <c r="C36" s="156"/>
      <c r="D36" s="160">
        <v>0</v>
      </c>
    </row>
    <row r="37" spans="1:4" ht="12.75">
      <c r="A37" s="4" t="s">
        <v>128</v>
      </c>
      <c r="B37" s="159"/>
      <c r="C37" s="155"/>
      <c r="D37" s="161">
        <v>0</v>
      </c>
    </row>
    <row r="38" spans="1:4" ht="12.75">
      <c r="A38" s="20" t="s">
        <v>40</v>
      </c>
      <c r="B38" s="159">
        <f>SUM(B5:B37)</f>
        <v>27411204</v>
      </c>
      <c r="C38" s="155"/>
      <c r="D38" s="159">
        <f>SUM(D5:D37)</f>
        <v>1916</v>
      </c>
    </row>
    <row r="39" ht="12.75">
      <c r="A39" s="23" t="s">
        <v>312</v>
      </c>
    </row>
    <row r="40" ht="12.75">
      <c r="A40" s="23" t="s">
        <v>311</v>
      </c>
    </row>
    <row r="43" ht="12.75">
      <c r="D43" s="92">
        <v>359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2:J45"/>
  <sheetViews>
    <sheetView workbookViewId="0" topLeftCell="A18">
      <selection activeCell="O9" sqref="O9"/>
    </sheetView>
  </sheetViews>
  <sheetFormatPr defaultColWidth="9.140625" defaultRowHeight="12.75"/>
  <cols>
    <col min="1" max="1" width="9.7109375" style="0" customWidth="1"/>
    <col min="2" max="2" width="17.00390625" style="0" customWidth="1"/>
    <col min="3" max="3" width="16.28125" style="0" customWidth="1"/>
    <col min="4" max="4" width="14.7109375" style="0" customWidth="1"/>
    <col min="5" max="5" width="1.28515625" style="0" customWidth="1"/>
  </cols>
  <sheetData>
    <row r="2" ht="18">
      <c r="A2" s="25" t="s">
        <v>74</v>
      </c>
    </row>
    <row r="3" spans="1:4" ht="12.75">
      <c r="A3" s="13"/>
      <c r="B3" s="273" t="s">
        <v>40</v>
      </c>
      <c r="C3" s="274"/>
      <c r="D3" s="275"/>
    </row>
    <row r="4" spans="1:10" ht="12.75">
      <c r="A4" s="14"/>
      <c r="B4" s="167" t="s">
        <v>216</v>
      </c>
      <c r="C4" s="167" t="s">
        <v>217</v>
      </c>
      <c r="D4" s="22" t="s">
        <v>43</v>
      </c>
      <c r="J4" s="173"/>
    </row>
    <row r="5" spans="1:10" ht="12.75">
      <c r="A5" s="4" t="s">
        <v>0</v>
      </c>
      <c r="B5" s="15">
        <v>73</v>
      </c>
      <c r="C5" s="180">
        <v>2.012</v>
      </c>
      <c r="D5" s="197">
        <f>SUM(C5*B5)</f>
        <v>146.876</v>
      </c>
      <c r="J5" s="173"/>
    </row>
    <row r="6" spans="1:10" ht="12.75">
      <c r="A6" s="4" t="s">
        <v>15</v>
      </c>
      <c r="B6" s="15">
        <v>18</v>
      </c>
      <c r="C6" s="181">
        <v>2.012</v>
      </c>
      <c r="D6" s="181">
        <f>SUM(C6*B6)</f>
        <v>36.216</v>
      </c>
      <c r="J6" s="173"/>
    </row>
    <row r="7" spans="1:10" ht="12.75">
      <c r="A7" s="4" t="s">
        <v>16</v>
      </c>
      <c r="B7" s="15">
        <v>6</v>
      </c>
      <c r="C7" s="181">
        <v>2.012</v>
      </c>
      <c r="D7" s="181">
        <f aca="true" t="shared" si="0" ref="D7:D37">SUM(C7*B7)</f>
        <v>12.072</v>
      </c>
      <c r="J7" s="173"/>
    </row>
    <row r="8" spans="1:10" ht="12.75">
      <c r="A8" s="4" t="s">
        <v>17</v>
      </c>
      <c r="B8" s="15">
        <v>14</v>
      </c>
      <c r="C8" s="181">
        <v>2.012</v>
      </c>
      <c r="D8" s="181">
        <f t="shared" si="0"/>
        <v>28.168</v>
      </c>
      <c r="J8" s="173"/>
    </row>
    <row r="9" spans="1:10" ht="12.75">
      <c r="A9" s="4" t="s">
        <v>18</v>
      </c>
      <c r="B9" s="15">
        <v>43</v>
      </c>
      <c r="C9" s="181">
        <v>2.012</v>
      </c>
      <c r="D9" s="181">
        <f t="shared" si="0"/>
        <v>86.516</v>
      </c>
      <c r="J9" s="173"/>
    </row>
    <row r="10" spans="1:10" ht="12.75">
      <c r="A10" s="4" t="s">
        <v>19</v>
      </c>
      <c r="B10" s="15">
        <v>34</v>
      </c>
      <c r="C10" s="181">
        <v>2.012</v>
      </c>
      <c r="D10" s="181">
        <f t="shared" si="0"/>
        <v>68.408</v>
      </c>
      <c r="J10" s="173"/>
    </row>
    <row r="11" spans="1:10" ht="12.75">
      <c r="A11" s="4" t="s">
        <v>20</v>
      </c>
      <c r="B11" s="129">
        <v>0</v>
      </c>
      <c r="C11" s="181">
        <v>2.012</v>
      </c>
      <c r="D11" s="181">
        <f t="shared" si="0"/>
        <v>0</v>
      </c>
      <c r="J11" s="173"/>
    </row>
    <row r="12" spans="1:10" ht="12.75">
      <c r="A12" s="4" t="s">
        <v>21</v>
      </c>
      <c r="B12" s="15">
        <v>29</v>
      </c>
      <c r="C12" s="181">
        <v>2.012</v>
      </c>
      <c r="D12" s="181">
        <f t="shared" si="0"/>
        <v>58.348</v>
      </c>
      <c r="J12" s="173"/>
    </row>
    <row r="13" spans="1:10" ht="12.75">
      <c r="A13" s="4" t="s">
        <v>22</v>
      </c>
      <c r="B13" s="15">
        <v>8</v>
      </c>
      <c r="C13" s="181">
        <v>2.012</v>
      </c>
      <c r="D13" s="181">
        <f t="shared" si="0"/>
        <v>16.096</v>
      </c>
      <c r="J13" s="173"/>
    </row>
    <row r="14" spans="1:10" ht="12.75">
      <c r="A14" s="4" t="s">
        <v>23</v>
      </c>
      <c r="B14" s="15">
        <v>15</v>
      </c>
      <c r="C14" s="181">
        <v>2.012</v>
      </c>
      <c r="D14" s="181">
        <f t="shared" si="0"/>
        <v>30.18</v>
      </c>
      <c r="J14" s="173"/>
    </row>
    <row r="15" spans="1:10" ht="12.75">
      <c r="A15" s="4" t="s">
        <v>24</v>
      </c>
      <c r="B15" s="15">
        <v>18</v>
      </c>
      <c r="C15" s="181">
        <v>2.012</v>
      </c>
      <c r="D15" s="181">
        <f t="shared" si="0"/>
        <v>36.216</v>
      </c>
      <c r="J15" s="173"/>
    </row>
    <row r="16" spans="1:10" ht="12.75">
      <c r="A16" s="4" t="s">
        <v>25</v>
      </c>
      <c r="B16" s="15">
        <v>8</v>
      </c>
      <c r="C16" s="181">
        <v>2.012</v>
      </c>
      <c r="D16" s="181">
        <f t="shared" si="0"/>
        <v>16.096</v>
      </c>
      <c r="J16" s="173"/>
    </row>
    <row r="17" spans="1:10" ht="12.75">
      <c r="A17" s="4" t="s">
        <v>26</v>
      </c>
      <c r="B17" s="15">
        <v>14</v>
      </c>
      <c r="C17" s="181">
        <v>2.012</v>
      </c>
      <c r="D17" s="181">
        <f t="shared" si="0"/>
        <v>28.168</v>
      </c>
      <c r="J17" s="173"/>
    </row>
    <row r="18" spans="1:10" ht="12.75">
      <c r="A18" s="4" t="s">
        <v>27</v>
      </c>
      <c r="B18" s="15">
        <v>27</v>
      </c>
      <c r="C18" s="181">
        <v>2.012</v>
      </c>
      <c r="D18" s="181">
        <f t="shared" si="0"/>
        <v>54.324</v>
      </c>
      <c r="J18" s="173"/>
    </row>
    <row r="19" spans="1:10" ht="12.75">
      <c r="A19" s="4" t="s">
        <v>28</v>
      </c>
      <c r="B19" s="15">
        <v>11</v>
      </c>
      <c r="C19" s="181">
        <v>2.012</v>
      </c>
      <c r="D19" s="181">
        <f t="shared" si="0"/>
        <v>22.132</v>
      </c>
      <c r="J19" s="173"/>
    </row>
    <row r="20" spans="1:10" ht="12.75">
      <c r="A20" s="4" t="s">
        <v>29</v>
      </c>
      <c r="B20" s="15">
        <v>9</v>
      </c>
      <c r="C20" s="181">
        <v>2.012</v>
      </c>
      <c r="D20" s="181">
        <f t="shared" si="0"/>
        <v>18.108</v>
      </c>
      <c r="J20" s="173"/>
    </row>
    <row r="21" spans="1:10" ht="12.75">
      <c r="A21" s="4" t="s">
        <v>30</v>
      </c>
      <c r="B21" s="15">
        <v>6</v>
      </c>
      <c r="C21" s="181">
        <v>2.012</v>
      </c>
      <c r="D21" s="181">
        <f t="shared" si="0"/>
        <v>12.072</v>
      </c>
      <c r="J21" s="173"/>
    </row>
    <row r="22" spans="1:10" ht="12.75">
      <c r="A22" s="4" t="s">
        <v>31</v>
      </c>
      <c r="B22" s="15">
        <v>23</v>
      </c>
      <c r="C22" s="181">
        <v>2.012</v>
      </c>
      <c r="D22" s="181">
        <f t="shared" si="0"/>
        <v>46.276</v>
      </c>
      <c r="J22" s="173"/>
    </row>
    <row r="23" spans="1:10" ht="12.75">
      <c r="A23" s="4" t="s">
        <v>32</v>
      </c>
      <c r="B23" s="32">
        <v>0</v>
      </c>
      <c r="C23" s="181">
        <v>2.012</v>
      </c>
      <c r="D23" s="181">
        <f t="shared" si="0"/>
        <v>0</v>
      </c>
      <c r="J23" s="173"/>
    </row>
    <row r="24" spans="1:10" ht="12.75">
      <c r="A24" s="4" t="s">
        <v>33</v>
      </c>
      <c r="B24" s="32">
        <v>0</v>
      </c>
      <c r="C24" s="181">
        <v>2.012</v>
      </c>
      <c r="D24" s="181">
        <f t="shared" si="0"/>
        <v>0</v>
      </c>
      <c r="J24" s="173"/>
    </row>
    <row r="25" spans="1:10" ht="12.75">
      <c r="A25" s="4" t="s">
        <v>34</v>
      </c>
      <c r="B25" s="32">
        <v>0</v>
      </c>
      <c r="C25" s="181">
        <v>0</v>
      </c>
      <c r="D25" s="181">
        <f t="shared" si="0"/>
        <v>0</v>
      </c>
      <c r="J25" s="173"/>
    </row>
    <row r="26" spans="1:10" ht="12.75">
      <c r="A26" s="4" t="s">
        <v>35</v>
      </c>
      <c r="B26" s="32">
        <v>0</v>
      </c>
      <c r="C26" s="181">
        <v>2.012</v>
      </c>
      <c r="D26" s="181">
        <f t="shared" si="0"/>
        <v>0</v>
      </c>
      <c r="J26" s="173"/>
    </row>
    <row r="27" spans="1:4" ht="12.75">
      <c r="A27" s="4" t="s">
        <v>36</v>
      </c>
      <c r="B27" s="32">
        <v>0</v>
      </c>
      <c r="C27" s="181">
        <v>2.012</v>
      </c>
      <c r="D27" s="181">
        <f t="shared" si="0"/>
        <v>0</v>
      </c>
    </row>
    <row r="28" spans="1:4" ht="12.75">
      <c r="A28" s="4" t="s">
        <v>37</v>
      </c>
      <c r="B28" s="32">
        <v>9</v>
      </c>
      <c r="C28" s="181">
        <v>2.012</v>
      </c>
      <c r="D28" s="181">
        <f t="shared" si="0"/>
        <v>18.108</v>
      </c>
    </row>
    <row r="29" spans="1:4" ht="12.75">
      <c r="A29" s="4" t="s">
        <v>38</v>
      </c>
      <c r="B29" s="32">
        <v>0</v>
      </c>
      <c r="C29" s="181">
        <v>2.012</v>
      </c>
      <c r="D29" s="181">
        <f t="shared" si="0"/>
        <v>0</v>
      </c>
    </row>
    <row r="30" spans="1:4" ht="12.75">
      <c r="A30" s="4" t="s">
        <v>8</v>
      </c>
      <c r="B30" s="32">
        <v>30</v>
      </c>
      <c r="C30" s="181">
        <v>2.012</v>
      </c>
      <c r="D30" s="181">
        <f t="shared" si="0"/>
        <v>60.36</v>
      </c>
    </row>
    <row r="31" spans="1:4" ht="12.75">
      <c r="A31" s="4" t="s">
        <v>51</v>
      </c>
      <c r="B31" s="32">
        <v>0</v>
      </c>
      <c r="C31" s="181">
        <v>2.012</v>
      </c>
      <c r="D31" s="181">
        <f t="shared" si="0"/>
        <v>0</v>
      </c>
    </row>
    <row r="32" spans="1:4" ht="12.75">
      <c r="A32" s="4" t="s">
        <v>39</v>
      </c>
      <c r="B32" s="32">
        <v>4</v>
      </c>
      <c r="C32" s="181">
        <v>2.012</v>
      </c>
      <c r="D32" s="181">
        <f t="shared" si="0"/>
        <v>8.048</v>
      </c>
    </row>
    <row r="33" spans="1:4" ht="12.75">
      <c r="A33" s="4" t="s">
        <v>5</v>
      </c>
      <c r="B33" s="32">
        <v>0</v>
      </c>
      <c r="C33" s="127">
        <v>0</v>
      </c>
      <c r="D33" s="31">
        <f t="shared" si="0"/>
        <v>0</v>
      </c>
    </row>
    <row r="34" spans="1:4" ht="12.75">
      <c r="A34" s="4" t="s">
        <v>6</v>
      </c>
      <c r="B34" s="32">
        <v>0</v>
      </c>
      <c r="C34" s="127">
        <v>0</v>
      </c>
      <c r="D34" s="31">
        <f t="shared" si="0"/>
        <v>0</v>
      </c>
    </row>
    <row r="35" spans="1:4" ht="12.75">
      <c r="A35" s="4" t="s">
        <v>9</v>
      </c>
      <c r="B35" s="32">
        <v>0</v>
      </c>
      <c r="C35" s="32">
        <v>0</v>
      </c>
      <c r="D35" s="31">
        <f t="shared" si="0"/>
        <v>0</v>
      </c>
    </row>
    <row r="36" spans="1:4" ht="12.75">
      <c r="A36" s="4" t="s">
        <v>145</v>
      </c>
      <c r="B36" s="31">
        <v>0</v>
      </c>
      <c r="C36" s="32">
        <v>0</v>
      </c>
      <c r="D36" s="31">
        <f t="shared" si="0"/>
        <v>0</v>
      </c>
    </row>
    <row r="37" spans="1:4" ht="12.75">
      <c r="A37" s="4" t="s">
        <v>128</v>
      </c>
      <c r="B37" s="36">
        <v>0</v>
      </c>
      <c r="C37" s="32">
        <v>0</v>
      </c>
      <c r="D37" s="36">
        <f t="shared" si="0"/>
        <v>0</v>
      </c>
    </row>
    <row r="38" spans="1:4" ht="12.75">
      <c r="A38" s="20" t="s">
        <v>40</v>
      </c>
      <c r="B38" s="18">
        <f>SUM(B5:B37)</f>
        <v>399</v>
      </c>
      <c r="C38" s="18"/>
      <c r="D38" s="198">
        <f>SUM(D5:D37)</f>
        <v>802.7879999999998</v>
      </c>
    </row>
    <row r="39" ht="12.75">
      <c r="A39" s="23" t="s">
        <v>305</v>
      </c>
    </row>
    <row r="40" ht="12.75">
      <c r="A40" s="74"/>
    </row>
    <row r="43" ht="12.75">
      <c r="D43" s="92">
        <v>0</v>
      </c>
    </row>
    <row r="45" ht="12.75">
      <c r="D45" t="s">
        <v>193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2:E46"/>
  <sheetViews>
    <sheetView workbookViewId="0" topLeftCell="A23">
      <selection activeCell="O9" sqref="O9"/>
    </sheetView>
  </sheetViews>
  <sheetFormatPr defaultColWidth="9.140625" defaultRowHeight="12.75"/>
  <cols>
    <col min="1" max="1" width="9.7109375" style="0" customWidth="1"/>
    <col min="2" max="2" width="16.28125" style="0" customWidth="1"/>
    <col min="3" max="4" width="14.7109375" style="0" customWidth="1"/>
  </cols>
  <sheetData>
    <row r="2" ht="18">
      <c r="A2" s="25" t="s">
        <v>75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4" ht="14.25" customHeight="1">
      <c r="A5" s="4" t="s">
        <v>0</v>
      </c>
      <c r="B5" s="32">
        <v>401</v>
      </c>
      <c r="C5" s="71">
        <f>SUM(B5/$B$38)</f>
        <v>0.11684149184149184</v>
      </c>
      <c r="D5" s="35">
        <f>ROUND(C5*D43,0)-1</f>
        <v>61</v>
      </c>
    </row>
    <row r="6" spans="1:4" ht="12.75">
      <c r="A6" s="4" t="s">
        <v>15</v>
      </c>
      <c r="B6" s="32">
        <v>363</v>
      </c>
      <c r="C6" s="71">
        <f aca="true" t="shared" si="0" ref="C6:C34">SUM(B6/$B$38)</f>
        <v>0.10576923076923077</v>
      </c>
      <c r="D6" s="32">
        <f>ROUND(C6*$D$43,0)</f>
        <v>56</v>
      </c>
    </row>
    <row r="7" spans="1:4" ht="12.75">
      <c r="A7" s="4" t="s">
        <v>16</v>
      </c>
      <c r="B7" s="32">
        <v>116</v>
      </c>
      <c r="C7" s="71">
        <f t="shared" si="0"/>
        <v>0.0337995337995338</v>
      </c>
      <c r="D7" s="32">
        <f aca="true" t="shared" si="1" ref="D7:D36">ROUND(C7*$D$43,0)</f>
        <v>18</v>
      </c>
    </row>
    <row r="8" spans="1:4" ht="12.75">
      <c r="A8" s="4" t="s">
        <v>17</v>
      </c>
      <c r="B8" s="32">
        <v>719</v>
      </c>
      <c r="C8" s="71">
        <f t="shared" si="0"/>
        <v>0.2094988344988345</v>
      </c>
      <c r="D8" s="32">
        <f t="shared" si="1"/>
        <v>110</v>
      </c>
    </row>
    <row r="9" spans="1:4" ht="12.75">
      <c r="A9" s="4" t="s">
        <v>18</v>
      </c>
      <c r="B9" s="32">
        <v>229</v>
      </c>
      <c r="C9" s="71">
        <f t="shared" si="0"/>
        <v>0.06672494172494173</v>
      </c>
      <c r="D9" s="32">
        <f t="shared" si="1"/>
        <v>35</v>
      </c>
    </row>
    <row r="10" spans="1:4" ht="12.75">
      <c r="A10" s="4" t="s">
        <v>19</v>
      </c>
      <c r="B10" s="32">
        <v>255</v>
      </c>
      <c r="C10" s="71">
        <f t="shared" si="0"/>
        <v>0.0743006993006993</v>
      </c>
      <c r="D10" s="32">
        <f t="shared" si="1"/>
        <v>39</v>
      </c>
    </row>
    <row r="11" spans="1:4" ht="12.75">
      <c r="A11" s="4" t="s">
        <v>20</v>
      </c>
      <c r="B11" s="32">
        <v>301</v>
      </c>
      <c r="C11" s="71">
        <f t="shared" si="0"/>
        <v>0.0877039627039627</v>
      </c>
      <c r="D11" s="32">
        <f t="shared" si="1"/>
        <v>46</v>
      </c>
    </row>
    <row r="12" spans="1:4" ht="12.75">
      <c r="A12" s="4" t="s">
        <v>21</v>
      </c>
      <c r="B12" s="117">
        <v>196</v>
      </c>
      <c r="C12" s="71">
        <f t="shared" si="0"/>
        <v>0.05710955710955711</v>
      </c>
      <c r="D12" s="32">
        <f t="shared" si="1"/>
        <v>30</v>
      </c>
    </row>
    <row r="13" spans="1:4" ht="12.75">
      <c r="A13" s="4" t="s">
        <v>22</v>
      </c>
      <c r="B13" s="32">
        <v>46</v>
      </c>
      <c r="C13" s="71">
        <f t="shared" si="0"/>
        <v>0.013403263403263404</v>
      </c>
      <c r="D13" s="32">
        <f t="shared" si="1"/>
        <v>7</v>
      </c>
    </row>
    <row r="14" spans="1:4" ht="12.75">
      <c r="A14" s="4" t="s">
        <v>23</v>
      </c>
      <c r="B14" s="32">
        <v>84</v>
      </c>
      <c r="C14" s="71">
        <f t="shared" si="0"/>
        <v>0.024475524475524476</v>
      </c>
      <c r="D14" s="32">
        <f t="shared" si="1"/>
        <v>13</v>
      </c>
    </row>
    <row r="15" spans="1:4" ht="12.75">
      <c r="A15" s="4" t="s">
        <v>24</v>
      </c>
      <c r="B15" s="32">
        <v>51</v>
      </c>
      <c r="C15" s="71">
        <f t="shared" si="0"/>
        <v>0.01486013986013986</v>
      </c>
      <c r="D15" s="32">
        <f t="shared" si="1"/>
        <v>8</v>
      </c>
    </row>
    <row r="16" spans="1:4" ht="12.75">
      <c r="A16" s="4" t="s">
        <v>25</v>
      </c>
      <c r="B16" s="32">
        <v>229</v>
      </c>
      <c r="C16" s="71">
        <f t="shared" si="0"/>
        <v>0.06672494172494173</v>
      </c>
      <c r="D16" s="32">
        <f t="shared" si="1"/>
        <v>35</v>
      </c>
    </row>
    <row r="17" spans="1:4" ht="12.75">
      <c r="A17" s="4" t="s">
        <v>26</v>
      </c>
      <c r="B17" s="32">
        <v>47</v>
      </c>
      <c r="C17" s="71">
        <f t="shared" si="0"/>
        <v>0.013694638694638694</v>
      </c>
      <c r="D17" s="32">
        <f t="shared" si="1"/>
        <v>7</v>
      </c>
    </row>
    <row r="18" spans="1:4" ht="12.75">
      <c r="A18" s="4" t="s">
        <v>27</v>
      </c>
      <c r="B18" s="32">
        <v>214</v>
      </c>
      <c r="C18" s="71">
        <f t="shared" si="0"/>
        <v>0.06235431235431235</v>
      </c>
      <c r="D18" s="32">
        <f t="shared" si="1"/>
        <v>33</v>
      </c>
    </row>
    <row r="19" spans="1:4" ht="12.75">
      <c r="A19" s="4" t="s">
        <v>28</v>
      </c>
      <c r="B19" s="32">
        <v>69</v>
      </c>
      <c r="C19" s="71">
        <f t="shared" si="0"/>
        <v>0.020104895104895104</v>
      </c>
      <c r="D19" s="32">
        <f t="shared" si="1"/>
        <v>11</v>
      </c>
    </row>
    <row r="20" spans="1:4" ht="12.75">
      <c r="A20" s="4" t="s">
        <v>29</v>
      </c>
      <c r="B20" s="32">
        <v>20</v>
      </c>
      <c r="C20" s="71">
        <f t="shared" si="0"/>
        <v>0.005827505827505828</v>
      </c>
      <c r="D20" s="32">
        <f t="shared" si="1"/>
        <v>3</v>
      </c>
    </row>
    <row r="21" spans="1:4" ht="12.75">
      <c r="A21" s="4" t="s">
        <v>30</v>
      </c>
      <c r="B21" s="32">
        <v>36</v>
      </c>
      <c r="C21" s="71">
        <f t="shared" si="0"/>
        <v>0.01048951048951049</v>
      </c>
      <c r="D21" s="32">
        <f t="shared" si="1"/>
        <v>6</v>
      </c>
    </row>
    <row r="22" spans="1:4" ht="12.75">
      <c r="A22" s="4" t="s">
        <v>31</v>
      </c>
      <c r="B22" s="32">
        <v>20</v>
      </c>
      <c r="C22" s="71">
        <f t="shared" si="0"/>
        <v>0.005827505827505828</v>
      </c>
      <c r="D22" s="32">
        <f t="shared" si="1"/>
        <v>3</v>
      </c>
    </row>
    <row r="23" spans="1:4" ht="12.75">
      <c r="A23" s="4" t="s">
        <v>32</v>
      </c>
      <c r="B23" s="32">
        <v>14</v>
      </c>
      <c r="C23" s="71">
        <f t="shared" si="0"/>
        <v>0.004079254079254079</v>
      </c>
      <c r="D23" s="32">
        <f t="shared" si="1"/>
        <v>2</v>
      </c>
    </row>
    <row r="24" spans="1:4" ht="12.75">
      <c r="A24" s="4" t="s">
        <v>33</v>
      </c>
      <c r="B24" s="32">
        <v>10</v>
      </c>
      <c r="C24" s="71">
        <f t="shared" si="0"/>
        <v>0.002913752913752914</v>
      </c>
      <c r="D24" s="32">
        <f t="shared" si="1"/>
        <v>2</v>
      </c>
    </row>
    <row r="25" spans="1:5" ht="12.75">
      <c r="A25" s="4" t="s">
        <v>34</v>
      </c>
      <c r="B25" s="32">
        <v>12</v>
      </c>
      <c r="C25" s="71">
        <f t="shared" si="0"/>
        <v>0.0034965034965034965</v>
      </c>
      <c r="D25" s="32">
        <f t="shared" si="1"/>
        <v>2</v>
      </c>
      <c r="E25" s="70"/>
    </row>
    <row r="26" spans="1:4" ht="12.75">
      <c r="A26" s="4" t="s">
        <v>35</v>
      </c>
      <c r="B26" s="32">
        <v>0</v>
      </c>
      <c r="C26" s="32">
        <v>0</v>
      </c>
      <c r="D26" s="32">
        <f t="shared" si="1"/>
        <v>0</v>
      </c>
    </row>
    <row r="27" spans="1:4" ht="12.75">
      <c r="A27" s="4" t="s">
        <v>36</v>
      </c>
      <c r="B27" s="32">
        <v>0</v>
      </c>
      <c r="C27" s="32">
        <v>0</v>
      </c>
      <c r="D27" s="32">
        <f t="shared" si="1"/>
        <v>0</v>
      </c>
    </row>
    <row r="28" spans="1:4" ht="12.75">
      <c r="A28" s="4" t="s">
        <v>37</v>
      </c>
      <c r="B28" s="32">
        <v>0</v>
      </c>
      <c r="C28" s="32">
        <v>0</v>
      </c>
      <c r="D28" s="32">
        <f t="shared" si="1"/>
        <v>0</v>
      </c>
    </row>
    <row r="29" spans="1:4" ht="12.75">
      <c r="A29" s="4" t="s">
        <v>38</v>
      </c>
      <c r="B29" s="32">
        <v>0</v>
      </c>
      <c r="C29" s="32">
        <v>0</v>
      </c>
      <c r="D29" s="32">
        <f t="shared" si="1"/>
        <v>0</v>
      </c>
    </row>
    <row r="30" spans="1:4" ht="12.75">
      <c r="A30" s="4" t="s">
        <v>8</v>
      </c>
      <c r="B30" s="32">
        <v>0</v>
      </c>
      <c r="C30" s="31">
        <f t="shared" si="0"/>
        <v>0</v>
      </c>
      <c r="D30" s="32">
        <f t="shared" si="1"/>
        <v>0</v>
      </c>
    </row>
    <row r="31" spans="1:4" ht="12.75">
      <c r="A31" s="4" t="s">
        <v>51</v>
      </c>
      <c r="B31" s="32">
        <v>0</v>
      </c>
      <c r="C31" s="31">
        <f t="shared" si="0"/>
        <v>0</v>
      </c>
      <c r="D31" s="32">
        <f t="shared" si="1"/>
        <v>0</v>
      </c>
    </row>
    <row r="32" spans="1:4" ht="12.75">
      <c r="A32" s="4" t="s">
        <v>39</v>
      </c>
      <c r="B32" s="32">
        <v>0</v>
      </c>
      <c r="C32" s="31">
        <f t="shared" si="0"/>
        <v>0</v>
      </c>
      <c r="D32" s="32">
        <f t="shared" si="1"/>
        <v>0</v>
      </c>
    </row>
    <row r="33" spans="1:4" ht="12.75">
      <c r="A33" s="4" t="s">
        <v>5</v>
      </c>
      <c r="B33" s="32">
        <v>0</v>
      </c>
      <c r="C33" s="31">
        <f t="shared" si="0"/>
        <v>0</v>
      </c>
      <c r="D33" s="32">
        <f t="shared" si="1"/>
        <v>0</v>
      </c>
    </row>
    <row r="34" spans="1:4" ht="12.75">
      <c r="A34" s="4" t="s">
        <v>6</v>
      </c>
      <c r="B34" s="32">
        <v>0</v>
      </c>
      <c r="C34" s="31">
        <f t="shared" si="0"/>
        <v>0</v>
      </c>
      <c r="D34" s="32">
        <f t="shared" si="1"/>
        <v>0</v>
      </c>
    </row>
    <row r="35" spans="1:4" ht="12.75">
      <c r="A35" s="4" t="s">
        <v>9</v>
      </c>
      <c r="B35" s="32">
        <v>0</v>
      </c>
      <c r="C35" s="32">
        <v>0</v>
      </c>
      <c r="D35" s="32">
        <f t="shared" si="1"/>
        <v>0</v>
      </c>
    </row>
    <row r="36" spans="1:4" ht="12.75">
      <c r="A36" s="4" t="s">
        <v>145</v>
      </c>
      <c r="B36" s="31">
        <v>0</v>
      </c>
      <c r="C36" s="32"/>
      <c r="D36" s="32">
        <f t="shared" si="1"/>
        <v>0</v>
      </c>
    </row>
    <row r="37" spans="1:4" ht="12.75">
      <c r="A37" s="4" t="s">
        <v>128</v>
      </c>
      <c r="B37" s="36">
        <v>0</v>
      </c>
      <c r="C37" s="31"/>
      <c r="D37" s="36">
        <v>0</v>
      </c>
    </row>
    <row r="38" spans="1:4" ht="12.75">
      <c r="A38" s="20" t="s">
        <v>40</v>
      </c>
      <c r="B38" s="36">
        <f>SUM(B5:B37)</f>
        <v>3432</v>
      </c>
      <c r="C38" s="80">
        <f>SUM(C5:C35)</f>
        <v>1</v>
      </c>
      <c r="D38" s="36">
        <f>SUM(D5:D37)</f>
        <v>527</v>
      </c>
    </row>
    <row r="39" ht="12.75" customHeight="1">
      <c r="A39" s="23" t="s">
        <v>88</v>
      </c>
    </row>
    <row r="40" ht="12.75">
      <c r="A40" s="74" t="s">
        <v>89</v>
      </c>
    </row>
    <row r="41" ht="12.75">
      <c r="A41" s="74" t="s">
        <v>90</v>
      </c>
    </row>
    <row r="42" spans="1:3" ht="12.75">
      <c r="A42" t="s">
        <v>91</v>
      </c>
      <c r="C42" t="s">
        <v>118</v>
      </c>
    </row>
    <row r="43" ht="12.75">
      <c r="D43" s="92">
        <v>527</v>
      </c>
    </row>
    <row r="44" ht="12.75">
      <c r="A44" s="74"/>
    </row>
    <row r="45" ht="12.75" hidden="1">
      <c r="D45" s="70">
        <f>SUM(D5:D37)</f>
        <v>527</v>
      </c>
    </row>
    <row r="46" ht="12.75" hidden="1">
      <c r="D46" s="70">
        <f>SUM(D5:D37)</f>
        <v>527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2:F43"/>
  <sheetViews>
    <sheetView workbookViewId="0" topLeftCell="A26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</cols>
  <sheetData>
    <row r="2" ht="18">
      <c r="A2" s="25" t="s">
        <v>92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31">
        <f>SUM('FTEs &amp; onbrd'!B5)</f>
        <v>2835</v>
      </c>
      <c r="C5" s="46">
        <f>SUM(B5/$B$38)</f>
        <v>0.1647681041497152</v>
      </c>
      <c r="D5" s="34">
        <f>ROUND(C5*$D$43,0)</f>
        <v>641</v>
      </c>
    </row>
    <row r="6" spans="1:4" ht="12.75">
      <c r="A6" s="4" t="s">
        <v>15</v>
      </c>
      <c r="B6" s="31">
        <f>SUM('FTEs &amp; onbrd'!B6)</f>
        <v>806</v>
      </c>
      <c r="C6" s="46">
        <f aca="true" t="shared" si="0" ref="C6:C37">SUM(B6/$B$38)</f>
        <v>0.0468441241427409</v>
      </c>
      <c r="D6" s="31">
        <f aca="true" t="shared" si="1" ref="D6:D37">ROUND(C6*$D$43,0)</f>
        <v>182</v>
      </c>
    </row>
    <row r="7" spans="1:4" ht="12.75">
      <c r="A7" s="4" t="s">
        <v>16</v>
      </c>
      <c r="B7" s="31">
        <f>SUM('FTEs &amp; onbrd'!B7)</f>
        <v>252</v>
      </c>
      <c r="C7" s="46">
        <f t="shared" si="0"/>
        <v>0.014646053702196907</v>
      </c>
      <c r="D7" s="31">
        <f t="shared" si="1"/>
        <v>57</v>
      </c>
    </row>
    <row r="8" spans="1:4" ht="12.75">
      <c r="A8" s="4" t="s">
        <v>17</v>
      </c>
      <c r="B8" s="31">
        <f>SUM('FTEs &amp; onbrd'!B8)</f>
        <v>646</v>
      </c>
      <c r="C8" s="46">
        <f t="shared" si="0"/>
        <v>0.037545042427060325</v>
      </c>
      <c r="D8" s="31">
        <f t="shared" si="1"/>
        <v>146</v>
      </c>
    </row>
    <row r="9" spans="1:4" ht="12.75">
      <c r="A9" s="4" t="s">
        <v>18</v>
      </c>
      <c r="B9" s="31">
        <f>SUM('FTEs &amp; onbrd'!B9)</f>
        <v>539</v>
      </c>
      <c r="C9" s="46">
        <f t="shared" si="0"/>
        <v>0.03132628152969894</v>
      </c>
      <c r="D9" s="31">
        <f t="shared" si="1"/>
        <v>122</v>
      </c>
    </row>
    <row r="10" spans="1:4" ht="12.75">
      <c r="A10" s="4" t="s">
        <v>19</v>
      </c>
      <c r="B10" s="31">
        <f>SUM('FTEs &amp; onbrd'!B10)</f>
        <v>1617</v>
      </c>
      <c r="C10" s="46">
        <f t="shared" si="0"/>
        <v>0.09397884458909683</v>
      </c>
      <c r="D10" s="31">
        <f t="shared" si="1"/>
        <v>366</v>
      </c>
    </row>
    <row r="11" spans="1:4" ht="12.75">
      <c r="A11" s="4" t="s">
        <v>20</v>
      </c>
      <c r="B11" s="31">
        <f>SUM('FTEs &amp; onbrd'!B11)</f>
        <v>126</v>
      </c>
      <c r="C11" s="46">
        <f t="shared" si="0"/>
        <v>0.007323026851098454</v>
      </c>
      <c r="D11" s="31">
        <f t="shared" si="1"/>
        <v>28</v>
      </c>
    </row>
    <row r="12" spans="1:4" ht="12.75">
      <c r="A12" s="4" t="s">
        <v>21</v>
      </c>
      <c r="B12" s="31">
        <f>SUM('FTEs &amp; onbrd'!B12)</f>
        <v>548</v>
      </c>
      <c r="C12" s="46">
        <f t="shared" si="0"/>
        <v>0.03184935487620597</v>
      </c>
      <c r="D12" s="31">
        <f t="shared" si="1"/>
        <v>124</v>
      </c>
    </row>
    <row r="13" spans="1:4" ht="12.75">
      <c r="A13" s="4" t="s">
        <v>22</v>
      </c>
      <c r="B13" s="31">
        <f>SUM('FTEs &amp; onbrd'!B13)</f>
        <v>213</v>
      </c>
      <c r="C13" s="46">
        <f t="shared" si="0"/>
        <v>0.012379402533999767</v>
      </c>
      <c r="D13" s="31">
        <f t="shared" si="1"/>
        <v>48</v>
      </c>
    </row>
    <row r="14" spans="1:4" ht="12.75">
      <c r="A14" s="4" t="s">
        <v>23</v>
      </c>
      <c r="B14" s="31">
        <f>SUM('FTEs &amp; onbrd'!B14)</f>
        <v>668</v>
      </c>
      <c r="C14" s="46">
        <f t="shared" si="0"/>
        <v>0.038823666162966404</v>
      </c>
      <c r="D14" s="31">
        <f t="shared" si="1"/>
        <v>151</v>
      </c>
    </row>
    <row r="15" spans="1:4" ht="12.75">
      <c r="A15" s="4" t="s">
        <v>24</v>
      </c>
      <c r="B15" s="31">
        <f>SUM('FTEs &amp; onbrd'!B15)</f>
        <v>381</v>
      </c>
      <c r="C15" s="46">
        <f t="shared" si="0"/>
        <v>0.022143438335464373</v>
      </c>
      <c r="D15" s="31">
        <f t="shared" si="1"/>
        <v>86</v>
      </c>
    </row>
    <row r="16" spans="1:4" ht="12.75">
      <c r="A16" s="4" t="s">
        <v>25</v>
      </c>
      <c r="B16" s="31">
        <f>SUM('FTEs &amp; onbrd'!B16)</f>
        <v>214</v>
      </c>
      <c r="C16" s="46">
        <f t="shared" si="0"/>
        <v>0.012437521794722772</v>
      </c>
      <c r="D16" s="31">
        <f t="shared" si="1"/>
        <v>48</v>
      </c>
    </row>
    <row r="17" spans="1:4" ht="12.75">
      <c r="A17" s="4" t="s">
        <v>26</v>
      </c>
      <c r="B17" s="31">
        <f>SUM('FTEs &amp; onbrd'!B17)</f>
        <v>136</v>
      </c>
      <c r="C17" s="46">
        <f t="shared" si="0"/>
        <v>0.00790421945832849</v>
      </c>
      <c r="D17" s="31">
        <f t="shared" si="1"/>
        <v>31</v>
      </c>
    </row>
    <row r="18" spans="1:4" ht="12.75">
      <c r="A18" s="4" t="s">
        <v>27</v>
      </c>
      <c r="B18" s="31">
        <f>SUM('FTEs &amp; onbrd'!B18)</f>
        <v>641</v>
      </c>
      <c r="C18" s="46">
        <f t="shared" si="0"/>
        <v>0.03725444612344531</v>
      </c>
      <c r="D18" s="31">
        <f t="shared" si="1"/>
        <v>145</v>
      </c>
    </row>
    <row r="19" spans="1:4" ht="12.75">
      <c r="A19" s="4" t="s">
        <v>28</v>
      </c>
      <c r="B19" s="31">
        <f>SUM('FTEs &amp; onbrd'!B19)</f>
        <v>366</v>
      </c>
      <c r="C19" s="46">
        <f t="shared" si="0"/>
        <v>0.02127164942461932</v>
      </c>
      <c r="D19" s="31">
        <f t="shared" si="1"/>
        <v>83</v>
      </c>
    </row>
    <row r="20" spans="1:4" ht="12.75">
      <c r="A20" s="4" t="s">
        <v>29</v>
      </c>
      <c r="B20" s="31">
        <f>SUM('FTEs &amp; onbrd'!B20)</f>
        <v>227</v>
      </c>
      <c r="C20" s="46">
        <f t="shared" si="0"/>
        <v>0.013193072184121819</v>
      </c>
      <c r="D20" s="31">
        <f t="shared" si="1"/>
        <v>51</v>
      </c>
    </row>
    <row r="21" spans="1:4" ht="12.75">
      <c r="A21" s="4" t="s">
        <v>30</v>
      </c>
      <c r="B21" s="31">
        <f>SUM('FTEs &amp; onbrd'!B21)</f>
        <v>44</v>
      </c>
      <c r="C21" s="46">
        <f t="shared" si="0"/>
        <v>0.0025572474718121587</v>
      </c>
      <c r="D21" s="31">
        <f t="shared" si="1"/>
        <v>10</v>
      </c>
    </row>
    <row r="22" spans="1:4" ht="12.75">
      <c r="A22" s="4" t="s">
        <v>31</v>
      </c>
      <c r="B22" s="31">
        <f>SUM('FTEs &amp; onbrd'!B22)</f>
        <v>301</v>
      </c>
      <c r="C22" s="46">
        <f t="shared" si="0"/>
        <v>0.017493897477624084</v>
      </c>
      <c r="D22" s="31">
        <f t="shared" si="1"/>
        <v>68</v>
      </c>
    </row>
    <row r="23" spans="1:4" ht="12.75">
      <c r="A23" s="4" t="s">
        <v>32</v>
      </c>
      <c r="B23" s="31">
        <f>SUM('FTEs &amp; onbrd'!B23)</f>
        <v>50</v>
      </c>
      <c r="C23" s="46">
        <f t="shared" si="0"/>
        <v>0.00290596303615018</v>
      </c>
      <c r="D23" s="31">
        <f t="shared" si="1"/>
        <v>11</v>
      </c>
    </row>
    <row r="24" spans="1:4" ht="12.75">
      <c r="A24" s="4" t="s">
        <v>33</v>
      </c>
      <c r="B24" s="31">
        <f>SUM('FTEs &amp; onbrd'!B24)</f>
        <v>108</v>
      </c>
      <c r="C24" s="46">
        <f t="shared" si="0"/>
        <v>0.006276880158084389</v>
      </c>
      <c r="D24" s="31">
        <f t="shared" si="1"/>
        <v>24</v>
      </c>
    </row>
    <row r="25" spans="1:4" ht="12.75">
      <c r="A25" s="4" t="s">
        <v>34</v>
      </c>
      <c r="B25" s="31">
        <f>SUM('FTEs &amp; onbrd'!B25)</f>
        <v>76</v>
      </c>
      <c r="C25" s="46">
        <f t="shared" si="0"/>
        <v>0.0044170638149482735</v>
      </c>
      <c r="D25" s="31">
        <f t="shared" si="1"/>
        <v>17</v>
      </c>
    </row>
    <row r="26" spans="1:4" ht="12.75">
      <c r="A26" s="4" t="s">
        <v>35</v>
      </c>
      <c r="B26" s="31">
        <f>SUM('FTEs &amp; onbrd'!B26)</f>
        <v>29</v>
      </c>
      <c r="C26" s="46">
        <f t="shared" si="0"/>
        <v>0.0016854585609671045</v>
      </c>
      <c r="D26" s="31">
        <f t="shared" si="1"/>
        <v>7</v>
      </c>
    </row>
    <row r="27" spans="1:4" ht="12.75">
      <c r="A27" s="4" t="s">
        <v>36</v>
      </c>
      <c r="B27" s="31">
        <f>SUM('FTEs &amp; onbrd'!B27)</f>
        <v>54</v>
      </c>
      <c r="C27" s="46">
        <f t="shared" si="0"/>
        <v>0.0031384400790421944</v>
      </c>
      <c r="D27" s="31">
        <f t="shared" si="1"/>
        <v>12</v>
      </c>
    </row>
    <row r="28" spans="1:4" ht="12.75">
      <c r="A28" s="4" t="s">
        <v>37</v>
      </c>
      <c r="B28" s="31">
        <f>SUM('FTEs &amp; onbrd'!B28)</f>
        <v>662</v>
      </c>
      <c r="C28" s="46">
        <f t="shared" si="0"/>
        <v>0.038474950598628384</v>
      </c>
      <c r="D28" s="31">
        <f t="shared" si="1"/>
        <v>150</v>
      </c>
    </row>
    <row r="29" spans="1:4" ht="12.75">
      <c r="A29" s="4" t="s">
        <v>38</v>
      </c>
      <c r="B29" s="31">
        <f>SUM('FTEs &amp; onbrd'!B29)</f>
        <v>0</v>
      </c>
      <c r="C29" s="46">
        <f t="shared" si="0"/>
        <v>0</v>
      </c>
      <c r="D29" s="31">
        <f t="shared" si="1"/>
        <v>0</v>
      </c>
    </row>
    <row r="30" spans="1:4" ht="12.75">
      <c r="A30" s="4" t="s">
        <v>8</v>
      </c>
      <c r="B30" s="31">
        <f>SUM('FTEs &amp; onbrd'!B30)</f>
        <v>626</v>
      </c>
      <c r="C30" s="46">
        <f t="shared" si="0"/>
        <v>0.036382657212600256</v>
      </c>
      <c r="D30" s="31">
        <f t="shared" si="1"/>
        <v>142</v>
      </c>
    </row>
    <row r="31" spans="1:4" ht="12.75">
      <c r="A31" s="4" t="s">
        <v>51</v>
      </c>
      <c r="B31" s="31">
        <f>SUM('FTEs &amp; onbrd'!B31)</f>
        <v>1101</v>
      </c>
      <c r="C31" s="46">
        <f t="shared" si="0"/>
        <v>0.06398930605602697</v>
      </c>
      <c r="D31" s="31">
        <f t="shared" si="1"/>
        <v>249</v>
      </c>
    </row>
    <row r="32" spans="1:4" ht="12.75">
      <c r="A32" s="4" t="s">
        <v>39</v>
      </c>
      <c r="B32" s="31">
        <f>SUM('FTEs &amp; onbrd'!B32)</f>
        <v>1857</v>
      </c>
      <c r="C32" s="46">
        <f t="shared" si="0"/>
        <v>0.1079274671626177</v>
      </c>
      <c r="D32" s="31">
        <f t="shared" si="1"/>
        <v>420</v>
      </c>
    </row>
    <row r="33" spans="1:4" ht="12.75">
      <c r="A33" s="4" t="s">
        <v>5</v>
      </c>
      <c r="B33" s="31">
        <f>SUM('FTEs &amp; onbrd'!B33)</f>
        <v>297</v>
      </c>
      <c r="C33" s="46">
        <f t="shared" si="0"/>
        <v>0.01726142043473207</v>
      </c>
      <c r="D33" s="31">
        <f t="shared" si="1"/>
        <v>67</v>
      </c>
    </row>
    <row r="34" spans="1:4" ht="12.75">
      <c r="A34" s="4" t="s">
        <v>6</v>
      </c>
      <c r="B34" s="31">
        <f>SUM('FTEs &amp; onbrd'!B34)</f>
        <v>383</v>
      </c>
      <c r="C34" s="46">
        <f t="shared" si="0"/>
        <v>0.02225967685691038</v>
      </c>
      <c r="D34" s="31">
        <f t="shared" si="1"/>
        <v>87</v>
      </c>
    </row>
    <row r="35" spans="1:4" ht="12.75">
      <c r="A35" s="4" t="s">
        <v>9</v>
      </c>
      <c r="B35" s="31">
        <f>SUM('FTEs &amp; onbrd'!B35)</f>
        <v>624</v>
      </c>
      <c r="C35" s="46">
        <f t="shared" si="0"/>
        <v>0.03626641869115425</v>
      </c>
      <c r="D35" s="31">
        <f t="shared" si="1"/>
        <v>141</v>
      </c>
    </row>
    <row r="36" spans="1:4" ht="12.75">
      <c r="A36" s="4" t="s">
        <v>145</v>
      </c>
      <c r="B36" s="31">
        <f>SUM('FTEs &amp; onbrd'!B36)</f>
        <v>507</v>
      </c>
      <c r="C36" s="46">
        <f t="shared" si="0"/>
        <v>0.02946646518656283</v>
      </c>
      <c r="D36" s="31">
        <f t="shared" si="1"/>
        <v>115</v>
      </c>
    </row>
    <row r="37" spans="1:6" ht="12.75">
      <c r="A37" s="4" t="s">
        <v>128</v>
      </c>
      <c r="B37" s="36">
        <f>SUM('FTEs &amp; onbrd'!B37)</f>
        <v>272</v>
      </c>
      <c r="C37" s="46">
        <f t="shared" si="0"/>
        <v>0.01580843891665698</v>
      </c>
      <c r="D37" s="36">
        <f t="shared" si="1"/>
        <v>61</v>
      </c>
      <c r="F37" s="70"/>
    </row>
    <row r="38" spans="1:4" ht="12.75">
      <c r="A38" s="20" t="s">
        <v>40</v>
      </c>
      <c r="B38" s="43">
        <f>SUM(B5:B37)</f>
        <v>17206</v>
      </c>
      <c r="C38" s="47">
        <f>SUM(C5:C37)</f>
        <v>1</v>
      </c>
      <c r="D38" s="50">
        <f>SUM(D5:D37)</f>
        <v>3890</v>
      </c>
    </row>
    <row r="39" ht="12.75">
      <c r="A39" s="23" t="s">
        <v>319</v>
      </c>
    </row>
    <row r="40" ht="12.75">
      <c r="D40" s="70"/>
    </row>
    <row r="41" ht="12.75">
      <c r="D41" s="70"/>
    </row>
    <row r="43" ht="12.75">
      <c r="D43" s="92">
        <v>3890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E43"/>
  <sheetViews>
    <sheetView workbookViewId="0" topLeftCell="A26">
      <selection activeCell="O9" sqref="O9"/>
    </sheetView>
  </sheetViews>
  <sheetFormatPr defaultColWidth="9.140625" defaultRowHeight="12.75"/>
  <cols>
    <col min="1" max="1" width="9.7109375" style="0" customWidth="1"/>
    <col min="2" max="2" width="13.28125" style="0" customWidth="1"/>
    <col min="3" max="4" width="14.7109375" style="0" customWidth="1"/>
    <col min="5" max="5" width="3.57421875" style="0" customWidth="1"/>
  </cols>
  <sheetData>
    <row r="1" ht="12.75" customHeight="1">
      <c r="A1" s="25"/>
    </row>
    <row r="2" ht="18">
      <c r="A2" s="25" t="s">
        <v>234</v>
      </c>
    </row>
    <row r="3" spans="1:4" ht="12.75">
      <c r="A3" s="13"/>
      <c r="B3" s="285" t="s">
        <v>205</v>
      </c>
      <c r="C3" s="286"/>
      <c r="D3" s="287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5" ht="12.75">
      <c r="A5" s="4" t="s">
        <v>0</v>
      </c>
      <c r="B5" s="31">
        <f>SUM('FTEs &amp; onbrd'!B5)</f>
        <v>2835</v>
      </c>
      <c r="C5" s="46">
        <f>SUM(B5/$B$38)</f>
        <v>0.1647681041497152</v>
      </c>
      <c r="D5" s="82">
        <f>ROUND(C5*$D$43,0)+2</f>
        <v>6152</v>
      </c>
      <c r="E5" s="70"/>
    </row>
    <row r="6" spans="1:4" ht="12.75">
      <c r="A6" s="4" t="s">
        <v>15</v>
      </c>
      <c r="B6" s="31">
        <f>SUM('FTEs &amp; onbrd'!B6)</f>
        <v>806</v>
      </c>
      <c r="C6" s="46">
        <f aca="true" t="shared" si="0" ref="C6:C37">SUM(B6/$B$38)</f>
        <v>0.0468441241427409</v>
      </c>
      <c r="D6" s="31">
        <f aca="true" t="shared" si="1" ref="D6:D37">ROUND(C6*$D$43,0)</f>
        <v>1749</v>
      </c>
    </row>
    <row r="7" spans="1:4" ht="12.75">
      <c r="A7" s="4" t="s">
        <v>16</v>
      </c>
      <c r="B7" s="31">
        <f>SUM('FTEs &amp; onbrd'!B7)</f>
        <v>252</v>
      </c>
      <c r="C7" s="46">
        <f t="shared" si="0"/>
        <v>0.014646053702196907</v>
      </c>
      <c r="D7" s="31">
        <f t="shared" si="1"/>
        <v>547</v>
      </c>
    </row>
    <row r="8" spans="1:4" ht="12.75">
      <c r="A8" s="4" t="s">
        <v>17</v>
      </c>
      <c r="B8" s="31">
        <f>SUM('FTEs &amp; onbrd'!B8)</f>
        <v>646</v>
      </c>
      <c r="C8" s="46">
        <f t="shared" si="0"/>
        <v>0.037545042427060325</v>
      </c>
      <c r="D8" s="31">
        <f t="shared" si="1"/>
        <v>1401</v>
      </c>
    </row>
    <row r="9" spans="1:4" ht="12.75">
      <c r="A9" s="4" t="s">
        <v>18</v>
      </c>
      <c r="B9" s="31">
        <f>SUM('FTEs &amp; onbrd'!B9)</f>
        <v>539</v>
      </c>
      <c r="C9" s="46">
        <f t="shared" si="0"/>
        <v>0.03132628152969894</v>
      </c>
      <c r="D9" s="31">
        <f t="shared" si="1"/>
        <v>1169</v>
      </c>
    </row>
    <row r="10" spans="1:4" ht="12.75">
      <c r="A10" s="4" t="s">
        <v>19</v>
      </c>
      <c r="B10" s="31">
        <f>SUM('FTEs &amp; onbrd'!B10)</f>
        <v>1617</v>
      </c>
      <c r="C10" s="46">
        <f t="shared" si="0"/>
        <v>0.09397884458909683</v>
      </c>
      <c r="D10" s="31">
        <f t="shared" si="1"/>
        <v>3508</v>
      </c>
    </row>
    <row r="11" spans="1:4" ht="12.75">
      <c r="A11" s="4" t="s">
        <v>20</v>
      </c>
      <c r="B11" s="31">
        <f>SUM('FTEs &amp; onbrd'!B11)</f>
        <v>126</v>
      </c>
      <c r="C11" s="46">
        <f t="shared" si="0"/>
        <v>0.007323026851098454</v>
      </c>
      <c r="D11" s="31">
        <f t="shared" si="1"/>
        <v>273</v>
      </c>
    </row>
    <row r="12" spans="1:4" ht="12.75">
      <c r="A12" s="4" t="s">
        <v>21</v>
      </c>
      <c r="B12" s="31">
        <f>SUM('FTEs &amp; onbrd'!B12)</f>
        <v>548</v>
      </c>
      <c r="C12" s="46">
        <f t="shared" si="0"/>
        <v>0.03184935487620597</v>
      </c>
      <c r="D12" s="31">
        <f t="shared" si="1"/>
        <v>1189</v>
      </c>
    </row>
    <row r="13" spans="1:4" ht="12.75">
      <c r="A13" s="4" t="s">
        <v>22</v>
      </c>
      <c r="B13" s="31">
        <f>SUM('FTEs &amp; onbrd'!B13)</f>
        <v>213</v>
      </c>
      <c r="C13" s="46">
        <f t="shared" si="0"/>
        <v>0.012379402533999767</v>
      </c>
      <c r="D13" s="31">
        <f t="shared" si="1"/>
        <v>462</v>
      </c>
    </row>
    <row r="14" spans="1:4" ht="12.75">
      <c r="A14" s="4" t="s">
        <v>23</v>
      </c>
      <c r="B14" s="31">
        <f>SUM('FTEs &amp; onbrd'!B14)</f>
        <v>668</v>
      </c>
      <c r="C14" s="46">
        <f t="shared" si="0"/>
        <v>0.038823666162966404</v>
      </c>
      <c r="D14" s="31">
        <f t="shared" si="1"/>
        <v>1449</v>
      </c>
    </row>
    <row r="15" spans="1:4" ht="12.75">
      <c r="A15" s="4" t="s">
        <v>24</v>
      </c>
      <c r="B15" s="31">
        <f>SUM('FTEs &amp; onbrd'!B15)</f>
        <v>381</v>
      </c>
      <c r="C15" s="46">
        <f t="shared" si="0"/>
        <v>0.022143438335464373</v>
      </c>
      <c r="D15" s="31">
        <f t="shared" si="1"/>
        <v>827</v>
      </c>
    </row>
    <row r="16" spans="1:4" ht="12.75">
      <c r="A16" s="4" t="s">
        <v>25</v>
      </c>
      <c r="B16" s="31">
        <f>SUM('FTEs &amp; onbrd'!B16)</f>
        <v>214</v>
      </c>
      <c r="C16" s="46">
        <f t="shared" si="0"/>
        <v>0.012437521794722772</v>
      </c>
      <c r="D16" s="31">
        <f t="shared" si="1"/>
        <v>464</v>
      </c>
    </row>
    <row r="17" spans="1:4" ht="12.75">
      <c r="A17" s="4" t="s">
        <v>26</v>
      </c>
      <c r="B17" s="31">
        <f>SUM('FTEs &amp; onbrd'!B17)</f>
        <v>136</v>
      </c>
      <c r="C17" s="46">
        <f t="shared" si="0"/>
        <v>0.00790421945832849</v>
      </c>
      <c r="D17" s="31">
        <f t="shared" si="1"/>
        <v>295</v>
      </c>
    </row>
    <row r="18" spans="1:4" ht="12.75">
      <c r="A18" s="4" t="s">
        <v>27</v>
      </c>
      <c r="B18" s="31">
        <f>SUM('FTEs &amp; onbrd'!B18)</f>
        <v>641</v>
      </c>
      <c r="C18" s="46">
        <f t="shared" si="0"/>
        <v>0.03725444612344531</v>
      </c>
      <c r="D18" s="31">
        <f t="shared" si="1"/>
        <v>1391</v>
      </c>
    </row>
    <row r="19" spans="1:4" ht="12.75">
      <c r="A19" s="4" t="s">
        <v>28</v>
      </c>
      <c r="B19" s="31">
        <f>SUM('FTEs &amp; onbrd'!B19)</f>
        <v>366</v>
      </c>
      <c r="C19" s="46">
        <f t="shared" si="0"/>
        <v>0.02127164942461932</v>
      </c>
      <c r="D19" s="31">
        <f t="shared" si="1"/>
        <v>794</v>
      </c>
    </row>
    <row r="20" spans="1:4" ht="12.75">
      <c r="A20" s="4" t="s">
        <v>29</v>
      </c>
      <c r="B20" s="31">
        <f>SUM('FTEs &amp; onbrd'!B20)</f>
        <v>227</v>
      </c>
      <c r="C20" s="46">
        <f t="shared" si="0"/>
        <v>0.013193072184121819</v>
      </c>
      <c r="D20" s="31">
        <f t="shared" si="1"/>
        <v>492</v>
      </c>
    </row>
    <row r="21" spans="1:4" ht="12.75">
      <c r="A21" s="4" t="s">
        <v>30</v>
      </c>
      <c r="B21" s="31">
        <f>SUM('FTEs &amp; onbrd'!B21)</f>
        <v>44</v>
      </c>
      <c r="C21" s="46">
        <f t="shared" si="0"/>
        <v>0.0025572474718121587</v>
      </c>
      <c r="D21" s="31">
        <f t="shared" si="1"/>
        <v>95</v>
      </c>
    </row>
    <row r="22" spans="1:4" ht="12.75">
      <c r="A22" s="4" t="s">
        <v>31</v>
      </c>
      <c r="B22" s="31">
        <f>SUM('FTEs &amp; onbrd'!B22)</f>
        <v>301</v>
      </c>
      <c r="C22" s="46">
        <f t="shared" si="0"/>
        <v>0.017493897477624084</v>
      </c>
      <c r="D22" s="31">
        <f t="shared" si="1"/>
        <v>653</v>
      </c>
    </row>
    <row r="23" spans="1:4" ht="12.75">
      <c r="A23" s="4" t="s">
        <v>32</v>
      </c>
      <c r="B23" s="31">
        <f>SUM('FTEs &amp; onbrd'!B23)</f>
        <v>50</v>
      </c>
      <c r="C23" s="46">
        <f t="shared" si="0"/>
        <v>0.00290596303615018</v>
      </c>
      <c r="D23" s="31">
        <f t="shared" si="1"/>
        <v>108</v>
      </c>
    </row>
    <row r="24" spans="1:4" ht="12.75">
      <c r="A24" s="4" t="s">
        <v>33</v>
      </c>
      <c r="B24" s="31">
        <f>SUM('FTEs &amp; onbrd'!B24)</f>
        <v>108</v>
      </c>
      <c r="C24" s="46">
        <f t="shared" si="0"/>
        <v>0.006276880158084389</v>
      </c>
      <c r="D24" s="31">
        <f t="shared" si="1"/>
        <v>234</v>
      </c>
    </row>
    <row r="25" spans="1:4" ht="12.75">
      <c r="A25" s="4" t="s">
        <v>34</v>
      </c>
      <c r="B25" s="31">
        <f>SUM('FTEs &amp; onbrd'!B25)</f>
        <v>76</v>
      </c>
      <c r="C25" s="46">
        <f t="shared" si="0"/>
        <v>0.0044170638149482735</v>
      </c>
      <c r="D25" s="31">
        <f t="shared" si="1"/>
        <v>165</v>
      </c>
    </row>
    <row r="26" spans="1:4" ht="12.75">
      <c r="A26" s="4" t="s">
        <v>35</v>
      </c>
      <c r="B26" s="31">
        <f>SUM('FTEs &amp; onbrd'!B26)</f>
        <v>29</v>
      </c>
      <c r="C26" s="46">
        <f t="shared" si="0"/>
        <v>0.0016854585609671045</v>
      </c>
      <c r="D26" s="31">
        <f t="shared" si="1"/>
        <v>63</v>
      </c>
    </row>
    <row r="27" spans="1:4" ht="12.75">
      <c r="A27" s="4" t="s">
        <v>36</v>
      </c>
      <c r="B27" s="31">
        <f>SUM('FTEs &amp; onbrd'!B27)</f>
        <v>54</v>
      </c>
      <c r="C27" s="46">
        <f t="shared" si="0"/>
        <v>0.0031384400790421944</v>
      </c>
      <c r="D27" s="31">
        <f t="shared" si="1"/>
        <v>117</v>
      </c>
    </row>
    <row r="28" spans="1:4" ht="12.75">
      <c r="A28" s="4" t="s">
        <v>37</v>
      </c>
      <c r="B28" s="31">
        <f>SUM('FTEs &amp; onbrd'!B28)</f>
        <v>662</v>
      </c>
      <c r="C28" s="46">
        <f t="shared" si="0"/>
        <v>0.038474950598628384</v>
      </c>
      <c r="D28" s="31">
        <f t="shared" si="1"/>
        <v>1436</v>
      </c>
    </row>
    <row r="29" spans="1:4" ht="12.75">
      <c r="A29" s="4" t="s">
        <v>38</v>
      </c>
      <c r="B29" s="31">
        <f>SUM('FTEs &amp; onbrd'!B29)</f>
        <v>0</v>
      </c>
      <c r="C29" s="46">
        <f t="shared" si="0"/>
        <v>0</v>
      </c>
      <c r="D29" s="31">
        <f t="shared" si="1"/>
        <v>0</v>
      </c>
    </row>
    <row r="30" spans="1:4" ht="12.75">
      <c r="A30" s="4" t="s">
        <v>8</v>
      </c>
      <c r="B30" s="31">
        <f>SUM('FTEs &amp; onbrd'!B30)</f>
        <v>626</v>
      </c>
      <c r="C30" s="46">
        <f t="shared" si="0"/>
        <v>0.036382657212600256</v>
      </c>
      <c r="D30" s="31">
        <f t="shared" si="1"/>
        <v>1358</v>
      </c>
    </row>
    <row r="31" spans="1:4" ht="12.75">
      <c r="A31" s="4" t="s">
        <v>51</v>
      </c>
      <c r="B31" s="31">
        <f>SUM('FTEs &amp; onbrd'!B31)</f>
        <v>1101</v>
      </c>
      <c r="C31" s="46">
        <f t="shared" si="0"/>
        <v>0.06398930605602697</v>
      </c>
      <c r="D31" s="31">
        <f t="shared" si="1"/>
        <v>2389</v>
      </c>
    </row>
    <row r="32" spans="1:4" ht="12.75">
      <c r="A32" s="4" t="s">
        <v>39</v>
      </c>
      <c r="B32" s="31">
        <f>SUM('FTEs &amp; onbrd'!B32)</f>
        <v>1857</v>
      </c>
      <c r="C32" s="46">
        <f t="shared" si="0"/>
        <v>0.1079274671626177</v>
      </c>
      <c r="D32" s="31">
        <f t="shared" si="1"/>
        <v>4029</v>
      </c>
    </row>
    <row r="33" spans="1:4" ht="12.75">
      <c r="A33" s="4" t="s">
        <v>5</v>
      </c>
      <c r="B33" s="31">
        <f>SUM('FTEs &amp; onbrd'!B33)</f>
        <v>297</v>
      </c>
      <c r="C33" s="46">
        <f t="shared" si="0"/>
        <v>0.01726142043473207</v>
      </c>
      <c r="D33" s="31">
        <f t="shared" si="1"/>
        <v>644</v>
      </c>
    </row>
    <row r="34" spans="1:4" ht="12.75">
      <c r="A34" s="4" t="s">
        <v>6</v>
      </c>
      <c r="B34" s="31">
        <f>SUM('FTEs &amp; onbrd'!B34)</f>
        <v>383</v>
      </c>
      <c r="C34" s="46">
        <f t="shared" si="0"/>
        <v>0.02225967685691038</v>
      </c>
      <c r="D34" s="31">
        <f t="shared" si="1"/>
        <v>831</v>
      </c>
    </row>
    <row r="35" spans="1:4" ht="12.75">
      <c r="A35" s="4" t="s">
        <v>9</v>
      </c>
      <c r="B35" s="31">
        <f>SUM('FTEs &amp; onbrd'!B35)</f>
        <v>624</v>
      </c>
      <c r="C35" s="46">
        <f t="shared" si="0"/>
        <v>0.03626641869115425</v>
      </c>
      <c r="D35" s="31">
        <f t="shared" si="1"/>
        <v>1354</v>
      </c>
    </row>
    <row r="36" spans="1:4" ht="12.75">
      <c r="A36" s="4" t="s">
        <v>145</v>
      </c>
      <c r="B36" s="31">
        <f>SUM('FTEs &amp; onbrd'!B36)</f>
        <v>507</v>
      </c>
      <c r="C36" s="46">
        <f t="shared" si="0"/>
        <v>0.02946646518656283</v>
      </c>
      <c r="D36" s="31">
        <f t="shared" si="1"/>
        <v>1100</v>
      </c>
    </row>
    <row r="37" spans="1:5" ht="12.75">
      <c r="A37" s="4" t="s">
        <v>128</v>
      </c>
      <c r="B37" s="36">
        <f>SUM('FTEs &amp; onbrd'!B37)</f>
        <v>272</v>
      </c>
      <c r="C37" s="46">
        <f t="shared" si="0"/>
        <v>0.01580843891665698</v>
      </c>
      <c r="D37" s="36">
        <f t="shared" si="1"/>
        <v>590</v>
      </c>
      <c r="E37" s="70"/>
    </row>
    <row r="38" spans="1:5" ht="12.75">
      <c r="A38" s="20" t="s">
        <v>40</v>
      </c>
      <c r="B38" s="43">
        <f>SUM(B5:B37)</f>
        <v>17206</v>
      </c>
      <c r="C38" s="47">
        <f>SUM(C5:C37)</f>
        <v>1</v>
      </c>
      <c r="D38" s="50">
        <f>SUM(D5:D37)</f>
        <v>37328</v>
      </c>
      <c r="E38" s="70"/>
    </row>
    <row r="39" spans="1:4" ht="12.75">
      <c r="A39" s="23" t="s">
        <v>319</v>
      </c>
      <c r="D39" s="70"/>
    </row>
    <row r="40" ht="12.75">
      <c r="D40" s="70"/>
    </row>
    <row r="43" ht="12.75">
      <c r="D43" s="92">
        <v>37328</v>
      </c>
    </row>
  </sheetData>
  <mergeCells count="1">
    <mergeCell ref="B3:D3"/>
  </mergeCells>
  <printOptions/>
  <pageMargins left="0.75" right="0.75" top="1" bottom="1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F43"/>
  <sheetViews>
    <sheetView workbookViewId="0" topLeftCell="A13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</cols>
  <sheetData>
    <row r="1" spans="1:4" ht="18">
      <c r="A1" s="289" t="s">
        <v>242</v>
      </c>
      <c r="B1" s="289"/>
      <c r="C1" s="289"/>
      <c r="D1" s="289"/>
    </row>
    <row r="2" spans="1:4" ht="12.75">
      <c r="A2" s="288" t="s">
        <v>243</v>
      </c>
      <c r="B2" s="288"/>
      <c r="C2" s="288"/>
      <c r="D2" s="288"/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31">
        <f>SUM('FTEs &amp; onbrd'!B5)</f>
        <v>2835</v>
      </c>
      <c r="C5" s="46">
        <f>SUM(B5/$B$38)</f>
        <v>0.1647681041497152</v>
      </c>
      <c r="D5" s="34">
        <f>ROUND(C5*$D$43,0)-1</f>
        <v>272</v>
      </c>
    </row>
    <row r="6" spans="1:4" ht="12.75">
      <c r="A6" s="4" t="s">
        <v>15</v>
      </c>
      <c r="B6" s="31">
        <f>SUM('FTEs &amp; onbrd'!B6)</f>
        <v>806</v>
      </c>
      <c r="C6" s="46">
        <f aca="true" t="shared" si="0" ref="C6:C37">SUM(B6/$B$38)</f>
        <v>0.0468441241427409</v>
      </c>
      <c r="D6" s="31">
        <f>ROUND(C6*$D$43,0)</f>
        <v>77</v>
      </c>
    </row>
    <row r="7" spans="1:4" ht="12.75">
      <c r="A7" s="4" t="s">
        <v>16</v>
      </c>
      <c r="B7" s="31">
        <f>SUM('FTEs &amp; onbrd'!B7)</f>
        <v>252</v>
      </c>
      <c r="C7" s="46">
        <f t="shared" si="0"/>
        <v>0.014646053702196907</v>
      </c>
      <c r="D7" s="31">
        <f aca="true" t="shared" si="1" ref="D7:D37">ROUND(C7*$D$43,0)</f>
        <v>24</v>
      </c>
    </row>
    <row r="8" spans="1:4" ht="12.75">
      <c r="A8" s="4" t="s">
        <v>17</v>
      </c>
      <c r="B8" s="31">
        <f>SUM('FTEs &amp; onbrd'!B8)</f>
        <v>646</v>
      </c>
      <c r="C8" s="46">
        <f t="shared" si="0"/>
        <v>0.037545042427060325</v>
      </c>
      <c r="D8" s="31">
        <f t="shared" si="1"/>
        <v>62</v>
      </c>
    </row>
    <row r="9" spans="1:4" ht="12.75">
      <c r="A9" s="4" t="s">
        <v>18</v>
      </c>
      <c r="B9" s="31">
        <f>SUM('FTEs &amp; onbrd'!B9)</f>
        <v>539</v>
      </c>
      <c r="C9" s="46">
        <f t="shared" si="0"/>
        <v>0.03132628152969894</v>
      </c>
      <c r="D9" s="31">
        <f t="shared" si="1"/>
        <v>52</v>
      </c>
    </row>
    <row r="10" spans="1:4" ht="12.75">
      <c r="A10" s="4" t="s">
        <v>19</v>
      </c>
      <c r="B10" s="31">
        <f>SUM('FTEs &amp; onbrd'!B10)</f>
        <v>1617</v>
      </c>
      <c r="C10" s="46">
        <f t="shared" si="0"/>
        <v>0.09397884458909683</v>
      </c>
      <c r="D10" s="31">
        <f t="shared" si="1"/>
        <v>155</v>
      </c>
    </row>
    <row r="11" spans="1:4" ht="12.75">
      <c r="A11" s="4" t="s">
        <v>20</v>
      </c>
      <c r="B11" s="31">
        <f>SUM('FTEs &amp; onbrd'!B11)</f>
        <v>126</v>
      </c>
      <c r="C11" s="46">
        <f t="shared" si="0"/>
        <v>0.007323026851098454</v>
      </c>
      <c r="D11" s="31">
        <f t="shared" si="1"/>
        <v>12</v>
      </c>
    </row>
    <row r="12" spans="1:4" ht="12.75">
      <c r="A12" s="4" t="s">
        <v>21</v>
      </c>
      <c r="B12" s="31">
        <f>SUM('FTEs &amp; onbrd'!B12)</f>
        <v>548</v>
      </c>
      <c r="C12" s="46">
        <f t="shared" si="0"/>
        <v>0.03184935487620597</v>
      </c>
      <c r="D12" s="31">
        <f t="shared" si="1"/>
        <v>53</v>
      </c>
    </row>
    <row r="13" spans="1:4" ht="12.75">
      <c r="A13" s="4" t="s">
        <v>22</v>
      </c>
      <c r="B13" s="31">
        <f>SUM('FTEs &amp; onbrd'!B13)</f>
        <v>213</v>
      </c>
      <c r="C13" s="46">
        <f t="shared" si="0"/>
        <v>0.012379402533999767</v>
      </c>
      <c r="D13" s="31">
        <f t="shared" si="1"/>
        <v>20</v>
      </c>
    </row>
    <row r="14" spans="1:4" ht="12.75">
      <c r="A14" s="4" t="s">
        <v>23</v>
      </c>
      <c r="B14" s="31">
        <f>SUM('FTEs &amp; onbrd'!B14)</f>
        <v>668</v>
      </c>
      <c r="C14" s="46">
        <f t="shared" si="0"/>
        <v>0.038823666162966404</v>
      </c>
      <c r="D14" s="31">
        <f t="shared" si="1"/>
        <v>64</v>
      </c>
    </row>
    <row r="15" spans="1:4" ht="12.75">
      <c r="A15" s="4" t="s">
        <v>24</v>
      </c>
      <c r="B15" s="31">
        <f>SUM('FTEs &amp; onbrd'!B15)</f>
        <v>381</v>
      </c>
      <c r="C15" s="46">
        <f t="shared" si="0"/>
        <v>0.022143438335464373</v>
      </c>
      <c r="D15" s="31">
        <f t="shared" si="1"/>
        <v>37</v>
      </c>
    </row>
    <row r="16" spans="1:4" ht="12.75">
      <c r="A16" s="4" t="s">
        <v>25</v>
      </c>
      <c r="B16" s="31">
        <f>SUM('FTEs &amp; onbrd'!B16)</f>
        <v>214</v>
      </c>
      <c r="C16" s="46">
        <f t="shared" si="0"/>
        <v>0.012437521794722772</v>
      </c>
      <c r="D16" s="31">
        <f t="shared" si="1"/>
        <v>21</v>
      </c>
    </row>
    <row r="17" spans="1:4" ht="12.75">
      <c r="A17" s="4" t="s">
        <v>26</v>
      </c>
      <c r="B17" s="31">
        <f>SUM('FTEs &amp; onbrd'!B17)</f>
        <v>136</v>
      </c>
      <c r="C17" s="46">
        <f t="shared" si="0"/>
        <v>0.00790421945832849</v>
      </c>
      <c r="D17" s="31">
        <f t="shared" si="1"/>
        <v>13</v>
      </c>
    </row>
    <row r="18" spans="1:4" ht="12.75">
      <c r="A18" s="4" t="s">
        <v>27</v>
      </c>
      <c r="B18" s="31">
        <f>SUM('FTEs &amp; onbrd'!B18)</f>
        <v>641</v>
      </c>
      <c r="C18" s="46">
        <f t="shared" si="0"/>
        <v>0.03725444612344531</v>
      </c>
      <c r="D18" s="31">
        <f t="shared" si="1"/>
        <v>62</v>
      </c>
    </row>
    <row r="19" spans="1:4" ht="12.75">
      <c r="A19" s="4" t="s">
        <v>28</v>
      </c>
      <c r="B19" s="31">
        <f>SUM('FTEs &amp; onbrd'!B19)</f>
        <v>366</v>
      </c>
      <c r="C19" s="46">
        <f t="shared" si="0"/>
        <v>0.02127164942461932</v>
      </c>
      <c r="D19" s="31">
        <f t="shared" si="1"/>
        <v>35</v>
      </c>
    </row>
    <row r="20" spans="1:4" ht="12.75">
      <c r="A20" s="4" t="s">
        <v>29</v>
      </c>
      <c r="B20" s="31">
        <f>SUM('FTEs &amp; onbrd'!B20)</f>
        <v>227</v>
      </c>
      <c r="C20" s="46">
        <f t="shared" si="0"/>
        <v>0.013193072184121819</v>
      </c>
      <c r="D20" s="31">
        <f t="shared" si="1"/>
        <v>22</v>
      </c>
    </row>
    <row r="21" spans="1:4" ht="12.75">
      <c r="A21" s="4" t="s">
        <v>30</v>
      </c>
      <c r="B21" s="31">
        <f>SUM('FTEs &amp; onbrd'!B21)</f>
        <v>44</v>
      </c>
      <c r="C21" s="46">
        <f t="shared" si="0"/>
        <v>0.0025572474718121587</v>
      </c>
      <c r="D21" s="31">
        <f t="shared" si="1"/>
        <v>4</v>
      </c>
    </row>
    <row r="22" spans="1:4" ht="12.75">
      <c r="A22" s="4" t="s">
        <v>31</v>
      </c>
      <c r="B22" s="31">
        <f>SUM('FTEs &amp; onbrd'!B22)</f>
        <v>301</v>
      </c>
      <c r="C22" s="46">
        <f t="shared" si="0"/>
        <v>0.017493897477624084</v>
      </c>
      <c r="D22" s="31">
        <f t="shared" si="1"/>
        <v>29</v>
      </c>
    </row>
    <row r="23" spans="1:4" ht="12.75">
      <c r="A23" s="4" t="s">
        <v>32</v>
      </c>
      <c r="B23" s="31">
        <f>SUM('FTEs &amp; onbrd'!B23)</f>
        <v>50</v>
      </c>
      <c r="C23" s="46">
        <f t="shared" si="0"/>
        <v>0.00290596303615018</v>
      </c>
      <c r="D23" s="31">
        <f t="shared" si="1"/>
        <v>5</v>
      </c>
    </row>
    <row r="24" spans="1:4" ht="12.75">
      <c r="A24" s="4" t="s">
        <v>33</v>
      </c>
      <c r="B24" s="31">
        <f>SUM('FTEs &amp; onbrd'!B24)</f>
        <v>108</v>
      </c>
      <c r="C24" s="46">
        <f t="shared" si="0"/>
        <v>0.006276880158084389</v>
      </c>
      <c r="D24" s="31">
        <f t="shared" si="1"/>
        <v>10</v>
      </c>
    </row>
    <row r="25" spans="1:4" ht="12.75">
      <c r="A25" s="4" t="s">
        <v>34</v>
      </c>
      <c r="B25" s="31">
        <f>SUM('FTEs &amp; onbrd'!B25)</f>
        <v>76</v>
      </c>
      <c r="C25" s="46">
        <f t="shared" si="0"/>
        <v>0.0044170638149482735</v>
      </c>
      <c r="D25" s="31">
        <f t="shared" si="1"/>
        <v>7</v>
      </c>
    </row>
    <row r="26" spans="1:4" ht="12.75">
      <c r="A26" s="4" t="s">
        <v>35</v>
      </c>
      <c r="B26" s="31">
        <f>SUM('FTEs &amp; onbrd'!B26)</f>
        <v>29</v>
      </c>
      <c r="C26" s="46">
        <f t="shared" si="0"/>
        <v>0.0016854585609671045</v>
      </c>
      <c r="D26" s="31">
        <f t="shared" si="1"/>
        <v>3</v>
      </c>
    </row>
    <row r="27" spans="1:4" ht="12.75">
      <c r="A27" s="4" t="s">
        <v>36</v>
      </c>
      <c r="B27" s="31">
        <f>SUM('FTEs &amp; onbrd'!B27)</f>
        <v>54</v>
      </c>
      <c r="C27" s="46">
        <f t="shared" si="0"/>
        <v>0.0031384400790421944</v>
      </c>
      <c r="D27" s="31">
        <f t="shared" si="1"/>
        <v>5</v>
      </c>
    </row>
    <row r="28" spans="1:4" ht="12.75">
      <c r="A28" s="4" t="s">
        <v>37</v>
      </c>
      <c r="B28" s="31">
        <f>SUM('FTEs &amp; onbrd'!B28)</f>
        <v>662</v>
      </c>
      <c r="C28" s="46">
        <f t="shared" si="0"/>
        <v>0.038474950598628384</v>
      </c>
      <c r="D28" s="31">
        <f t="shared" si="1"/>
        <v>64</v>
      </c>
    </row>
    <row r="29" spans="1:4" ht="12.75">
      <c r="A29" s="4" t="s">
        <v>38</v>
      </c>
      <c r="B29" s="31">
        <f>SUM('FTEs &amp; onbrd'!B29)</f>
        <v>0</v>
      </c>
      <c r="C29" s="46">
        <f t="shared" si="0"/>
        <v>0</v>
      </c>
      <c r="D29" s="31">
        <f t="shared" si="1"/>
        <v>0</v>
      </c>
    </row>
    <row r="30" spans="1:4" ht="12.75">
      <c r="A30" s="4" t="s">
        <v>8</v>
      </c>
      <c r="B30" s="31">
        <f>SUM('FTEs &amp; onbrd'!B30)</f>
        <v>626</v>
      </c>
      <c r="C30" s="46">
        <f t="shared" si="0"/>
        <v>0.036382657212600256</v>
      </c>
      <c r="D30" s="31">
        <f t="shared" si="1"/>
        <v>60</v>
      </c>
    </row>
    <row r="31" spans="1:4" ht="12.75">
      <c r="A31" s="4" t="s">
        <v>51</v>
      </c>
      <c r="B31" s="31">
        <f>SUM('FTEs &amp; onbrd'!B31)</f>
        <v>1101</v>
      </c>
      <c r="C31" s="46">
        <f t="shared" si="0"/>
        <v>0.06398930605602697</v>
      </c>
      <c r="D31" s="31">
        <f t="shared" si="1"/>
        <v>106</v>
      </c>
    </row>
    <row r="32" spans="1:4" ht="12.75">
      <c r="A32" s="4" t="s">
        <v>39</v>
      </c>
      <c r="B32" s="31">
        <f>SUM('FTEs &amp; onbrd'!B32)</f>
        <v>1857</v>
      </c>
      <c r="C32" s="46">
        <f t="shared" si="0"/>
        <v>0.1079274671626177</v>
      </c>
      <c r="D32" s="31">
        <f t="shared" si="1"/>
        <v>179</v>
      </c>
    </row>
    <row r="33" spans="1:4" ht="12.75">
      <c r="A33" s="4" t="s">
        <v>5</v>
      </c>
      <c r="B33" s="31">
        <f>SUM('FTEs &amp; onbrd'!B33)</f>
        <v>297</v>
      </c>
      <c r="C33" s="46">
        <f t="shared" si="0"/>
        <v>0.01726142043473207</v>
      </c>
      <c r="D33" s="31">
        <f t="shared" si="1"/>
        <v>29</v>
      </c>
    </row>
    <row r="34" spans="1:4" ht="12.75">
      <c r="A34" s="4" t="s">
        <v>6</v>
      </c>
      <c r="B34" s="31">
        <f>SUM('FTEs &amp; onbrd'!B34)</f>
        <v>383</v>
      </c>
      <c r="C34" s="46">
        <f t="shared" si="0"/>
        <v>0.02225967685691038</v>
      </c>
      <c r="D34" s="31">
        <f t="shared" si="1"/>
        <v>37</v>
      </c>
    </row>
    <row r="35" spans="1:4" ht="12.75">
      <c r="A35" s="4" t="s">
        <v>9</v>
      </c>
      <c r="B35" s="31">
        <f>SUM('FTEs &amp; onbrd'!B35)</f>
        <v>624</v>
      </c>
      <c r="C35" s="46">
        <f t="shared" si="0"/>
        <v>0.03626641869115425</v>
      </c>
      <c r="D35" s="31">
        <f t="shared" si="1"/>
        <v>60</v>
      </c>
    </row>
    <row r="36" spans="1:4" ht="12.75">
      <c r="A36" s="4" t="s">
        <v>145</v>
      </c>
      <c r="B36" s="31">
        <f>SUM('FTEs &amp; onbrd'!B36)</f>
        <v>507</v>
      </c>
      <c r="C36" s="46">
        <f t="shared" si="0"/>
        <v>0.02946646518656283</v>
      </c>
      <c r="D36" s="31">
        <f t="shared" si="1"/>
        <v>49</v>
      </c>
    </row>
    <row r="37" spans="1:6" ht="12.75">
      <c r="A37" s="4" t="s">
        <v>128</v>
      </c>
      <c r="B37" s="36">
        <f>SUM('FTEs &amp; onbrd'!B37)</f>
        <v>272</v>
      </c>
      <c r="C37" s="46">
        <f t="shared" si="0"/>
        <v>0.01580843891665698</v>
      </c>
      <c r="D37" s="36">
        <f t="shared" si="1"/>
        <v>26</v>
      </c>
      <c r="F37" s="70"/>
    </row>
    <row r="38" spans="1:6" ht="12.75">
      <c r="A38" s="20" t="s">
        <v>40</v>
      </c>
      <c r="B38" s="43">
        <f>SUM(B5:B37)</f>
        <v>17206</v>
      </c>
      <c r="C38" s="47">
        <f>SUM(C5:C37)</f>
        <v>1</v>
      </c>
      <c r="D38" s="53">
        <f>SUM(D5:D37)</f>
        <v>1654</v>
      </c>
      <c r="F38" s="70"/>
    </row>
    <row r="39" ht="12.75">
      <c r="A39" s="23" t="s">
        <v>320</v>
      </c>
    </row>
    <row r="40" ht="12.75">
      <c r="A40" s="23" t="s">
        <v>152</v>
      </c>
    </row>
    <row r="41" ht="12.75">
      <c r="A41" s="23" t="s">
        <v>153</v>
      </c>
    </row>
    <row r="42" ht="12.75">
      <c r="A42" s="130"/>
    </row>
    <row r="43" ht="12.75">
      <c r="D43" s="92">
        <v>1654</v>
      </c>
    </row>
  </sheetData>
  <mergeCells count="3">
    <mergeCell ref="B3:D3"/>
    <mergeCell ref="A2:D2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2:J45"/>
  <sheetViews>
    <sheetView workbookViewId="0" topLeftCell="A15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140625" style="0" customWidth="1"/>
    <col min="7" max="8" width="0" style="0" hidden="1" customWidth="1"/>
    <col min="9" max="9" width="10.00390625" style="0" hidden="1" customWidth="1"/>
  </cols>
  <sheetData>
    <row r="2" ht="18">
      <c r="A2" s="25" t="s">
        <v>119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10" ht="12.75">
      <c r="A5" s="4" t="s">
        <v>0</v>
      </c>
      <c r="B5" s="32">
        <v>1563564</v>
      </c>
      <c r="C5" s="71">
        <f>SUM(B5/$B$38)</f>
        <v>0.17118559152574586</v>
      </c>
      <c r="D5" s="34">
        <f>ROUND(C5*$D$43,0)-1</f>
        <v>1490</v>
      </c>
      <c r="I5" s="33"/>
      <c r="J5" s="62"/>
    </row>
    <row r="6" spans="1:10" ht="12.75">
      <c r="A6" s="4" t="s">
        <v>15</v>
      </c>
      <c r="B6" s="32">
        <v>451199</v>
      </c>
      <c r="C6" s="71">
        <f>SUM(B6/$B$38)</f>
        <v>0.04939917247443981</v>
      </c>
      <c r="D6" s="32">
        <f>ROUND(C6*$D$43,0)</f>
        <v>430</v>
      </c>
      <c r="I6" s="33"/>
      <c r="J6" s="62"/>
    </row>
    <row r="7" spans="1:10" ht="12.75">
      <c r="A7" s="4" t="s">
        <v>16</v>
      </c>
      <c r="B7" s="33">
        <v>172829</v>
      </c>
      <c r="C7" s="71">
        <f aca="true" t="shared" si="0" ref="C7:C36">SUM(B7/$B$38)</f>
        <v>0.01892204898411778</v>
      </c>
      <c r="D7" s="32">
        <f aca="true" t="shared" si="1" ref="D7:D36">ROUND(C7*$D$43,0)</f>
        <v>165</v>
      </c>
      <c r="I7" s="33"/>
      <c r="J7" s="62"/>
    </row>
    <row r="8" spans="1:10" ht="12.75">
      <c r="A8" s="4" t="s">
        <v>17</v>
      </c>
      <c r="B8" s="33">
        <v>501058</v>
      </c>
      <c r="C8" s="71">
        <f t="shared" si="0"/>
        <v>0.054857946408786065</v>
      </c>
      <c r="D8" s="32">
        <f t="shared" si="1"/>
        <v>478</v>
      </c>
      <c r="I8" s="33"/>
      <c r="J8" s="62"/>
    </row>
    <row r="9" spans="1:10" ht="12.75">
      <c r="A9" s="4" t="s">
        <v>18</v>
      </c>
      <c r="B9" s="32">
        <v>358545</v>
      </c>
      <c r="C9" s="71">
        <f t="shared" si="0"/>
        <v>0.03925502116549022</v>
      </c>
      <c r="D9" s="32">
        <f t="shared" si="1"/>
        <v>342</v>
      </c>
      <c r="I9" s="33"/>
      <c r="J9" s="62"/>
    </row>
    <row r="10" spans="1:10" ht="12.75">
      <c r="A10" s="4" t="s">
        <v>19</v>
      </c>
      <c r="B10" s="32">
        <v>1016571</v>
      </c>
      <c r="C10" s="71">
        <f t="shared" si="0"/>
        <v>0.11129848727837109</v>
      </c>
      <c r="D10" s="32">
        <f t="shared" si="1"/>
        <v>969</v>
      </c>
      <c r="I10" s="33"/>
      <c r="J10" s="62"/>
    </row>
    <row r="11" spans="1:10" ht="12.75">
      <c r="A11" s="4" t="s">
        <v>20</v>
      </c>
      <c r="B11" s="32">
        <v>78152</v>
      </c>
      <c r="C11" s="71">
        <f t="shared" si="0"/>
        <v>0.008556411089613275</v>
      </c>
      <c r="D11" s="32">
        <f t="shared" si="1"/>
        <v>75</v>
      </c>
      <c r="I11" s="33"/>
      <c r="J11" s="62"/>
    </row>
    <row r="12" spans="1:10" ht="12.75">
      <c r="A12" s="4" t="s">
        <v>21</v>
      </c>
      <c r="B12" s="32">
        <v>395212</v>
      </c>
      <c r="C12" s="71">
        <f t="shared" si="0"/>
        <v>0.043269479214201066</v>
      </c>
      <c r="D12" s="32">
        <f t="shared" si="1"/>
        <v>377</v>
      </c>
      <c r="I12" s="33"/>
      <c r="J12" s="62"/>
    </row>
    <row r="13" spans="1:10" ht="12.75">
      <c r="A13" s="4" t="s">
        <v>22</v>
      </c>
      <c r="B13" s="32">
        <v>163342</v>
      </c>
      <c r="C13" s="71">
        <f t="shared" si="0"/>
        <v>0.017883372149140285</v>
      </c>
      <c r="D13" s="32">
        <f t="shared" si="1"/>
        <v>156</v>
      </c>
      <c r="I13" s="33"/>
      <c r="J13" s="62"/>
    </row>
    <row r="14" spans="1:10" ht="12.75">
      <c r="A14" s="4" t="s">
        <v>23</v>
      </c>
      <c r="B14" s="32">
        <v>378757</v>
      </c>
      <c r="C14" s="71">
        <f t="shared" si="0"/>
        <v>0.04146791630500378</v>
      </c>
      <c r="D14" s="32">
        <f t="shared" si="1"/>
        <v>361</v>
      </c>
      <c r="I14" s="33"/>
      <c r="J14" s="62"/>
    </row>
    <row r="15" spans="1:10" ht="12.75">
      <c r="A15" s="4" t="s">
        <v>24</v>
      </c>
      <c r="B15" s="32">
        <v>279436</v>
      </c>
      <c r="C15" s="71">
        <f t="shared" si="0"/>
        <v>0.030593833673318343</v>
      </c>
      <c r="D15" s="32">
        <f t="shared" si="1"/>
        <v>266</v>
      </c>
      <c r="I15" s="33"/>
      <c r="J15" s="62"/>
    </row>
    <row r="16" spans="1:10" ht="12.75">
      <c r="A16" s="4" t="s">
        <v>25</v>
      </c>
      <c r="B16" s="32">
        <v>150864</v>
      </c>
      <c r="C16" s="71">
        <f t="shared" si="0"/>
        <v>0.016517227999583085</v>
      </c>
      <c r="D16" s="32">
        <f t="shared" si="1"/>
        <v>144</v>
      </c>
      <c r="I16" s="33"/>
      <c r="J16" s="62"/>
    </row>
    <row r="17" spans="1:10" ht="12.75">
      <c r="A17" s="4" t="s">
        <v>26</v>
      </c>
      <c r="B17" s="32">
        <v>96889</v>
      </c>
      <c r="C17" s="71">
        <f t="shared" si="0"/>
        <v>0.010607816998433061</v>
      </c>
      <c r="D17" s="32">
        <f t="shared" si="1"/>
        <v>92</v>
      </c>
      <c r="I17" s="33"/>
      <c r="J17" s="62"/>
    </row>
    <row r="18" spans="1:10" ht="12.75">
      <c r="A18" s="4" t="s">
        <v>27</v>
      </c>
      <c r="B18" s="32">
        <v>318008</v>
      </c>
      <c r="C18" s="71">
        <f t="shared" si="0"/>
        <v>0.0348168591691286</v>
      </c>
      <c r="D18" s="32">
        <f t="shared" si="1"/>
        <v>303</v>
      </c>
      <c r="I18" s="33"/>
      <c r="J18" s="62"/>
    </row>
    <row r="19" spans="1:10" ht="12.75">
      <c r="A19" s="4" t="s">
        <v>28</v>
      </c>
      <c r="B19" s="32">
        <v>180197</v>
      </c>
      <c r="C19" s="71">
        <f t="shared" si="0"/>
        <v>0.01972872874801724</v>
      </c>
      <c r="D19" s="32">
        <f t="shared" si="1"/>
        <v>172</v>
      </c>
      <c r="I19" s="33"/>
      <c r="J19" s="62"/>
    </row>
    <row r="20" spans="1:10" ht="12.75">
      <c r="A20" s="4" t="s">
        <v>29</v>
      </c>
      <c r="B20" s="32">
        <v>124737</v>
      </c>
      <c r="C20" s="71">
        <f t="shared" si="0"/>
        <v>0.013656733673931457</v>
      </c>
      <c r="D20" s="32">
        <f t="shared" si="1"/>
        <v>119</v>
      </c>
      <c r="I20" s="33"/>
      <c r="J20" s="62"/>
    </row>
    <row r="21" spans="1:10" ht="12.75">
      <c r="A21" s="4" t="s">
        <v>30</v>
      </c>
      <c r="B21" s="32">
        <v>22465</v>
      </c>
      <c r="C21" s="71">
        <f t="shared" si="0"/>
        <v>0.0024595630966342797</v>
      </c>
      <c r="D21" s="32">
        <f t="shared" si="1"/>
        <v>21</v>
      </c>
      <c r="I21" s="33"/>
      <c r="J21" s="62"/>
    </row>
    <row r="22" spans="1:10" ht="12.75">
      <c r="A22" s="4" t="s">
        <v>31</v>
      </c>
      <c r="B22" s="32">
        <v>274861</v>
      </c>
      <c r="C22" s="71">
        <f t="shared" si="0"/>
        <v>0.030092943347607155</v>
      </c>
      <c r="D22" s="32">
        <f t="shared" si="1"/>
        <v>262</v>
      </c>
      <c r="I22" s="33"/>
      <c r="J22" s="62"/>
    </row>
    <row r="23" spans="1:10" ht="12.75">
      <c r="A23" s="4" t="s">
        <v>32</v>
      </c>
      <c r="B23" s="32">
        <v>27545</v>
      </c>
      <c r="C23" s="71">
        <f t="shared" si="0"/>
        <v>0.0030157429555660465</v>
      </c>
      <c r="D23" s="32">
        <f t="shared" si="1"/>
        <v>26</v>
      </c>
      <c r="I23" s="33"/>
      <c r="J23" s="62"/>
    </row>
    <row r="24" spans="1:10" ht="12.75">
      <c r="A24" s="4" t="s">
        <v>33</v>
      </c>
      <c r="B24" s="32">
        <v>36946</v>
      </c>
      <c r="C24" s="71">
        <f t="shared" si="0"/>
        <v>0.004045004147262413</v>
      </c>
      <c r="D24" s="32">
        <f t="shared" si="1"/>
        <v>35</v>
      </c>
      <c r="I24" s="33"/>
      <c r="J24" s="62"/>
    </row>
    <row r="25" spans="1:10" ht="12.75">
      <c r="A25" s="4" t="s">
        <v>34</v>
      </c>
      <c r="B25" s="32">
        <v>31232</v>
      </c>
      <c r="C25" s="71">
        <f t="shared" si="0"/>
        <v>0.003419411290188374</v>
      </c>
      <c r="D25" s="32">
        <f t="shared" si="1"/>
        <v>30</v>
      </c>
      <c r="I25" s="33"/>
      <c r="J25" s="62"/>
    </row>
    <row r="26" spans="1:10" ht="12.75">
      <c r="A26" s="4" t="s">
        <v>35</v>
      </c>
      <c r="B26" s="32">
        <v>14000</v>
      </c>
      <c r="C26" s="71">
        <f t="shared" si="0"/>
        <v>0.0015327791387883336</v>
      </c>
      <c r="D26" s="32">
        <f t="shared" si="1"/>
        <v>13</v>
      </c>
      <c r="I26" s="33"/>
      <c r="J26" s="62"/>
    </row>
    <row r="27" spans="1:10" ht="12.75">
      <c r="A27" s="4" t="s">
        <v>36</v>
      </c>
      <c r="B27" s="32">
        <v>19600</v>
      </c>
      <c r="C27" s="71">
        <f t="shared" si="0"/>
        <v>0.0021458907943036672</v>
      </c>
      <c r="D27" s="32">
        <f t="shared" si="1"/>
        <v>19</v>
      </c>
      <c r="I27" s="33"/>
      <c r="J27" s="62"/>
    </row>
    <row r="28" spans="1:10" ht="12.75">
      <c r="A28" s="4" t="s">
        <v>37</v>
      </c>
      <c r="B28" s="32">
        <v>128390</v>
      </c>
      <c r="C28" s="71">
        <f t="shared" si="0"/>
        <v>0.014056679544931013</v>
      </c>
      <c r="D28" s="32">
        <f t="shared" si="1"/>
        <v>122</v>
      </c>
      <c r="I28" s="33"/>
      <c r="J28" s="62"/>
    </row>
    <row r="29" spans="1:10" ht="12.75">
      <c r="A29" s="4" t="s">
        <v>38</v>
      </c>
      <c r="B29" s="144">
        <v>0</v>
      </c>
      <c r="C29" s="71">
        <f t="shared" si="0"/>
        <v>0</v>
      </c>
      <c r="D29" s="32">
        <f t="shared" si="1"/>
        <v>0</v>
      </c>
      <c r="I29" s="33"/>
      <c r="J29" s="62"/>
    </row>
    <row r="30" spans="1:10" ht="12.75">
      <c r="A30" s="4" t="s">
        <v>8</v>
      </c>
      <c r="B30" s="32">
        <v>261239</v>
      </c>
      <c r="C30" s="71">
        <f t="shared" si="0"/>
        <v>0.02860154924556611</v>
      </c>
      <c r="D30" s="32">
        <f t="shared" si="1"/>
        <v>249</v>
      </c>
      <c r="I30" s="33"/>
      <c r="J30" s="62"/>
    </row>
    <row r="31" spans="1:10" ht="12.75">
      <c r="A31" s="4" t="s">
        <v>51</v>
      </c>
      <c r="B31" s="32">
        <v>883945</v>
      </c>
      <c r="C31" s="71">
        <f t="shared" si="0"/>
        <v>0.0967780325597324</v>
      </c>
      <c r="D31" s="32">
        <f t="shared" si="1"/>
        <v>843</v>
      </c>
      <c r="I31" s="33"/>
      <c r="J31" s="62"/>
    </row>
    <row r="32" spans="1:10" ht="12.75">
      <c r="A32" s="4" t="s">
        <v>39</v>
      </c>
      <c r="B32" s="32">
        <v>353807</v>
      </c>
      <c r="C32" s="71">
        <f t="shared" si="0"/>
        <v>0.03873628491123457</v>
      </c>
      <c r="D32" s="32">
        <f t="shared" si="1"/>
        <v>337</v>
      </c>
      <c r="I32" s="33"/>
      <c r="J32" s="62"/>
    </row>
    <row r="33" spans="1:10" ht="12.75">
      <c r="A33" s="4" t="s">
        <v>5</v>
      </c>
      <c r="B33" s="33">
        <v>148972</v>
      </c>
      <c r="C33" s="71">
        <f t="shared" si="0"/>
        <v>0.016310083847398262</v>
      </c>
      <c r="D33" s="32">
        <f t="shared" si="1"/>
        <v>142</v>
      </c>
      <c r="I33" s="33"/>
      <c r="J33" s="62"/>
    </row>
    <row r="34" spans="1:10" ht="12.75">
      <c r="A34" s="4" t="s">
        <v>6</v>
      </c>
      <c r="B34" s="32">
        <v>135365</v>
      </c>
      <c r="C34" s="71">
        <f t="shared" si="0"/>
        <v>0.0148203320087202</v>
      </c>
      <c r="D34" s="32">
        <f t="shared" si="1"/>
        <v>129</v>
      </c>
      <c r="J34" s="62"/>
    </row>
    <row r="35" spans="1:10" ht="12.75">
      <c r="A35" s="4" t="s">
        <v>9</v>
      </c>
      <c r="B35" s="32">
        <v>455037</v>
      </c>
      <c r="C35" s="71">
        <f t="shared" si="0"/>
        <v>0.04981937292691622</v>
      </c>
      <c r="D35" s="32">
        <f t="shared" si="1"/>
        <v>434</v>
      </c>
      <c r="J35" s="62"/>
    </row>
    <row r="36" spans="1:10" ht="12.75">
      <c r="A36" s="4" t="s">
        <v>145</v>
      </c>
      <c r="B36" s="31">
        <v>110972</v>
      </c>
      <c r="C36" s="71">
        <f t="shared" si="0"/>
        <v>0.012149683327829926</v>
      </c>
      <c r="D36" s="32">
        <f t="shared" si="1"/>
        <v>106</v>
      </c>
      <c r="F36" s="145"/>
      <c r="J36" s="62"/>
    </row>
    <row r="37" spans="1:10" ht="12.75">
      <c r="A37" s="4" t="s">
        <v>128</v>
      </c>
      <c r="B37" s="18"/>
      <c r="C37" s="17"/>
      <c r="D37" s="18"/>
      <c r="J37" s="62"/>
    </row>
    <row r="38" spans="1:10" ht="12.75">
      <c r="A38" s="20" t="s">
        <v>40</v>
      </c>
      <c r="B38" s="36">
        <f>SUM(B5:B37)</f>
        <v>9133736</v>
      </c>
      <c r="C38" s="80">
        <f>SUM(C5:C36)</f>
        <v>1.0000000000000002</v>
      </c>
      <c r="D38" s="50">
        <f>SUM(D5:D37)</f>
        <v>8707</v>
      </c>
      <c r="J38" s="62"/>
    </row>
    <row r="39" spans="1:10" ht="12.75">
      <c r="A39" s="23" t="s">
        <v>306</v>
      </c>
      <c r="B39" s="33"/>
      <c r="G39">
        <v>10679</v>
      </c>
      <c r="H39" t="s">
        <v>121</v>
      </c>
      <c r="J39" s="62"/>
    </row>
    <row r="40" spans="7:10" ht="12.75">
      <c r="G40">
        <v>-1900</v>
      </c>
      <c r="H40" t="s">
        <v>233</v>
      </c>
      <c r="J40" s="62"/>
    </row>
    <row r="41" ht="12.75">
      <c r="G41">
        <f>SUM(G39:G40)</f>
        <v>8779</v>
      </c>
    </row>
    <row r="43" spans="4:9" ht="12.75">
      <c r="D43" s="92">
        <v>8707</v>
      </c>
      <c r="I43">
        <v>11679</v>
      </c>
    </row>
    <row r="44" ht="12.75">
      <c r="I44">
        <v>-2972</v>
      </c>
    </row>
    <row r="45" ht="12.75">
      <c r="I45">
        <f>SUM(I43:I44)</f>
        <v>8707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2:D43"/>
  <sheetViews>
    <sheetView workbookViewId="0" topLeftCell="A20">
      <selection activeCell="O9" sqref="O9"/>
    </sheetView>
  </sheetViews>
  <sheetFormatPr defaultColWidth="9.140625" defaultRowHeight="12.75"/>
  <cols>
    <col min="1" max="1" width="9.7109375" style="0" customWidth="1"/>
    <col min="2" max="3" width="14.7109375" style="0" customWidth="1"/>
    <col min="4" max="4" width="10.7109375" style="0" customWidth="1"/>
    <col min="5" max="5" width="1.8515625" style="0" customWidth="1"/>
  </cols>
  <sheetData>
    <row r="2" ht="18">
      <c r="A2" s="25" t="s">
        <v>76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129</v>
      </c>
      <c r="C4" s="21" t="s">
        <v>42</v>
      </c>
      <c r="D4" s="22" t="s">
        <v>43</v>
      </c>
    </row>
    <row r="5" spans="1:4" ht="12.75">
      <c r="A5" s="4" t="s">
        <v>0</v>
      </c>
      <c r="B5" s="34">
        <f>SUM('FY07 PB'!B6)</f>
        <v>4688307</v>
      </c>
      <c r="C5" s="46">
        <f>SUM(B5/$B$38)</f>
        <v>0.16859059401602275</v>
      </c>
      <c r="D5" s="34">
        <f>ROUND(C5*$D$43,0)</f>
        <v>1060</v>
      </c>
    </row>
    <row r="6" spans="1:4" ht="12.75">
      <c r="A6" s="4" t="s">
        <v>15</v>
      </c>
      <c r="B6" s="31">
        <f>SUM('FY07 PB'!B7)</f>
        <v>2865993</v>
      </c>
      <c r="C6" s="46">
        <f aca="true" t="shared" si="0" ref="C6:C30">SUM(B6/$B$38)</f>
        <v>0.10306054239105142</v>
      </c>
      <c r="D6" s="32">
        <f>ROUND(C6*$D$43,0)</f>
        <v>648</v>
      </c>
    </row>
    <row r="7" spans="1:4" ht="12.75">
      <c r="A7" s="4" t="s">
        <v>16</v>
      </c>
      <c r="B7" s="31">
        <f>SUM('FY07 PB'!B8)</f>
        <v>381434</v>
      </c>
      <c r="C7" s="46">
        <f t="shared" si="0"/>
        <v>0.013716291326038936</v>
      </c>
      <c r="D7" s="32">
        <f>ROUND(C7*$D$43,0)</f>
        <v>86</v>
      </c>
    </row>
    <row r="8" spans="1:4" ht="12.75">
      <c r="A8" s="4" t="s">
        <v>17</v>
      </c>
      <c r="B8" s="31">
        <f>SUM('FY07 PB'!B9)</f>
        <v>1823846</v>
      </c>
      <c r="C8" s="46">
        <f t="shared" si="0"/>
        <v>0.06558514204247867</v>
      </c>
      <c r="D8" s="32">
        <f aca="true" t="shared" si="1" ref="D8:D30">ROUND(C8*$D$43,0)</f>
        <v>412</v>
      </c>
    </row>
    <row r="9" spans="1:4" ht="12.75">
      <c r="A9" s="4" t="s">
        <v>18</v>
      </c>
      <c r="B9" s="31">
        <f>SUM('FY07 PB'!B10)</f>
        <v>1506344</v>
      </c>
      <c r="C9" s="46">
        <f t="shared" si="0"/>
        <v>0.054167832813096874</v>
      </c>
      <c r="D9" s="32">
        <f t="shared" si="1"/>
        <v>341</v>
      </c>
    </row>
    <row r="10" spans="1:4" ht="12.75">
      <c r="A10" s="4" t="s">
        <v>19</v>
      </c>
      <c r="B10" s="31">
        <f>SUM('FY07 PB'!B11)</f>
        <v>4343644</v>
      </c>
      <c r="C10" s="46">
        <f t="shared" si="0"/>
        <v>0.15619658058956742</v>
      </c>
      <c r="D10" s="32">
        <f t="shared" si="1"/>
        <v>982</v>
      </c>
    </row>
    <row r="11" spans="1:4" ht="12.75">
      <c r="A11" s="4" t="s">
        <v>20</v>
      </c>
      <c r="B11" s="31">
        <f>SUM('FY07 PB'!B12)</f>
        <v>1900262</v>
      </c>
      <c r="C11" s="46">
        <f t="shared" si="0"/>
        <v>0.06833304631417597</v>
      </c>
      <c r="D11" s="32">
        <f t="shared" si="1"/>
        <v>430</v>
      </c>
    </row>
    <row r="12" spans="1:4" ht="12.75">
      <c r="A12" s="4" t="s">
        <v>21</v>
      </c>
      <c r="B12" s="31">
        <f>SUM('FY07 PB'!B13)</f>
        <v>1242239</v>
      </c>
      <c r="C12" s="46">
        <f t="shared" si="0"/>
        <v>0.04467066916050295</v>
      </c>
      <c r="D12" s="32">
        <f t="shared" si="1"/>
        <v>281</v>
      </c>
    </row>
    <row r="13" spans="1:4" ht="12.75">
      <c r="A13" s="4" t="s">
        <v>22</v>
      </c>
      <c r="B13" s="31">
        <f>SUM('FY07 PB'!B14)</f>
        <v>653375</v>
      </c>
      <c r="C13" s="46">
        <f t="shared" si="0"/>
        <v>0.02349523599141841</v>
      </c>
      <c r="D13" s="32">
        <f t="shared" si="1"/>
        <v>148</v>
      </c>
    </row>
    <row r="14" spans="1:4" ht="12.75">
      <c r="A14" s="4" t="s">
        <v>23</v>
      </c>
      <c r="B14" s="31">
        <f>SUM('FY07 PB'!B15)</f>
        <v>629630</v>
      </c>
      <c r="C14" s="46">
        <f t="shared" si="0"/>
        <v>0.022641370479857315</v>
      </c>
      <c r="D14" s="32">
        <f t="shared" si="1"/>
        <v>142</v>
      </c>
    </row>
    <row r="15" spans="1:4" ht="12.75">
      <c r="A15" s="4" t="s">
        <v>24</v>
      </c>
      <c r="B15" s="31">
        <f>SUM('FY07 PB'!B16)</f>
        <v>1027276</v>
      </c>
      <c r="C15" s="46">
        <f t="shared" si="0"/>
        <v>0.036940642124844596</v>
      </c>
      <c r="D15" s="32">
        <f t="shared" si="1"/>
        <v>232</v>
      </c>
    </row>
    <row r="16" spans="1:4" ht="12.75">
      <c r="A16" s="4" t="s">
        <v>25</v>
      </c>
      <c r="B16" s="31">
        <f>SUM('FY07 PB'!B17)</f>
        <v>498443</v>
      </c>
      <c r="C16" s="46">
        <f t="shared" si="0"/>
        <v>0.01792391186266779</v>
      </c>
      <c r="D16" s="32">
        <f t="shared" si="1"/>
        <v>113</v>
      </c>
    </row>
    <row r="17" spans="1:4" ht="12.75">
      <c r="A17" s="4" t="s">
        <v>26</v>
      </c>
      <c r="B17" s="31">
        <f>SUM('FY07 PB'!B18)</f>
        <v>386829</v>
      </c>
      <c r="C17" s="46">
        <f t="shared" si="0"/>
        <v>0.013910294460798762</v>
      </c>
      <c r="D17" s="32">
        <f t="shared" si="1"/>
        <v>87</v>
      </c>
    </row>
    <row r="18" spans="1:4" ht="12.75">
      <c r="A18" s="4" t="s">
        <v>27</v>
      </c>
      <c r="B18" s="31">
        <f>SUM('FY07 PB'!B19)</f>
        <v>1377969</v>
      </c>
      <c r="C18" s="46">
        <f t="shared" si="0"/>
        <v>0.04955149316067929</v>
      </c>
      <c r="D18" s="32">
        <f t="shared" si="1"/>
        <v>312</v>
      </c>
    </row>
    <row r="19" spans="1:4" ht="12.75">
      <c r="A19" s="4" t="s">
        <v>28</v>
      </c>
      <c r="B19" s="31">
        <f>SUM('FY07 PB'!B20)</f>
        <v>982820</v>
      </c>
      <c r="C19" s="46">
        <f t="shared" si="0"/>
        <v>0.035342013142660555</v>
      </c>
      <c r="D19" s="32">
        <f t="shared" si="1"/>
        <v>222</v>
      </c>
    </row>
    <row r="20" spans="1:4" ht="12.75">
      <c r="A20" s="4" t="s">
        <v>29</v>
      </c>
      <c r="B20" s="31">
        <f>SUM('FY07 PB'!B21)</f>
        <v>428087</v>
      </c>
      <c r="C20" s="46">
        <f t="shared" si="0"/>
        <v>0.015393923994426375</v>
      </c>
      <c r="D20" s="32">
        <f t="shared" si="1"/>
        <v>97</v>
      </c>
    </row>
    <row r="21" spans="1:4" ht="12.75">
      <c r="A21" s="4" t="s">
        <v>30</v>
      </c>
      <c r="B21" s="31">
        <f>SUM('FY07 PB'!B22)</f>
        <v>134902</v>
      </c>
      <c r="C21" s="46">
        <f t="shared" si="0"/>
        <v>0.0048510492836645516</v>
      </c>
      <c r="D21" s="32">
        <f t="shared" si="1"/>
        <v>31</v>
      </c>
    </row>
    <row r="22" spans="1:4" ht="12.75">
      <c r="A22" s="4" t="s">
        <v>31</v>
      </c>
      <c r="B22" s="31">
        <f>SUM('FY07 PB'!B23)</f>
        <v>477112</v>
      </c>
      <c r="C22" s="46">
        <f t="shared" si="0"/>
        <v>0.017156853314463545</v>
      </c>
      <c r="D22" s="32">
        <f t="shared" si="1"/>
        <v>108</v>
      </c>
    </row>
    <row r="23" spans="1:4" ht="12.75">
      <c r="A23" s="4" t="s">
        <v>32</v>
      </c>
      <c r="B23" s="31">
        <f>SUM('FY07 PB'!B24)</f>
        <v>291291</v>
      </c>
      <c r="C23" s="46">
        <f t="shared" si="0"/>
        <v>0.010474766844731219</v>
      </c>
      <c r="D23" s="32">
        <f t="shared" si="1"/>
        <v>66</v>
      </c>
    </row>
    <row r="24" spans="1:4" ht="12.75">
      <c r="A24" s="4" t="s">
        <v>33</v>
      </c>
      <c r="B24" s="31">
        <f>SUM('FY07 PB'!B25)</f>
        <v>1084985</v>
      </c>
      <c r="C24" s="46">
        <f t="shared" si="0"/>
        <v>0.03901584637023012</v>
      </c>
      <c r="D24" s="32">
        <f t="shared" si="1"/>
        <v>245</v>
      </c>
    </row>
    <row r="25" spans="1:4" ht="12.75">
      <c r="A25" s="4" t="s">
        <v>34</v>
      </c>
      <c r="B25" s="31">
        <f>SUM('FY07 PB'!B26)</f>
        <v>119099</v>
      </c>
      <c r="C25" s="46">
        <f t="shared" si="0"/>
        <v>0.004282776523959351</v>
      </c>
      <c r="D25" s="32">
        <f t="shared" si="1"/>
        <v>27</v>
      </c>
    </row>
    <row r="26" spans="1:4" ht="12.75">
      <c r="A26" s="4" t="s">
        <v>35</v>
      </c>
      <c r="B26" s="31">
        <f>SUM('FY07 PB'!B27)</f>
        <v>191954</v>
      </c>
      <c r="C26" s="46">
        <f t="shared" si="0"/>
        <v>0.006902627938774409</v>
      </c>
      <c r="D26" s="32">
        <f t="shared" si="1"/>
        <v>43</v>
      </c>
    </row>
    <row r="27" spans="1:4" ht="12.75">
      <c r="A27" s="4" t="s">
        <v>36</v>
      </c>
      <c r="B27" s="31">
        <f>SUM('FY07 PB'!B28)</f>
        <v>65876</v>
      </c>
      <c r="C27" s="46">
        <f t="shared" si="0"/>
        <v>0.0023688879528152734</v>
      </c>
      <c r="D27" s="32">
        <f t="shared" si="1"/>
        <v>15</v>
      </c>
    </row>
    <row r="28" spans="1:4" ht="12.75">
      <c r="A28" s="4" t="s">
        <v>37</v>
      </c>
      <c r="B28" s="31">
        <f>SUM('FY07 PB'!B29)</f>
        <v>309487</v>
      </c>
      <c r="C28" s="46">
        <f t="shared" si="0"/>
        <v>0.011129091411939712</v>
      </c>
      <c r="D28" s="32">
        <f t="shared" si="1"/>
        <v>70</v>
      </c>
    </row>
    <row r="29" spans="1:4" ht="12.75">
      <c r="A29" s="4" t="s">
        <v>38</v>
      </c>
      <c r="B29" s="31">
        <f>SUM('FY07 PB'!B30)</f>
        <v>0</v>
      </c>
      <c r="C29" s="46">
        <f t="shared" si="0"/>
        <v>0</v>
      </c>
      <c r="D29" s="32">
        <f t="shared" si="1"/>
        <v>0</v>
      </c>
    </row>
    <row r="30" spans="1:4" ht="12.75">
      <c r="A30" s="4" t="s">
        <v>8</v>
      </c>
      <c r="B30" s="31">
        <f>SUM('FY07 PB'!B31)</f>
        <v>397625</v>
      </c>
      <c r="C30" s="46">
        <f t="shared" si="0"/>
        <v>0.01429851648913372</v>
      </c>
      <c r="D30" s="32">
        <f t="shared" si="1"/>
        <v>90</v>
      </c>
    </row>
    <row r="31" spans="1:4" ht="12.75">
      <c r="A31" s="4" t="s">
        <v>51</v>
      </c>
      <c r="B31" s="32"/>
      <c r="C31" s="46"/>
      <c r="D31" s="32"/>
    </row>
    <row r="32" spans="1:4" ht="12.75">
      <c r="A32" s="4" t="s">
        <v>39</v>
      </c>
      <c r="B32" s="15"/>
      <c r="C32" s="17"/>
      <c r="D32" s="54"/>
    </row>
    <row r="33" spans="1:4" ht="12.75">
      <c r="A33" s="4" t="s">
        <v>5</v>
      </c>
      <c r="B33" s="15"/>
      <c r="C33" s="17"/>
      <c r="D33" s="17"/>
    </row>
    <row r="34" spans="1:4" ht="12.75">
      <c r="A34" s="4" t="s">
        <v>6</v>
      </c>
      <c r="B34" s="15"/>
      <c r="C34" s="17"/>
      <c r="D34" s="17"/>
    </row>
    <row r="35" spans="1:4" ht="12.75">
      <c r="A35" s="4" t="s">
        <v>9</v>
      </c>
      <c r="B35" s="32"/>
      <c r="C35" s="32"/>
      <c r="D35" s="49"/>
    </row>
    <row r="36" spans="1:4" ht="12.75">
      <c r="A36" s="4" t="s">
        <v>145</v>
      </c>
      <c r="B36" s="31"/>
      <c r="C36" s="32"/>
      <c r="D36" s="49"/>
    </row>
    <row r="37" spans="1:4" ht="12.75">
      <c r="A37" s="4" t="s">
        <v>128</v>
      </c>
      <c r="B37" s="18"/>
      <c r="C37" s="17"/>
      <c r="D37" s="18"/>
    </row>
    <row r="38" spans="1:4" ht="12.75">
      <c r="A38" s="20" t="s">
        <v>40</v>
      </c>
      <c r="B38" s="50">
        <f>SUM(B5:B37)</f>
        <v>27808829</v>
      </c>
      <c r="C38" s="47">
        <f>SUM(C5:C37)</f>
        <v>1.0000000000000004</v>
      </c>
      <c r="D38" s="50">
        <f>SUM(D5:D30)</f>
        <v>6288</v>
      </c>
    </row>
    <row r="39" spans="1:4" ht="12.75">
      <c r="A39" s="23" t="s">
        <v>68</v>
      </c>
      <c r="D39" s="70"/>
    </row>
    <row r="40" ht="12.75">
      <c r="A40" s="110"/>
    </row>
    <row r="43" ht="12.75">
      <c r="D43" s="92">
        <v>6288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G43"/>
  <sheetViews>
    <sheetView workbookViewId="0" topLeftCell="A26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</cols>
  <sheetData>
    <row r="2" ht="18">
      <c r="A2" s="25" t="s">
        <v>124</v>
      </c>
    </row>
    <row r="3" spans="1:4" ht="12.75">
      <c r="A3" s="24"/>
      <c r="B3" s="273" t="s">
        <v>40</v>
      </c>
      <c r="C3" s="274"/>
      <c r="D3" s="275"/>
    </row>
    <row r="4" spans="1:7" ht="12.75">
      <c r="A4" s="14"/>
      <c r="B4" s="21" t="s">
        <v>41</v>
      </c>
      <c r="C4" s="21" t="s">
        <v>42</v>
      </c>
      <c r="D4" s="22" t="s">
        <v>43</v>
      </c>
      <c r="G4" s="118"/>
    </row>
    <row r="5" spans="1:4" ht="12.75">
      <c r="A5" s="4" t="s">
        <v>0</v>
      </c>
      <c r="B5" s="32">
        <f>SUM('TCR Model'!K7)</f>
        <v>7245</v>
      </c>
      <c r="C5" s="46">
        <f>SUM(B5/$B$38)</f>
        <v>0.14994101699124568</v>
      </c>
      <c r="D5" s="54">
        <f>ROUND(C5*$D$43,0)+3</f>
        <v>9035</v>
      </c>
    </row>
    <row r="6" spans="1:4" ht="12.75">
      <c r="A6" s="4" t="s">
        <v>15</v>
      </c>
      <c r="B6" s="32">
        <f>SUM('TCR Model'!K8)</f>
        <v>4564</v>
      </c>
      <c r="C6" s="46">
        <f aca="true" t="shared" si="0" ref="C6:C27">SUM(B6/$B$38)</f>
        <v>0.0944555971770939</v>
      </c>
      <c r="D6" s="49">
        <f>ROUND(C6*$D$43,0)</f>
        <v>5690</v>
      </c>
    </row>
    <row r="7" spans="1:4" ht="12.75">
      <c r="A7" s="4" t="s">
        <v>16</v>
      </c>
      <c r="B7" s="32">
        <f>SUM('TCR Model'!K9)</f>
        <v>879</v>
      </c>
      <c r="C7" s="46">
        <f t="shared" si="0"/>
        <v>0.018191601647385088</v>
      </c>
      <c r="D7" s="49">
        <f aca="true" t="shared" si="1" ref="D7:D27">ROUND(C7*$D$43,0)</f>
        <v>1096</v>
      </c>
    </row>
    <row r="8" spans="1:4" ht="12.75">
      <c r="A8" s="4" t="s">
        <v>17</v>
      </c>
      <c r="B8" s="32">
        <f>SUM('TCR Model'!K10)</f>
        <v>4168</v>
      </c>
      <c r="C8" s="46">
        <f t="shared" si="0"/>
        <v>0.08626006332912518</v>
      </c>
      <c r="D8" s="49">
        <f t="shared" si="1"/>
        <v>5196</v>
      </c>
    </row>
    <row r="9" spans="1:4" ht="12.75">
      <c r="A9" s="4" t="s">
        <v>18</v>
      </c>
      <c r="B9" s="32">
        <f>SUM('TCR Model'!K11)</f>
        <v>3893</v>
      </c>
      <c r="C9" s="46">
        <f t="shared" si="0"/>
        <v>0.08056872037914692</v>
      </c>
      <c r="D9" s="49">
        <f t="shared" si="1"/>
        <v>4853</v>
      </c>
    </row>
    <row r="10" spans="1:4" ht="12.75">
      <c r="A10" s="4" t="s">
        <v>19</v>
      </c>
      <c r="B10" s="32">
        <f>SUM('TCR Model'!K12)</f>
        <v>5105</v>
      </c>
      <c r="C10" s="46">
        <f t="shared" si="0"/>
        <v>0.10565202094414206</v>
      </c>
      <c r="D10" s="49">
        <f t="shared" si="1"/>
        <v>6364</v>
      </c>
    </row>
    <row r="11" spans="1:4" ht="12.75">
      <c r="A11" s="4" t="s">
        <v>20</v>
      </c>
      <c r="B11" s="32">
        <f>SUM('TCR Model'!K13)</f>
        <v>3859</v>
      </c>
      <c r="C11" s="46">
        <f t="shared" si="0"/>
        <v>0.07986506343260415</v>
      </c>
      <c r="D11" s="49">
        <f t="shared" si="1"/>
        <v>4811</v>
      </c>
    </row>
    <row r="12" spans="1:4" ht="12.75">
      <c r="A12" s="4" t="s">
        <v>21</v>
      </c>
      <c r="B12" s="32">
        <f>SUM('TCR Model'!K14)</f>
        <v>2870</v>
      </c>
      <c r="C12" s="46">
        <f t="shared" si="0"/>
        <v>0.05939692460522776</v>
      </c>
      <c r="D12" s="49">
        <f t="shared" si="1"/>
        <v>3578</v>
      </c>
    </row>
    <row r="13" spans="1:4" ht="12.75">
      <c r="A13" s="4" t="s">
        <v>22</v>
      </c>
      <c r="B13" s="32">
        <f>SUM('TCR Model'!K15)</f>
        <v>1251</v>
      </c>
      <c r="C13" s="46">
        <f t="shared" si="0"/>
        <v>0.025890436474264783</v>
      </c>
      <c r="D13" s="49">
        <f t="shared" si="1"/>
        <v>1560</v>
      </c>
    </row>
    <row r="14" spans="1:4" ht="12.75">
      <c r="A14" s="4" t="s">
        <v>23</v>
      </c>
      <c r="B14" s="32">
        <f>SUM('TCR Model'!K16)</f>
        <v>864</v>
      </c>
      <c r="C14" s="46">
        <f t="shared" si="0"/>
        <v>0.017881164759204454</v>
      </c>
      <c r="D14" s="49">
        <f t="shared" si="1"/>
        <v>1077</v>
      </c>
    </row>
    <row r="15" spans="1:4" ht="12.75">
      <c r="A15" s="4" t="s">
        <v>24</v>
      </c>
      <c r="B15" s="32">
        <f>SUM('TCR Model'!K17)</f>
        <v>2350</v>
      </c>
      <c r="C15" s="46">
        <f t="shared" si="0"/>
        <v>0.048635112481632485</v>
      </c>
      <c r="D15" s="49">
        <f t="shared" si="1"/>
        <v>2930</v>
      </c>
    </row>
    <row r="16" spans="1:4" ht="12.75">
      <c r="A16" s="4" t="s">
        <v>25</v>
      </c>
      <c r="B16" s="32">
        <f>SUM('TCR Model'!K18)</f>
        <v>1367</v>
      </c>
      <c r="C16" s="46">
        <f t="shared" si="0"/>
        <v>0.028291148409528344</v>
      </c>
      <c r="D16" s="49">
        <f t="shared" si="1"/>
        <v>1704</v>
      </c>
    </row>
    <row r="17" spans="1:4" ht="12.75">
      <c r="A17" s="4" t="s">
        <v>26</v>
      </c>
      <c r="B17" s="32">
        <f>SUM('TCR Model'!K19)</f>
        <v>803</v>
      </c>
      <c r="C17" s="46">
        <f t="shared" si="0"/>
        <v>0.016618721413936548</v>
      </c>
      <c r="D17" s="49">
        <f t="shared" si="1"/>
        <v>1001</v>
      </c>
    </row>
    <row r="18" spans="1:4" ht="12.75">
      <c r="A18" s="4" t="s">
        <v>27</v>
      </c>
      <c r="B18" s="32">
        <f>SUM('TCR Model'!K20)</f>
        <v>2952</v>
      </c>
      <c r="C18" s="46">
        <f t="shared" si="0"/>
        <v>0.06109397959394855</v>
      </c>
      <c r="D18" s="49">
        <f t="shared" si="1"/>
        <v>3680</v>
      </c>
    </row>
    <row r="19" spans="1:4" ht="12.75">
      <c r="A19" s="4" t="s">
        <v>28</v>
      </c>
      <c r="B19" s="32">
        <f>SUM('TCR Model'!K21)</f>
        <v>2014</v>
      </c>
      <c r="C19" s="46">
        <f t="shared" si="0"/>
        <v>0.04168132618638631</v>
      </c>
      <c r="D19" s="49">
        <f t="shared" si="1"/>
        <v>2511</v>
      </c>
    </row>
    <row r="20" spans="1:4" ht="12.75">
      <c r="A20" s="4" t="s">
        <v>29</v>
      </c>
      <c r="B20" s="32">
        <f>SUM('TCR Model'!K22)</f>
        <v>691</v>
      </c>
      <c r="C20" s="46">
        <f t="shared" si="0"/>
        <v>0.014300792648854487</v>
      </c>
      <c r="D20" s="49">
        <f t="shared" si="1"/>
        <v>861</v>
      </c>
    </row>
    <row r="21" spans="1:4" ht="12.75">
      <c r="A21" s="4" t="s">
        <v>30</v>
      </c>
      <c r="B21" s="32">
        <f>SUM('TCR Model'!K23)</f>
        <v>466</v>
      </c>
      <c r="C21" s="46">
        <f t="shared" si="0"/>
        <v>0.009644239326144995</v>
      </c>
      <c r="D21" s="49">
        <f t="shared" si="1"/>
        <v>581</v>
      </c>
    </row>
    <row r="22" spans="1:4" ht="12.75">
      <c r="A22" s="4" t="s">
        <v>31</v>
      </c>
      <c r="B22" s="32">
        <f>SUM('TCR Model'!K24)</f>
        <v>374</v>
      </c>
      <c r="C22" s="46">
        <f t="shared" si="0"/>
        <v>0.007740226411970447</v>
      </c>
      <c r="D22" s="49">
        <f t="shared" si="1"/>
        <v>466</v>
      </c>
    </row>
    <row r="23" spans="1:4" ht="12.75">
      <c r="A23" s="4" t="s">
        <v>32</v>
      </c>
      <c r="B23" s="32">
        <f>SUM('TCR Model'!K25)</f>
        <v>1361</v>
      </c>
      <c r="C23" s="46">
        <f t="shared" si="0"/>
        <v>0.028166973654256088</v>
      </c>
      <c r="D23" s="49">
        <f t="shared" si="1"/>
        <v>1697</v>
      </c>
    </row>
    <row r="24" spans="1:4" ht="12.75">
      <c r="A24" s="4" t="s">
        <v>33</v>
      </c>
      <c r="B24" s="32">
        <f>SUM('TCR Model'!K26)</f>
        <v>253</v>
      </c>
      <c r="C24" s="46">
        <f t="shared" si="0"/>
        <v>0.005236035513980008</v>
      </c>
      <c r="D24" s="49">
        <f t="shared" si="1"/>
        <v>315</v>
      </c>
    </row>
    <row r="25" spans="1:4" ht="12.75">
      <c r="A25" s="4" t="s">
        <v>34</v>
      </c>
      <c r="B25" s="32">
        <f>SUM('TCR Model'!K27)</f>
        <v>612</v>
      </c>
      <c r="C25" s="46">
        <f t="shared" si="0"/>
        <v>0.01266582503776982</v>
      </c>
      <c r="D25" s="49">
        <f t="shared" si="1"/>
        <v>763</v>
      </c>
    </row>
    <row r="26" spans="1:4" ht="12.75">
      <c r="A26" s="4" t="s">
        <v>35</v>
      </c>
      <c r="B26" s="32">
        <f>SUM('TCR Model'!K28)</f>
        <v>0</v>
      </c>
      <c r="C26" s="46">
        <f t="shared" si="0"/>
        <v>0</v>
      </c>
      <c r="D26" s="49">
        <f t="shared" si="1"/>
        <v>0</v>
      </c>
    </row>
    <row r="27" spans="1:4" ht="12.75">
      <c r="A27" s="4" t="s">
        <v>36</v>
      </c>
      <c r="B27" s="32">
        <f>SUM('TCR Model'!K29)</f>
        <v>378</v>
      </c>
      <c r="C27" s="46">
        <f t="shared" si="0"/>
        <v>0.007823009582151949</v>
      </c>
      <c r="D27" s="49">
        <f t="shared" si="1"/>
        <v>471</v>
      </c>
    </row>
    <row r="28" spans="1:6" ht="12.75">
      <c r="A28" s="4" t="s">
        <v>37</v>
      </c>
      <c r="B28" s="32">
        <v>0</v>
      </c>
      <c r="C28" s="32">
        <v>0</v>
      </c>
      <c r="D28" s="49">
        <v>0</v>
      </c>
      <c r="F28" s="70"/>
    </row>
    <row r="29" spans="1:4" ht="12.75">
      <c r="A29" s="4" t="s">
        <v>38</v>
      </c>
      <c r="B29" s="32">
        <f>SUM('TCR Model'!K31)</f>
        <v>0</v>
      </c>
      <c r="C29" s="32">
        <v>0</v>
      </c>
      <c r="D29" s="49">
        <v>0</v>
      </c>
    </row>
    <row r="30" spans="1:4" ht="12.75">
      <c r="A30" s="4" t="s">
        <v>8</v>
      </c>
      <c r="B30" s="32">
        <v>0</v>
      </c>
      <c r="C30" s="32">
        <v>0</v>
      </c>
      <c r="D30" s="49">
        <v>0</v>
      </c>
    </row>
    <row r="31" spans="1:4" ht="12.75">
      <c r="A31" s="4" t="s">
        <v>51</v>
      </c>
      <c r="B31" s="32">
        <v>0</v>
      </c>
      <c r="C31" s="32">
        <v>0</v>
      </c>
      <c r="D31" s="49">
        <v>0</v>
      </c>
    </row>
    <row r="32" spans="1:4" ht="12.75">
      <c r="A32" s="4" t="s">
        <v>39</v>
      </c>
      <c r="B32" s="32">
        <v>0</v>
      </c>
      <c r="C32" s="32">
        <v>0</v>
      </c>
      <c r="D32" s="49">
        <v>0</v>
      </c>
    </row>
    <row r="33" spans="1:4" ht="12.75">
      <c r="A33" s="4" t="s">
        <v>5</v>
      </c>
      <c r="B33" s="32">
        <v>0</v>
      </c>
      <c r="C33" s="32">
        <v>0</v>
      </c>
      <c r="D33" s="49">
        <v>0</v>
      </c>
    </row>
    <row r="34" spans="1:4" ht="12.75">
      <c r="A34" s="4" t="s">
        <v>6</v>
      </c>
      <c r="B34" s="32">
        <v>0</v>
      </c>
      <c r="C34" s="32">
        <v>0</v>
      </c>
      <c r="D34" s="49">
        <v>0</v>
      </c>
    </row>
    <row r="35" spans="1:4" ht="12.75">
      <c r="A35" s="4" t="s">
        <v>9</v>
      </c>
      <c r="B35" s="32">
        <v>0</v>
      </c>
      <c r="C35" s="32">
        <v>0</v>
      </c>
      <c r="D35" s="49">
        <v>0</v>
      </c>
    </row>
    <row r="36" spans="1:4" ht="12.75">
      <c r="A36" s="4" t="s">
        <v>145</v>
      </c>
      <c r="B36" s="31">
        <v>0</v>
      </c>
      <c r="C36" s="32">
        <v>0</v>
      </c>
      <c r="D36" s="49">
        <v>0</v>
      </c>
    </row>
    <row r="37" spans="1:4" ht="12.75">
      <c r="A37" s="4" t="s">
        <v>128</v>
      </c>
      <c r="B37" s="126">
        <v>0</v>
      </c>
      <c r="C37" s="127">
        <v>0</v>
      </c>
      <c r="D37" s="126">
        <v>0</v>
      </c>
    </row>
    <row r="38" spans="1:6" ht="12.75">
      <c r="A38" s="20" t="s">
        <v>40</v>
      </c>
      <c r="B38" s="36">
        <f>SUM(B5:B37)</f>
        <v>48319</v>
      </c>
      <c r="C38" s="47">
        <f>SUM(C5:C37)</f>
        <v>0.9999999999999999</v>
      </c>
      <c r="D38" s="53">
        <f>SUM(D5:D37)</f>
        <v>60240</v>
      </c>
      <c r="F38" s="70"/>
    </row>
    <row r="39" spans="1:4" ht="12.75">
      <c r="A39" s="23" t="s">
        <v>202</v>
      </c>
      <c r="D39" s="70"/>
    </row>
    <row r="43" ht="12.75">
      <c r="D43" s="92">
        <v>60240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T49"/>
  <sheetViews>
    <sheetView workbookViewId="0" topLeftCell="A1">
      <selection activeCell="O9" sqref="O9"/>
    </sheetView>
  </sheetViews>
  <sheetFormatPr defaultColWidth="9.140625" defaultRowHeight="12.75"/>
  <cols>
    <col min="2" max="2" width="2.00390625" style="0" customWidth="1"/>
    <col min="3" max="4" width="9.28125" style="0" bestFit="1" customWidth="1"/>
    <col min="8" max="8" width="9.28125" style="0" bestFit="1" customWidth="1"/>
    <col min="9" max="9" width="10.00390625" style="0" customWidth="1"/>
    <col min="10" max="10" width="10.28125" style="0" customWidth="1"/>
    <col min="11" max="11" width="5.140625" style="0" customWidth="1"/>
    <col min="12" max="18" width="0" style="0" hidden="1" customWidth="1"/>
  </cols>
  <sheetData>
    <row r="1" spans="1:10" ht="12.75">
      <c r="A1" s="290" t="s">
        <v>295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4:17" ht="12.75">
      <c r="D3" s="39"/>
      <c r="E3" s="39"/>
      <c r="F3" s="39" t="s">
        <v>49</v>
      </c>
      <c r="G3" s="39"/>
      <c r="H3" s="39"/>
      <c r="I3" s="39" t="s">
        <v>105</v>
      </c>
      <c r="J3" s="39" t="s">
        <v>109</v>
      </c>
      <c r="L3" s="291" t="s">
        <v>220</v>
      </c>
      <c r="M3" s="291"/>
      <c r="N3" s="291"/>
      <c r="O3" s="291"/>
      <c r="P3" s="291"/>
      <c r="Q3" s="291"/>
    </row>
    <row r="4" spans="3:20" ht="12.75">
      <c r="C4" s="16" t="s">
        <v>45</v>
      </c>
      <c r="D4" s="26" t="s">
        <v>46</v>
      </c>
      <c r="E4" s="26" t="s">
        <v>113</v>
      </c>
      <c r="F4" s="26" t="s">
        <v>50</v>
      </c>
      <c r="G4" s="26" t="s">
        <v>208</v>
      </c>
      <c r="H4" s="26" t="s">
        <v>40</v>
      </c>
      <c r="I4" s="26" t="s">
        <v>108</v>
      </c>
      <c r="J4" s="89" t="s">
        <v>110</v>
      </c>
      <c r="L4" s="89" t="s">
        <v>142</v>
      </c>
      <c r="M4" s="89" t="s">
        <v>141</v>
      </c>
      <c r="N4" s="89" t="s">
        <v>143</v>
      </c>
      <c r="O4" s="89" t="s">
        <v>144</v>
      </c>
      <c r="P4" s="89" t="s">
        <v>208</v>
      </c>
      <c r="Q4" s="89" t="s">
        <v>40</v>
      </c>
      <c r="T4" s="118"/>
    </row>
    <row r="5" spans="1:17" ht="12.75">
      <c r="A5" t="s">
        <v>0</v>
      </c>
      <c r="C5" s="33">
        <v>3389</v>
      </c>
      <c r="D5" s="33">
        <v>1015</v>
      </c>
      <c r="E5" s="33">
        <v>121</v>
      </c>
      <c r="F5" s="33">
        <v>784</v>
      </c>
      <c r="G5" s="33">
        <v>-94</v>
      </c>
      <c r="H5" s="33">
        <f>SUM(C5:G5)</f>
        <v>5215</v>
      </c>
      <c r="I5" s="62">
        <f aca="true" t="shared" si="0" ref="I5:I30">SUM(H5/$H$43,0)</f>
        <v>0.16844315245478036</v>
      </c>
      <c r="J5" s="62">
        <f aca="true" t="shared" si="1" ref="J5:J30">SUM(H5/$H$31)</f>
        <v>0.21730977581465122</v>
      </c>
      <c r="K5" s="88"/>
      <c r="L5" s="33">
        <v>2535</v>
      </c>
      <c r="M5" s="33">
        <v>2111</v>
      </c>
      <c r="N5" s="33">
        <v>788</v>
      </c>
      <c r="O5" s="33"/>
      <c r="P5" s="33"/>
      <c r="Q5" s="33">
        <f>SUM(L5:P5)</f>
        <v>5434</v>
      </c>
    </row>
    <row r="6" spans="1:17" ht="12.75">
      <c r="A6" t="s">
        <v>15</v>
      </c>
      <c r="C6" s="33">
        <v>756</v>
      </c>
      <c r="D6" s="33">
        <v>562</v>
      </c>
      <c r="E6" s="33"/>
      <c r="F6" s="33"/>
      <c r="G6" s="33">
        <v>-52</v>
      </c>
      <c r="H6" s="33">
        <f aca="true" t="shared" si="2" ref="H6:H30">SUM(C6:G6)</f>
        <v>1266</v>
      </c>
      <c r="I6" s="62">
        <f t="shared" si="0"/>
        <v>0.04089147286821705</v>
      </c>
      <c r="J6" s="62">
        <f t="shared" si="1"/>
        <v>0.05275439619968331</v>
      </c>
      <c r="L6" s="33">
        <v>839</v>
      </c>
      <c r="M6" s="33">
        <v>430</v>
      </c>
      <c r="N6" s="33">
        <v>6</v>
      </c>
      <c r="O6" s="33"/>
      <c r="P6" s="33">
        <v>-53</v>
      </c>
      <c r="Q6" s="33">
        <f>SUM(L6:P6)</f>
        <v>1222</v>
      </c>
    </row>
    <row r="7" spans="1:17" ht="12.75">
      <c r="A7" t="s">
        <v>16</v>
      </c>
      <c r="C7" s="33">
        <v>358</v>
      </c>
      <c r="D7" s="33">
        <v>166</v>
      </c>
      <c r="E7" s="33"/>
      <c r="F7" s="33"/>
      <c r="G7" s="33">
        <v>-12</v>
      </c>
      <c r="H7" s="33">
        <f t="shared" si="2"/>
        <v>512</v>
      </c>
      <c r="I7" s="62">
        <f t="shared" si="0"/>
        <v>0.016537467700258397</v>
      </c>
      <c r="J7" s="62">
        <f t="shared" si="1"/>
        <v>0.021335111259271605</v>
      </c>
      <c r="L7" s="33">
        <v>557</v>
      </c>
      <c r="M7" s="33">
        <v>2</v>
      </c>
      <c r="N7" s="33"/>
      <c r="O7" s="33"/>
      <c r="P7" s="33">
        <v>-17</v>
      </c>
      <c r="Q7" s="33">
        <f aca="true" t="shared" si="3" ref="Q7:Q29">SUM(L7:P7)</f>
        <v>542</v>
      </c>
    </row>
    <row r="8" spans="1:17" ht="12.75">
      <c r="A8" t="s">
        <v>17</v>
      </c>
      <c r="C8" s="33">
        <v>850</v>
      </c>
      <c r="D8" s="33">
        <v>342</v>
      </c>
      <c r="E8" s="33"/>
      <c r="F8" s="33"/>
      <c r="G8" s="33">
        <v>-31</v>
      </c>
      <c r="H8" s="33">
        <f t="shared" si="2"/>
        <v>1161</v>
      </c>
      <c r="I8" s="62">
        <f t="shared" si="0"/>
        <v>0.0375</v>
      </c>
      <c r="J8" s="62">
        <f t="shared" si="1"/>
        <v>0.048379031585965494</v>
      </c>
      <c r="L8" s="33">
        <v>881</v>
      </c>
      <c r="M8" s="33">
        <v>255</v>
      </c>
      <c r="N8" s="33">
        <v>46</v>
      </c>
      <c r="O8" s="33"/>
      <c r="P8" s="33"/>
      <c r="Q8" s="33">
        <f t="shared" si="3"/>
        <v>1182</v>
      </c>
    </row>
    <row r="9" spans="1:17" ht="12.75">
      <c r="A9" t="s">
        <v>18</v>
      </c>
      <c r="C9" s="33">
        <v>851</v>
      </c>
      <c r="D9" s="33">
        <v>274</v>
      </c>
      <c r="E9" s="33"/>
      <c r="F9" s="33"/>
      <c r="G9" s="33">
        <v>-28</v>
      </c>
      <c r="H9" s="33">
        <f t="shared" si="2"/>
        <v>1097</v>
      </c>
      <c r="I9" s="62">
        <f t="shared" si="0"/>
        <v>0.0354328165374677</v>
      </c>
      <c r="J9" s="62">
        <f t="shared" si="1"/>
        <v>0.04571214267855655</v>
      </c>
      <c r="L9" s="33">
        <v>792</v>
      </c>
      <c r="M9" s="33">
        <v>236</v>
      </c>
      <c r="N9" s="33">
        <v>1</v>
      </c>
      <c r="O9" s="33"/>
      <c r="P9" s="33"/>
      <c r="Q9" s="33">
        <f t="shared" si="3"/>
        <v>1029</v>
      </c>
    </row>
    <row r="10" spans="1:17" ht="12.75">
      <c r="A10" t="s">
        <v>19</v>
      </c>
      <c r="C10" s="33">
        <v>1810</v>
      </c>
      <c r="D10" s="33">
        <v>1500</v>
      </c>
      <c r="E10" s="33"/>
      <c r="F10" s="33"/>
      <c r="G10" s="33">
        <v>-67</v>
      </c>
      <c r="H10" s="33">
        <f t="shared" si="2"/>
        <v>3243</v>
      </c>
      <c r="I10" s="62">
        <f t="shared" si="0"/>
        <v>0.10474806201550388</v>
      </c>
      <c r="J10" s="62">
        <f t="shared" si="1"/>
        <v>0.13513626135511292</v>
      </c>
      <c r="L10" s="33">
        <v>1105</v>
      </c>
      <c r="M10" s="33">
        <v>1534</v>
      </c>
      <c r="N10" s="33">
        <v>253</v>
      </c>
      <c r="O10" s="33"/>
      <c r="P10" s="33"/>
      <c r="Q10" s="33">
        <f t="shared" si="3"/>
        <v>2892</v>
      </c>
    </row>
    <row r="11" spans="1:17" ht="12.75">
      <c r="A11" t="s">
        <v>20</v>
      </c>
      <c r="C11" s="33">
        <v>18</v>
      </c>
      <c r="D11" s="33">
        <v>213</v>
      </c>
      <c r="E11" s="33"/>
      <c r="F11" s="33"/>
      <c r="G11" s="33">
        <v>-33</v>
      </c>
      <c r="H11" s="33">
        <f t="shared" si="2"/>
        <v>198</v>
      </c>
      <c r="I11" s="62">
        <f t="shared" si="0"/>
        <v>0.006395348837209302</v>
      </c>
      <c r="J11" s="62">
        <f t="shared" si="1"/>
        <v>0.008250687557296441</v>
      </c>
      <c r="L11" s="33">
        <v>227</v>
      </c>
      <c r="M11" s="33">
        <v>0</v>
      </c>
      <c r="N11" s="33">
        <v>0</v>
      </c>
      <c r="O11" s="33"/>
      <c r="P11" s="33">
        <v>-45</v>
      </c>
      <c r="Q11" s="33">
        <f t="shared" si="3"/>
        <v>182</v>
      </c>
    </row>
    <row r="12" spans="1:17" ht="12.75">
      <c r="A12" t="s">
        <v>21</v>
      </c>
      <c r="C12" s="33">
        <v>1128</v>
      </c>
      <c r="D12" s="33">
        <v>260</v>
      </c>
      <c r="E12" s="33"/>
      <c r="F12" s="33"/>
      <c r="G12" s="33">
        <v>-35</v>
      </c>
      <c r="H12" s="33">
        <f t="shared" si="2"/>
        <v>1353</v>
      </c>
      <c r="I12" s="62">
        <f t="shared" si="0"/>
        <v>0.0437015503875969</v>
      </c>
      <c r="J12" s="62">
        <f t="shared" si="1"/>
        <v>0.05637969830819235</v>
      </c>
      <c r="L12" s="33">
        <v>969</v>
      </c>
      <c r="M12" s="33">
        <v>374</v>
      </c>
      <c r="N12" s="33">
        <v>19</v>
      </c>
      <c r="O12" s="33">
        <v>34</v>
      </c>
      <c r="P12" s="33">
        <v>-37</v>
      </c>
      <c r="Q12" s="33">
        <f t="shared" si="3"/>
        <v>1359</v>
      </c>
    </row>
    <row r="13" spans="1:17" ht="12.75">
      <c r="A13" t="s">
        <v>22</v>
      </c>
      <c r="C13" s="33">
        <v>415</v>
      </c>
      <c r="D13" s="33">
        <v>103</v>
      </c>
      <c r="E13" s="33"/>
      <c r="F13" s="33"/>
      <c r="G13" s="33">
        <v>-9</v>
      </c>
      <c r="H13" s="33">
        <f t="shared" si="2"/>
        <v>509</v>
      </c>
      <c r="I13" s="62">
        <f t="shared" si="0"/>
        <v>0.016440568475452198</v>
      </c>
      <c r="J13" s="62">
        <f t="shared" si="1"/>
        <v>0.02121010084173681</v>
      </c>
      <c r="L13" s="33">
        <v>471</v>
      </c>
      <c r="M13" s="33">
        <v>48</v>
      </c>
      <c r="N13" s="33"/>
      <c r="O13" s="33"/>
      <c r="P13" s="33">
        <v>-8</v>
      </c>
      <c r="Q13" s="33">
        <f t="shared" si="3"/>
        <v>511</v>
      </c>
    </row>
    <row r="14" spans="1:17" ht="12.75">
      <c r="A14" t="s">
        <v>23</v>
      </c>
      <c r="C14" s="33">
        <v>1350</v>
      </c>
      <c r="D14" s="33">
        <v>102</v>
      </c>
      <c r="E14" s="33">
        <v>11</v>
      </c>
      <c r="F14" s="33"/>
      <c r="G14" s="33">
        <v>-13</v>
      </c>
      <c r="H14" s="33">
        <f t="shared" si="2"/>
        <v>1450</v>
      </c>
      <c r="I14" s="62">
        <f t="shared" si="0"/>
        <v>0.04683462532299742</v>
      </c>
      <c r="J14" s="62">
        <f t="shared" si="1"/>
        <v>0.06042170180848404</v>
      </c>
      <c r="L14" s="33">
        <v>25</v>
      </c>
      <c r="M14" s="33">
        <v>1398</v>
      </c>
      <c r="N14" s="33"/>
      <c r="O14" s="33"/>
      <c r="P14" s="33">
        <v>-14</v>
      </c>
      <c r="Q14" s="33">
        <f t="shared" si="3"/>
        <v>1409</v>
      </c>
    </row>
    <row r="15" spans="1:17" ht="12.75">
      <c r="A15" t="s">
        <v>24</v>
      </c>
      <c r="C15" s="33">
        <v>788</v>
      </c>
      <c r="D15" s="33">
        <v>197</v>
      </c>
      <c r="E15" s="33"/>
      <c r="F15" s="33"/>
      <c r="G15" s="33">
        <v>-24</v>
      </c>
      <c r="H15" s="33">
        <f t="shared" si="2"/>
        <v>961</v>
      </c>
      <c r="I15" s="62">
        <f t="shared" si="0"/>
        <v>0.031040051679586563</v>
      </c>
      <c r="J15" s="62">
        <f t="shared" si="1"/>
        <v>0.04004500375031252</v>
      </c>
      <c r="L15" s="33">
        <v>124</v>
      </c>
      <c r="M15" s="33">
        <v>158</v>
      </c>
      <c r="N15" s="33">
        <v>639</v>
      </c>
      <c r="O15" s="33"/>
      <c r="P15" s="33">
        <v>-25</v>
      </c>
      <c r="Q15" s="33">
        <f t="shared" si="3"/>
        <v>896</v>
      </c>
    </row>
    <row r="16" spans="1:17" ht="12.75">
      <c r="A16" t="s">
        <v>25</v>
      </c>
      <c r="C16" s="33">
        <v>285</v>
      </c>
      <c r="D16" s="33">
        <v>156</v>
      </c>
      <c r="E16" s="33"/>
      <c r="F16" s="33"/>
      <c r="G16" s="33">
        <v>-16</v>
      </c>
      <c r="H16" s="33">
        <f t="shared" si="2"/>
        <v>425</v>
      </c>
      <c r="I16" s="62">
        <f t="shared" si="0"/>
        <v>0.013727390180878552</v>
      </c>
      <c r="J16" s="62">
        <f t="shared" si="1"/>
        <v>0.017709809150762562</v>
      </c>
      <c r="L16" s="33">
        <v>344</v>
      </c>
      <c r="M16" s="33">
        <v>92</v>
      </c>
      <c r="N16" s="33"/>
      <c r="O16" s="33"/>
      <c r="P16" s="33">
        <v>-17</v>
      </c>
      <c r="Q16" s="33">
        <f t="shared" si="3"/>
        <v>419</v>
      </c>
    </row>
    <row r="17" spans="1:17" ht="12.75">
      <c r="A17" t="s">
        <v>26</v>
      </c>
      <c r="C17" s="33">
        <v>176</v>
      </c>
      <c r="D17" s="33">
        <v>115</v>
      </c>
      <c r="E17" s="33"/>
      <c r="F17" s="33"/>
      <c r="G17" s="33">
        <v>-9</v>
      </c>
      <c r="H17" s="33">
        <f t="shared" si="2"/>
        <v>282</v>
      </c>
      <c r="I17" s="62">
        <f t="shared" si="0"/>
        <v>0.009108527131782946</v>
      </c>
      <c r="J17" s="62">
        <f t="shared" si="1"/>
        <v>0.011750979248270689</v>
      </c>
      <c r="L17" s="33">
        <v>121</v>
      </c>
      <c r="M17" s="33">
        <v>176</v>
      </c>
      <c r="N17" s="33"/>
      <c r="O17" s="33"/>
      <c r="P17" s="33">
        <v>-8</v>
      </c>
      <c r="Q17" s="33">
        <f t="shared" si="3"/>
        <v>289</v>
      </c>
    </row>
    <row r="18" spans="1:17" ht="12.75">
      <c r="A18" t="s">
        <v>27</v>
      </c>
      <c r="C18" s="33">
        <v>961</v>
      </c>
      <c r="D18" s="33">
        <v>367</v>
      </c>
      <c r="E18" s="33"/>
      <c r="F18" s="33"/>
      <c r="G18" s="33">
        <v>-30</v>
      </c>
      <c r="H18" s="33">
        <f t="shared" si="2"/>
        <v>1298</v>
      </c>
      <c r="I18" s="62">
        <f t="shared" si="0"/>
        <v>0.041925064599483204</v>
      </c>
      <c r="J18" s="62">
        <f t="shared" si="1"/>
        <v>0.05408784065338778</v>
      </c>
      <c r="L18" s="33">
        <v>982</v>
      </c>
      <c r="M18" s="33">
        <v>398</v>
      </c>
      <c r="N18" s="33"/>
      <c r="O18" s="33">
        <v>7</v>
      </c>
      <c r="P18" s="33"/>
      <c r="Q18" s="33">
        <f t="shared" si="3"/>
        <v>1387</v>
      </c>
    </row>
    <row r="19" spans="1:17" ht="12.75">
      <c r="A19" t="s">
        <v>28</v>
      </c>
      <c r="C19" s="33">
        <v>468</v>
      </c>
      <c r="D19" s="33">
        <v>366</v>
      </c>
      <c r="E19" s="33"/>
      <c r="F19" s="33"/>
      <c r="G19" s="33">
        <v>-29</v>
      </c>
      <c r="H19" s="33">
        <f t="shared" si="2"/>
        <v>805</v>
      </c>
      <c r="I19" s="62">
        <f t="shared" si="0"/>
        <v>0.026001291989664083</v>
      </c>
      <c r="J19" s="62">
        <f t="shared" si="1"/>
        <v>0.03354446203850321</v>
      </c>
      <c r="L19" s="33">
        <v>8</v>
      </c>
      <c r="M19" s="33">
        <v>318</v>
      </c>
      <c r="N19" s="33">
        <v>450</v>
      </c>
      <c r="O19" s="33"/>
      <c r="P19" s="33">
        <v>-26</v>
      </c>
      <c r="Q19" s="33">
        <f t="shared" si="3"/>
        <v>750</v>
      </c>
    </row>
    <row r="20" spans="1:17" ht="12.75">
      <c r="A20" t="s">
        <v>29</v>
      </c>
      <c r="C20" s="33">
        <v>217</v>
      </c>
      <c r="D20" s="33">
        <v>126</v>
      </c>
      <c r="E20" s="33"/>
      <c r="F20" s="33"/>
      <c r="G20" s="33">
        <v>-12</v>
      </c>
      <c r="H20" s="33">
        <f t="shared" si="2"/>
        <v>331</v>
      </c>
      <c r="I20" s="62">
        <f t="shared" si="0"/>
        <v>0.010691214470284238</v>
      </c>
      <c r="J20" s="62">
        <f t="shared" si="1"/>
        <v>0.013792816068005666</v>
      </c>
      <c r="L20" s="33">
        <v>55</v>
      </c>
      <c r="M20" s="33">
        <v>304</v>
      </c>
      <c r="N20" s="33">
        <v>6</v>
      </c>
      <c r="O20" s="33">
        <v>7</v>
      </c>
      <c r="P20" s="33">
        <v>-13</v>
      </c>
      <c r="Q20" s="33">
        <f t="shared" si="3"/>
        <v>359</v>
      </c>
    </row>
    <row r="21" spans="1:17" ht="12.75">
      <c r="A21" t="s">
        <v>30</v>
      </c>
      <c r="C21" s="33">
        <v>20</v>
      </c>
      <c r="D21" s="33">
        <v>58</v>
      </c>
      <c r="E21" s="33"/>
      <c r="F21" s="33"/>
      <c r="G21" s="33">
        <v>-6</v>
      </c>
      <c r="H21" s="33">
        <f t="shared" si="2"/>
        <v>72</v>
      </c>
      <c r="I21" s="62">
        <f t="shared" si="0"/>
        <v>0.002325581395348837</v>
      </c>
      <c r="J21" s="62">
        <f t="shared" si="1"/>
        <v>0.0030002500208350697</v>
      </c>
      <c r="L21" s="33">
        <v>49</v>
      </c>
      <c r="M21" s="33">
        <v>28</v>
      </c>
      <c r="N21" s="33"/>
      <c r="O21" s="33"/>
      <c r="P21" s="33"/>
      <c r="Q21" s="33">
        <f t="shared" si="3"/>
        <v>77</v>
      </c>
    </row>
    <row r="22" spans="1:17" ht="12.75">
      <c r="A22" t="s">
        <v>31</v>
      </c>
      <c r="C22" s="33">
        <v>484</v>
      </c>
      <c r="D22" s="33">
        <v>115</v>
      </c>
      <c r="E22" s="33"/>
      <c r="F22" s="33"/>
      <c r="G22" s="33">
        <v>-9</v>
      </c>
      <c r="H22" s="33">
        <f t="shared" si="2"/>
        <v>590</v>
      </c>
      <c r="I22" s="62">
        <f t="shared" si="0"/>
        <v>0.01905684754521964</v>
      </c>
      <c r="J22" s="62">
        <f t="shared" si="1"/>
        <v>0.024585382115176264</v>
      </c>
      <c r="L22" s="33">
        <v>411</v>
      </c>
      <c r="M22" s="33">
        <v>134</v>
      </c>
      <c r="N22" s="33">
        <v>19</v>
      </c>
      <c r="O22" s="33"/>
      <c r="P22" s="33">
        <v>-9</v>
      </c>
      <c r="Q22" s="33">
        <f t="shared" si="3"/>
        <v>555</v>
      </c>
    </row>
    <row r="23" spans="1:17" ht="12.75">
      <c r="A23" t="s">
        <v>32</v>
      </c>
      <c r="C23" s="33">
        <v>0</v>
      </c>
      <c r="D23" s="33">
        <v>102</v>
      </c>
      <c r="E23" s="33"/>
      <c r="F23" s="33"/>
      <c r="G23" s="33">
        <v>-11</v>
      </c>
      <c r="H23" s="33">
        <f t="shared" si="2"/>
        <v>91</v>
      </c>
      <c r="I23" s="62">
        <f t="shared" si="0"/>
        <v>0.0029392764857881135</v>
      </c>
      <c r="J23" s="62">
        <f t="shared" si="1"/>
        <v>0.003791982665222102</v>
      </c>
      <c r="L23" s="33">
        <v>35</v>
      </c>
      <c r="M23" s="33">
        <v>61</v>
      </c>
      <c r="N23" s="33"/>
      <c r="O23" s="33"/>
      <c r="P23" s="33"/>
      <c r="Q23" s="33">
        <f t="shared" si="3"/>
        <v>96</v>
      </c>
    </row>
    <row r="24" spans="1:17" ht="12.75">
      <c r="A24" t="s">
        <v>33</v>
      </c>
      <c r="C24" s="33">
        <v>0</v>
      </c>
      <c r="D24" s="33">
        <v>140</v>
      </c>
      <c r="E24" s="33"/>
      <c r="F24" s="33"/>
      <c r="G24" s="33">
        <v>-16</v>
      </c>
      <c r="H24" s="33">
        <f t="shared" si="2"/>
        <v>124</v>
      </c>
      <c r="I24" s="62">
        <f t="shared" si="0"/>
        <v>0.004005167958656331</v>
      </c>
      <c r="J24" s="62">
        <f t="shared" si="1"/>
        <v>0.005167097258104842</v>
      </c>
      <c r="L24" s="33">
        <v>14</v>
      </c>
      <c r="M24" s="33">
        <v>136</v>
      </c>
      <c r="N24" s="33"/>
      <c r="O24" s="33"/>
      <c r="P24" s="33"/>
      <c r="Q24" s="33">
        <f t="shared" si="3"/>
        <v>150</v>
      </c>
    </row>
    <row r="25" spans="1:17" ht="12.75">
      <c r="A25" t="s">
        <v>34</v>
      </c>
      <c r="C25" s="33">
        <v>39</v>
      </c>
      <c r="D25" s="33">
        <v>94</v>
      </c>
      <c r="E25" s="33"/>
      <c r="F25" s="33"/>
      <c r="G25" s="33">
        <v>-9</v>
      </c>
      <c r="H25" s="33">
        <f t="shared" si="2"/>
        <v>124</v>
      </c>
      <c r="I25" s="62">
        <f t="shared" si="0"/>
        <v>0.004005167958656331</v>
      </c>
      <c r="J25" s="62">
        <f t="shared" si="1"/>
        <v>0.005167097258104842</v>
      </c>
      <c r="L25" s="33">
        <v>70</v>
      </c>
      <c r="M25" s="33">
        <v>56</v>
      </c>
      <c r="N25" s="33"/>
      <c r="O25" s="33"/>
      <c r="P25" s="33"/>
      <c r="Q25" s="33">
        <f t="shared" si="3"/>
        <v>126</v>
      </c>
    </row>
    <row r="26" spans="1:17" ht="12.75">
      <c r="A26" t="s">
        <v>35</v>
      </c>
      <c r="C26" s="33">
        <v>0</v>
      </c>
      <c r="D26" s="33">
        <v>44</v>
      </c>
      <c r="E26" s="33"/>
      <c r="F26" s="33"/>
      <c r="G26" s="33">
        <v>-5</v>
      </c>
      <c r="H26" s="33">
        <f t="shared" si="2"/>
        <v>39</v>
      </c>
      <c r="I26" s="62">
        <f t="shared" si="0"/>
        <v>0.0012596899224806201</v>
      </c>
      <c r="J26" s="62">
        <f t="shared" si="1"/>
        <v>0.0016251354279523294</v>
      </c>
      <c r="L26" s="33">
        <v>1</v>
      </c>
      <c r="M26" s="33">
        <v>44</v>
      </c>
      <c r="N26" s="33"/>
      <c r="O26" s="33"/>
      <c r="P26" s="33"/>
      <c r="Q26" s="33">
        <f t="shared" si="3"/>
        <v>45</v>
      </c>
    </row>
    <row r="27" spans="1:17" ht="12.75">
      <c r="A27" t="s">
        <v>36</v>
      </c>
      <c r="C27" s="33">
        <v>0</v>
      </c>
      <c r="D27" s="33">
        <v>79</v>
      </c>
      <c r="E27" s="33"/>
      <c r="F27" s="33"/>
      <c r="G27" s="33">
        <v>-5</v>
      </c>
      <c r="H27" s="33">
        <f t="shared" si="2"/>
        <v>74</v>
      </c>
      <c r="I27" s="62">
        <f t="shared" si="0"/>
        <v>0.0023901808785529717</v>
      </c>
      <c r="J27" s="62">
        <f t="shared" si="1"/>
        <v>0.003083590299191599</v>
      </c>
      <c r="L27" s="33">
        <v>82</v>
      </c>
      <c r="M27" s="33"/>
      <c r="N27" s="33"/>
      <c r="O27" s="33"/>
      <c r="P27" s="33"/>
      <c r="Q27" s="33">
        <f t="shared" si="3"/>
        <v>82</v>
      </c>
    </row>
    <row r="28" spans="1:17" ht="12.75">
      <c r="A28" t="s">
        <v>37</v>
      </c>
      <c r="C28" s="33">
        <v>0</v>
      </c>
      <c r="D28" s="33">
        <v>1449</v>
      </c>
      <c r="E28" s="33"/>
      <c r="F28" s="33"/>
      <c r="G28" s="33">
        <v>-4</v>
      </c>
      <c r="H28" s="33">
        <f t="shared" si="2"/>
        <v>1445</v>
      </c>
      <c r="I28" s="62">
        <f t="shared" si="0"/>
        <v>0.04667312661498708</v>
      </c>
      <c r="J28" s="62">
        <f t="shared" si="1"/>
        <v>0.06021335111259272</v>
      </c>
      <c r="L28" s="33">
        <v>1293</v>
      </c>
      <c r="M28" s="33">
        <v>102</v>
      </c>
      <c r="N28" s="33">
        <v>6</v>
      </c>
      <c r="O28" s="33"/>
      <c r="P28" s="33"/>
      <c r="Q28" s="33">
        <f t="shared" si="3"/>
        <v>1401</v>
      </c>
    </row>
    <row r="29" spans="1:17" ht="12.75">
      <c r="A29" t="s">
        <v>38</v>
      </c>
      <c r="C29" s="33">
        <v>0</v>
      </c>
      <c r="D29" s="33">
        <v>428</v>
      </c>
      <c r="E29" s="33"/>
      <c r="F29" s="33"/>
      <c r="G29" s="33">
        <v>0</v>
      </c>
      <c r="H29" s="33">
        <f t="shared" si="2"/>
        <v>428</v>
      </c>
      <c r="I29" s="62">
        <f t="shared" si="0"/>
        <v>0.013824289405684755</v>
      </c>
      <c r="J29" s="62">
        <f t="shared" si="1"/>
        <v>0.01783481956829736</v>
      </c>
      <c r="L29" s="33">
        <v>448</v>
      </c>
      <c r="M29" s="33">
        <v>3</v>
      </c>
      <c r="N29" s="33"/>
      <c r="O29" s="33"/>
      <c r="P29" s="33"/>
      <c r="Q29" s="33">
        <f t="shared" si="3"/>
        <v>451</v>
      </c>
    </row>
    <row r="30" spans="1:17" ht="12.75">
      <c r="A30" t="s">
        <v>8</v>
      </c>
      <c r="C30" s="40">
        <v>0</v>
      </c>
      <c r="D30" s="40">
        <v>905</v>
      </c>
      <c r="E30" s="40"/>
      <c r="F30" s="40"/>
      <c r="G30" s="40">
        <v>0</v>
      </c>
      <c r="H30" s="40">
        <f t="shared" si="2"/>
        <v>905</v>
      </c>
      <c r="I30" s="62">
        <f t="shared" si="0"/>
        <v>0.029231266149870802</v>
      </c>
      <c r="J30" s="62">
        <f t="shared" si="1"/>
        <v>0.0377114759563297</v>
      </c>
      <c r="L30" s="40">
        <v>0</v>
      </c>
      <c r="M30" s="40">
        <v>0</v>
      </c>
      <c r="N30" s="40"/>
      <c r="O30" s="40"/>
      <c r="P30" s="40"/>
      <c r="Q30" s="40">
        <f>SUM(L30:O30)</f>
        <v>0</v>
      </c>
    </row>
    <row r="31" spans="3:17" ht="12.75">
      <c r="C31" s="33">
        <f aca="true" t="shared" si="4" ref="C31:H31">SUM(C5:C30)</f>
        <v>14363</v>
      </c>
      <c r="D31" s="33">
        <f t="shared" si="4"/>
        <v>9278</v>
      </c>
      <c r="E31" s="33">
        <f t="shared" si="4"/>
        <v>132</v>
      </c>
      <c r="F31" s="33">
        <f t="shared" si="4"/>
        <v>784</v>
      </c>
      <c r="G31" s="33">
        <f t="shared" si="4"/>
        <v>-559</v>
      </c>
      <c r="H31" s="33">
        <f t="shared" si="4"/>
        <v>23998</v>
      </c>
      <c r="J31" s="83">
        <f>SUM(J5:J30)</f>
        <v>1</v>
      </c>
      <c r="L31" s="33">
        <f>SUM(L5:L30)</f>
        <v>12438</v>
      </c>
      <c r="M31" s="33">
        <f>SUM(M5:M30)</f>
        <v>8398</v>
      </c>
      <c r="N31" s="33">
        <f>SUM(N5:N30)</f>
        <v>2233</v>
      </c>
      <c r="O31" s="33">
        <f>SUM(O5:O30)</f>
        <v>48</v>
      </c>
      <c r="P31" s="33"/>
      <c r="Q31" s="33">
        <f>SUM(Q5:Q30)</f>
        <v>22845</v>
      </c>
    </row>
    <row r="32" spans="12:17" ht="12.75">
      <c r="L32" s="33"/>
      <c r="M32" s="33"/>
      <c r="N32" s="33"/>
      <c r="O32" s="33"/>
      <c r="P32" s="33"/>
      <c r="Q32" s="33"/>
    </row>
    <row r="33" spans="3:17" ht="12.75">
      <c r="C33" s="26" t="s">
        <v>52</v>
      </c>
      <c r="D33" s="26" t="s">
        <v>53</v>
      </c>
      <c r="E33" s="26" t="s">
        <v>113</v>
      </c>
      <c r="F33" s="26"/>
      <c r="G33" s="26"/>
      <c r="H33" s="26" t="s">
        <v>40</v>
      </c>
      <c r="L33" s="33"/>
      <c r="M33" s="33"/>
      <c r="N33" s="33"/>
      <c r="O33" s="33"/>
      <c r="P33" s="33"/>
      <c r="Q33" s="33"/>
    </row>
    <row r="34" spans="1:17" ht="12.75">
      <c r="A34" t="s">
        <v>51</v>
      </c>
      <c r="C34" s="33">
        <v>196</v>
      </c>
      <c r="D34" s="33">
        <v>892</v>
      </c>
      <c r="E34" s="33"/>
      <c r="F34" s="33"/>
      <c r="G34" s="33"/>
      <c r="H34" s="33">
        <f aca="true" t="shared" si="5" ref="H34:H40">SUM(C34:G34)</f>
        <v>1088</v>
      </c>
      <c r="I34" s="62">
        <f aca="true" t="shared" si="6" ref="I34:I40">SUM(H34/$H$43,0)</f>
        <v>0.0351421188630491</v>
      </c>
      <c r="L34" s="33">
        <v>0</v>
      </c>
      <c r="M34" s="33">
        <v>0</v>
      </c>
      <c r="N34" s="33"/>
      <c r="O34" s="33"/>
      <c r="P34" s="33"/>
      <c r="Q34" s="33">
        <f aca="true" t="shared" si="7" ref="Q34:Q40">SUM(L34:O34)</f>
        <v>0</v>
      </c>
    </row>
    <row r="35" spans="1:17" ht="12.75">
      <c r="A35" t="s">
        <v>219</v>
      </c>
      <c r="C35" s="33"/>
      <c r="D35" s="33">
        <v>337</v>
      </c>
      <c r="E35" s="33"/>
      <c r="F35" s="33"/>
      <c r="G35" s="33"/>
      <c r="H35" s="33">
        <f t="shared" si="5"/>
        <v>337</v>
      </c>
      <c r="I35" s="62">
        <f t="shared" si="6"/>
        <v>0.010885012919896641</v>
      </c>
      <c r="L35" s="33">
        <v>0</v>
      </c>
      <c r="M35" s="33">
        <v>0</v>
      </c>
      <c r="N35" s="33"/>
      <c r="O35" s="33"/>
      <c r="P35" s="33"/>
      <c r="Q35" s="33">
        <f t="shared" si="7"/>
        <v>0</v>
      </c>
    </row>
    <row r="36" spans="1:17" ht="12.75">
      <c r="A36" t="s">
        <v>39</v>
      </c>
      <c r="C36" s="33">
        <v>2360</v>
      </c>
      <c r="D36" s="33">
        <v>2</v>
      </c>
      <c r="E36" s="33">
        <v>0</v>
      </c>
      <c r="F36" s="33">
        <v>0</v>
      </c>
      <c r="G36" s="33"/>
      <c r="H36" s="33">
        <f t="shared" si="5"/>
        <v>2362</v>
      </c>
      <c r="I36" s="62">
        <f t="shared" si="6"/>
        <v>0.07629198966408268</v>
      </c>
      <c r="L36" s="33">
        <v>2270</v>
      </c>
      <c r="M36" s="33">
        <v>137</v>
      </c>
      <c r="N36" s="33"/>
      <c r="O36" s="33"/>
      <c r="P36" s="33"/>
      <c r="Q36" s="33">
        <f t="shared" si="7"/>
        <v>2407</v>
      </c>
    </row>
    <row r="37" spans="1:17" ht="12.75">
      <c r="A37" t="s">
        <v>5</v>
      </c>
      <c r="C37" s="33">
        <v>450</v>
      </c>
      <c r="D37" s="33">
        <v>0</v>
      </c>
      <c r="E37" s="33"/>
      <c r="F37" s="33"/>
      <c r="G37" s="33">
        <v>-95</v>
      </c>
      <c r="H37" s="33">
        <f t="shared" si="5"/>
        <v>355</v>
      </c>
      <c r="I37" s="62">
        <f t="shared" si="6"/>
        <v>0.01146640826873385</v>
      </c>
      <c r="L37" s="33">
        <v>0</v>
      </c>
      <c r="M37" s="33">
        <v>455</v>
      </c>
      <c r="N37" s="33"/>
      <c r="O37" s="33"/>
      <c r="P37" s="33"/>
      <c r="Q37" s="33">
        <f t="shared" si="7"/>
        <v>455</v>
      </c>
    </row>
    <row r="38" spans="1:17" ht="12.75">
      <c r="A38" t="s">
        <v>6</v>
      </c>
      <c r="C38" s="33">
        <v>190</v>
      </c>
      <c r="D38" s="33">
        <v>708</v>
      </c>
      <c r="E38" s="33"/>
      <c r="F38" s="33"/>
      <c r="G38" s="33"/>
      <c r="H38" s="33">
        <f t="shared" si="5"/>
        <v>898</v>
      </c>
      <c r="I38" s="62">
        <f t="shared" si="6"/>
        <v>0.02900516795865633</v>
      </c>
      <c r="L38" s="33">
        <v>303</v>
      </c>
      <c r="M38" s="33">
        <v>603</v>
      </c>
      <c r="N38" s="33"/>
      <c r="O38" s="33"/>
      <c r="P38" s="33"/>
      <c r="Q38" s="33">
        <f t="shared" si="7"/>
        <v>906</v>
      </c>
    </row>
    <row r="39" spans="1:17" ht="12.75">
      <c r="A39" t="s">
        <v>9</v>
      </c>
      <c r="C39" s="33">
        <v>460</v>
      </c>
      <c r="D39" s="33">
        <v>771</v>
      </c>
      <c r="E39" s="33"/>
      <c r="F39" s="33"/>
      <c r="G39" s="33"/>
      <c r="H39" s="33">
        <f t="shared" si="5"/>
        <v>1231</v>
      </c>
      <c r="I39" s="62">
        <f t="shared" si="6"/>
        <v>0.0397609819121447</v>
      </c>
      <c r="L39" s="33">
        <v>1087</v>
      </c>
      <c r="M39" s="33">
        <v>79</v>
      </c>
      <c r="N39" s="33">
        <v>3</v>
      </c>
      <c r="O39" s="33">
        <v>49</v>
      </c>
      <c r="P39" s="33"/>
      <c r="Q39" s="33">
        <f t="shared" si="7"/>
        <v>1218</v>
      </c>
    </row>
    <row r="40" spans="1:17" ht="12.75">
      <c r="A40" t="s">
        <v>176</v>
      </c>
      <c r="C40" s="40">
        <v>76</v>
      </c>
      <c r="D40" s="40">
        <v>615</v>
      </c>
      <c r="E40" s="40"/>
      <c r="F40" s="40"/>
      <c r="G40" s="40"/>
      <c r="H40" s="40">
        <f t="shared" si="5"/>
        <v>691</v>
      </c>
      <c r="I40" s="62">
        <f t="shared" si="6"/>
        <v>0.022319121447028425</v>
      </c>
      <c r="L40" s="40">
        <v>755</v>
      </c>
      <c r="M40" s="40">
        <v>5</v>
      </c>
      <c r="N40" s="40">
        <v>2</v>
      </c>
      <c r="O40" s="40">
        <v>16</v>
      </c>
      <c r="P40" s="40"/>
      <c r="Q40" s="40">
        <f t="shared" si="7"/>
        <v>778</v>
      </c>
    </row>
    <row r="41" spans="3:17" ht="12.75">
      <c r="C41" s="41">
        <f>SUM(C34:C40)</f>
        <v>3732</v>
      </c>
      <c r="D41" s="41">
        <f>SUM(D34:D40)</f>
        <v>3325</v>
      </c>
      <c r="E41" s="41">
        <f>SUM(E34:E40)</f>
        <v>0</v>
      </c>
      <c r="F41" s="41">
        <f>SUM(F34:F40)</f>
        <v>0</v>
      </c>
      <c r="G41" s="41">
        <f>SUM(G31:G40)</f>
        <v>-654</v>
      </c>
      <c r="H41" s="41">
        <f>SUM(H34:H40)</f>
        <v>6962</v>
      </c>
      <c r="L41" s="33">
        <f>SUM(L34:L40)</f>
        <v>4415</v>
      </c>
      <c r="M41" s="33">
        <f>SUM(M34:M40)</f>
        <v>1279</v>
      </c>
      <c r="N41" s="33">
        <f>SUM(N34:N40)</f>
        <v>5</v>
      </c>
      <c r="O41" s="33">
        <f>SUM(O34:O40)</f>
        <v>65</v>
      </c>
      <c r="P41" s="33"/>
      <c r="Q41" s="33">
        <f>SUM(Q34:Q40)</f>
        <v>5764</v>
      </c>
    </row>
    <row r="42" spans="3:17" ht="12.75">
      <c r="C42" s="41"/>
      <c r="D42" s="41"/>
      <c r="E42" s="41"/>
      <c r="F42" s="41"/>
      <c r="G42" s="41"/>
      <c r="H42" s="41"/>
      <c r="I42" s="16"/>
      <c r="L42" s="33"/>
      <c r="M42" s="33"/>
      <c r="N42" s="33"/>
      <c r="O42" s="33"/>
      <c r="P42" s="33"/>
      <c r="Q42" s="33"/>
    </row>
    <row r="43" spans="1:17" ht="12.75">
      <c r="A43" t="s">
        <v>106</v>
      </c>
      <c r="C43" s="41">
        <f>SUM(C41+C31)</f>
        <v>18095</v>
      </c>
      <c r="D43" s="41">
        <f>SUM(D41+D31)</f>
        <v>12603</v>
      </c>
      <c r="E43" s="41">
        <f>SUM(E41+E31)</f>
        <v>132</v>
      </c>
      <c r="F43" s="41">
        <f>SUM(F41+F31)</f>
        <v>784</v>
      </c>
      <c r="G43" s="41"/>
      <c r="H43" s="41">
        <f>SUM(H41+H31)</f>
        <v>30960</v>
      </c>
      <c r="I43" s="83">
        <f>SUM(I5:I42)</f>
        <v>0.9999999999999999</v>
      </c>
      <c r="L43" s="41">
        <f>SUM(L41+L31)</f>
        <v>16853</v>
      </c>
      <c r="M43" s="41">
        <f>SUM(M41+M31)</f>
        <v>9677</v>
      </c>
      <c r="N43" s="41">
        <f>SUM(N41+N31)</f>
        <v>2238</v>
      </c>
      <c r="O43" s="41">
        <f>SUM(O41+O31)</f>
        <v>113</v>
      </c>
      <c r="P43" s="41"/>
      <c r="Q43" s="41">
        <f>SUM(Q41+Q31)</f>
        <v>28609</v>
      </c>
    </row>
    <row r="44" spans="3:17" ht="12.75">
      <c r="C44" s="41"/>
      <c r="D44" s="41"/>
      <c r="E44" s="41"/>
      <c r="F44" s="41"/>
      <c r="G44" s="41"/>
      <c r="H44" s="41"/>
      <c r="I44" s="83"/>
      <c r="L44" s="33"/>
      <c r="M44" s="33"/>
      <c r="N44" s="33"/>
      <c r="O44" s="33"/>
      <c r="P44" s="33"/>
      <c r="Q44" s="33"/>
    </row>
    <row r="45" spans="1:17" ht="12.75">
      <c r="A45" t="s">
        <v>54</v>
      </c>
      <c r="D45" s="41">
        <v>0</v>
      </c>
      <c r="H45" s="33">
        <f>SUM(C45:F45)</f>
        <v>0</v>
      </c>
      <c r="I45" s="168">
        <f>SUM(H45/$H$43,0)</f>
        <v>0</v>
      </c>
      <c r="L45" s="132">
        <v>0</v>
      </c>
      <c r="M45" s="41">
        <v>0</v>
      </c>
      <c r="N45" s="132">
        <v>0</v>
      </c>
      <c r="Q45" s="41">
        <f>SUM(L45:O45)</f>
        <v>0</v>
      </c>
    </row>
    <row r="46" spans="1:17" ht="13.5" thickBot="1">
      <c r="A46" t="s">
        <v>107</v>
      </c>
      <c r="C46" s="42">
        <f>SUM(C43:C45)</f>
        <v>18095</v>
      </c>
      <c r="D46" s="42">
        <f>SUM(D43:D45)</f>
        <v>12603</v>
      </c>
      <c r="E46" s="42">
        <f>SUM(E43:E45)</f>
        <v>132</v>
      </c>
      <c r="F46" s="42">
        <f>SUM(F43:F45)</f>
        <v>784</v>
      </c>
      <c r="G46" s="42"/>
      <c r="H46" s="42">
        <f>SUM(H43:H45)</f>
        <v>30960</v>
      </c>
      <c r="I46" s="169">
        <v>1</v>
      </c>
      <c r="L46" s="42">
        <f>SUM(L43:L45)</f>
        <v>16853</v>
      </c>
      <c r="M46" s="42">
        <f>SUM(M43:M45)</f>
        <v>9677</v>
      </c>
      <c r="N46" s="42">
        <f>SUM(N43:N45)</f>
        <v>2238</v>
      </c>
      <c r="O46" s="42">
        <f>SUM(O43:O45)</f>
        <v>113</v>
      </c>
      <c r="P46" s="42"/>
      <c r="Q46" s="42">
        <f>SUM(Q43:Q45)</f>
        <v>28609</v>
      </c>
    </row>
    <row r="47" spans="4:17" ht="13.5" thickTop="1">
      <c r="D47" s="41"/>
      <c r="L47" s="33"/>
      <c r="M47" s="33"/>
      <c r="N47" s="33"/>
      <c r="O47" s="33"/>
      <c r="P47" s="33"/>
      <c r="Q47" s="33"/>
    </row>
    <row r="48" ht="12.75">
      <c r="A48" t="s">
        <v>103</v>
      </c>
    </row>
    <row r="49" ht="12.75">
      <c r="Q49" s="41"/>
    </row>
  </sheetData>
  <mergeCells count="2">
    <mergeCell ref="A1:J1"/>
    <mergeCell ref="L3:Q3"/>
  </mergeCells>
  <printOptions/>
  <pageMargins left="0.75" right="0.75" top="0.62" bottom="1" header="0.5" footer="0.5"/>
  <pageSetup horizontalDpi="600" verticalDpi="600" orientation="landscape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I54"/>
  <sheetViews>
    <sheetView workbookViewId="0" topLeftCell="A19">
      <selection activeCell="O9" sqref="O9"/>
    </sheetView>
  </sheetViews>
  <sheetFormatPr defaultColWidth="9.140625" defaultRowHeight="12.75"/>
  <cols>
    <col min="1" max="1" width="12.421875" style="0" customWidth="1"/>
    <col min="2" max="2" width="16.28125" style="0" customWidth="1"/>
    <col min="3" max="3" width="12.00390625" style="0" customWidth="1"/>
    <col min="4" max="4" width="14.00390625" style="0" customWidth="1"/>
    <col min="5" max="5" width="2.28125" style="0" customWidth="1"/>
    <col min="6" max="6" width="15.00390625" style="0" customWidth="1"/>
    <col min="7" max="7" width="2.57421875" style="0" hidden="1" customWidth="1"/>
    <col min="8" max="8" width="14.140625" style="0" hidden="1" customWidth="1"/>
    <col min="9" max="9" width="11.28125" style="0" hidden="1" customWidth="1"/>
    <col min="10" max="10" width="0" style="0" hidden="1" customWidth="1"/>
  </cols>
  <sheetData>
    <row r="1" spans="1:6" ht="12.75">
      <c r="A1" s="292" t="s">
        <v>235</v>
      </c>
      <c r="B1" s="292"/>
      <c r="C1" s="292"/>
      <c r="D1" s="292"/>
      <c r="E1" s="292"/>
      <c r="F1" s="292"/>
    </row>
    <row r="3" spans="2:9" ht="12.75">
      <c r="B3" s="293" t="s">
        <v>290</v>
      </c>
      <c r="C3" s="294"/>
      <c r="D3" s="196"/>
      <c r="F3" s="90" t="s">
        <v>146</v>
      </c>
      <c r="H3" s="177" t="s">
        <v>87</v>
      </c>
      <c r="I3" s="19"/>
    </row>
    <row r="4" spans="2:9" ht="12.75">
      <c r="B4" s="95" t="s">
        <v>298</v>
      </c>
      <c r="C4" s="175" t="s">
        <v>297</v>
      </c>
      <c r="D4" s="175" t="s">
        <v>291</v>
      </c>
      <c r="F4" s="95" t="s">
        <v>147</v>
      </c>
      <c r="H4" s="179" t="s">
        <v>292</v>
      </c>
      <c r="I4" s="179" t="s">
        <v>146</v>
      </c>
    </row>
    <row r="5" spans="1:9" ht="12.75">
      <c r="A5" s="13" t="s">
        <v>0</v>
      </c>
      <c r="B5" s="44">
        <v>2835</v>
      </c>
      <c r="C5" s="32">
        <v>5</v>
      </c>
      <c r="D5" s="32">
        <f>SUM(B5-C5)</f>
        <v>2830</v>
      </c>
      <c r="F5" s="44">
        <v>2868</v>
      </c>
      <c r="G5" s="46"/>
      <c r="H5" s="46">
        <f>SUM(D5/$D$38)</f>
        <v>0.16519759500321055</v>
      </c>
      <c r="I5" s="46">
        <f>SUM(F5/$F$38)</f>
        <v>0.16186015012133867</v>
      </c>
    </row>
    <row r="6" spans="1:9" ht="12.75">
      <c r="A6" s="14" t="s">
        <v>15</v>
      </c>
      <c r="B6" s="31">
        <v>806</v>
      </c>
      <c r="C6" s="32">
        <v>6</v>
      </c>
      <c r="D6" s="32">
        <f aca="true" t="shared" si="0" ref="D6:D37">SUM(B6-C6)</f>
        <v>800</v>
      </c>
      <c r="F6" s="31">
        <v>817</v>
      </c>
      <c r="G6" s="46"/>
      <c r="H6" s="46">
        <f aca="true" t="shared" si="1" ref="H6:H37">SUM(D6/$D$38)</f>
        <v>0.046698966785359876</v>
      </c>
      <c r="I6" s="46">
        <f>SUM(F6/$F$38)</f>
        <v>0.04610869687905638</v>
      </c>
    </row>
    <row r="7" spans="1:9" ht="12.75">
      <c r="A7" s="14" t="s">
        <v>16</v>
      </c>
      <c r="B7" s="31">
        <v>252</v>
      </c>
      <c r="C7" s="32">
        <v>0</v>
      </c>
      <c r="D7" s="32">
        <f t="shared" si="0"/>
        <v>252</v>
      </c>
      <c r="F7" s="31">
        <v>246</v>
      </c>
      <c r="G7" s="46"/>
      <c r="H7" s="46">
        <f t="shared" si="1"/>
        <v>0.01471017453738836</v>
      </c>
      <c r="I7" s="46">
        <f aca="true" t="shared" si="2" ref="I7:I37">SUM(F7/$F$38)</f>
        <v>0.01388340199785541</v>
      </c>
    </row>
    <row r="8" spans="1:9" ht="12.75">
      <c r="A8" s="14" t="s">
        <v>17</v>
      </c>
      <c r="B8" s="31">
        <v>646</v>
      </c>
      <c r="C8" s="32">
        <v>3</v>
      </c>
      <c r="D8" s="32">
        <f t="shared" si="0"/>
        <v>643</v>
      </c>
      <c r="F8" s="31">
        <v>655</v>
      </c>
      <c r="G8" s="46"/>
      <c r="H8" s="46">
        <f t="shared" si="1"/>
        <v>0.037534294553733</v>
      </c>
      <c r="I8" s="46">
        <f t="shared" si="2"/>
        <v>0.036965968734127205</v>
      </c>
    </row>
    <row r="9" spans="1:9" ht="12.75">
      <c r="A9" s="14" t="s">
        <v>18</v>
      </c>
      <c r="B9" s="31">
        <v>539</v>
      </c>
      <c r="C9" s="32">
        <v>2</v>
      </c>
      <c r="D9" s="32">
        <f t="shared" si="0"/>
        <v>537</v>
      </c>
      <c r="F9" s="31">
        <v>583</v>
      </c>
      <c r="G9" s="46"/>
      <c r="H9" s="46">
        <f t="shared" si="1"/>
        <v>0.031346681454672815</v>
      </c>
      <c r="I9" s="46">
        <f t="shared" si="2"/>
        <v>0.03290253400304757</v>
      </c>
    </row>
    <row r="10" spans="1:9" ht="12.75">
      <c r="A10" s="14" t="s">
        <v>19</v>
      </c>
      <c r="B10" s="31">
        <v>1617</v>
      </c>
      <c r="C10" s="32">
        <v>0</v>
      </c>
      <c r="D10" s="32">
        <f t="shared" si="0"/>
        <v>1617</v>
      </c>
      <c r="F10" s="31">
        <v>1651</v>
      </c>
      <c r="G10" s="46"/>
      <c r="H10" s="46">
        <f t="shared" si="1"/>
        <v>0.09439028661490864</v>
      </c>
      <c r="I10" s="46">
        <f t="shared" si="2"/>
        <v>0.09317681584739546</v>
      </c>
    </row>
    <row r="11" spans="1:9" ht="12.75">
      <c r="A11" s="14" t="s">
        <v>20</v>
      </c>
      <c r="B11" s="31">
        <v>126</v>
      </c>
      <c r="C11" s="32">
        <v>2</v>
      </c>
      <c r="D11" s="32">
        <f t="shared" si="0"/>
        <v>124</v>
      </c>
      <c r="F11" s="31">
        <v>140</v>
      </c>
      <c r="G11" s="46"/>
      <c r="H11" s="46">
        <f t="shared" si="1"/>
        <v>0.00723833985173078</v>
      </c>
      <c r="I11" s="46">
        <f t="shared" si="2"/>
        <v>0.007901123088210395</v>
      </c>
    </row>
    <row r="12" spans="1:9" ht="12.75">
      <c r="A12" s="14" t="s">
        <v>21</v>
      </c>
      <c r="B12" s="31">
        <v>548</v>
      </c>
      <c r="C12" s="32">
        <v>1</v>
      </c>
      <c r="D12" s="32">
        <f t="shared" si="0"/>
        <v>547</v>
      </c>
      <c r="F12" s="31">
        <v>572</v>
      </c>
      <c r="G12" s="46"/>
      <c r="H12" s="46">
        <f t="shared" si="1"/>
        <v>0.031930418539489816</v>
      </c>
      <c r="I12" s="46">
        <f t="shared" si="2"/>
        <v>0.032281731474688186</v>
      </c>
    </row>
    <row r="13" spans="1:9" ht="12.75">
      <c r="A13" s="14" t="s">
        <v>22</v>
      </c>
      <c r="B13" s="31">
        <v>213</v>
      </c>
      <c r="C13" s="32">
        <v>2</v>
      </c>
      <c r="D13" s="32">
        <f t="shared" si="0"/>
        <v>211</v>
      </c>
      <c r="F13" s="31">
        <v>229</v>
      </c>
      <c r="G13" s="46"/>
      <c r="H13" s="46">
        <f t="shared" si="1"/>
        <v>0.012316852489638666</v>
      </c>
      <c r="I13" s="46">
        <f t="shared" si="2"/>
        <v>0.01292397990857272</v>
      </c>
    </row>
    <row r="14" spans="1:9" ht="12.75">
      <c r="A14" s="14" t="s">
        <v>23</v>
      </c>
      <c r="B14" s="31">
        <v>668</v>
      </c>
      <c r="C14" s="32">
        <v>0</v>
      </c>
      <c r="D14" s="32">
        <f t="shared" si="0"/>
        <v>668</v>
      </c>
      <c r="F14" s="31">
        <v>709</v>
      </c>
      <c r="G14" s="46"/>
      <c r="H14" s="46">
        <f t="shared" si="1"/>
        <v>0.038993637265775496</v>
      </c>
      <c r="I14" s="46">
        <f t="shared" si="2"/>
        <v>0.04001354478243693</v>
      </c>
    </row>
    <row r="15" spans="1:9" ht="12.75">
      <c r="A15" s="14" t="s">
        <v>24</v>
      </c>
      <c r="B15" s="31">
        <v>381</v>
      </c>
      <c r="C15" s="32">
        <v>0</v>
      </c>
      <c r="D15" s="32">
        <f t="shared" si="0"/>
        <v>381</v>
      </c>
      <c r="F15" s="31">
        <v>395</v>
      </c>
      <c r="G15" s="46"/>
      <c r="H15" s="46">
        <f t="shared" si="1"/>
        <v>0.02224038293152764</v>
      </c>
      <c r="I15" s="46">
        <f t="shared" si="2"/>
        <v>0.02229245442745076</v>
      </c>
    </row>
    <row r="16" spans="1:9" ht="12.75">
      <c r="A16" s="14" t="s">
        <v>25</v>
      </c>
      <c r="B16" s="31">
        <v>214</v>
      </c>
      <c r="C16" s="32">
        <v>1</v>
      </c>
      <c r="D16" s="32">
        <f t="shared" si="0"/>
        <v>213</v>
      </c>
      <c r="F16" s="31">
        <v>217</v>
      </c>
      <c r="G16" s="46"/>
      <c r="H16" s="46">
        <f t="shared" si="1"/>
        <v>0.012433599906602066</v>
      </c>
      <c r="I16" s="46">
        <f t="shared" si="2"/>
        <v>0.012246740786726114</v>
      </c>
    </row>
    <row r="17" spans="1:9" ht="12.75">
      <c r="A17" s="14" t="s">
        <v>26</v>
      </c>
      <c r="B17" s="31">
        <v>136</v>
      </c>
      <c r="C17" s="32">
        <v>0</v>
      </c>
      <c r="D17" s="32">
        <f t="shared" si="0"/>
        <v>136</v>
      </c>
      <c r="F17" s="31">
        <v>145</v>
      </c>
      <c r="G17" s="46"/>
      <c r="H17" s="46">
        <f t="shared" si="1"/>
        <v>0.00793882435351118</v>
      </c>
      <c r="I17" s="46">
        <f t="shared" si="2"/>
        <v>0.008183306055646482</v>
      </c>
    </row>
    <row r="18" spans="1:9" ht="12.75">
      <c r="A18" s="14" t="s">
        <v>27</v>
      </c>
      <c r="B18" s="31">
        <v>641</v>
      </c>
      <c r="C18" s="32">
        <v>4</v>
      </c>
      <c r="D18" s="32">
        <f t="shared" si="0"/>
        <v>637</v>
      </c>
      <c r="F18" s="31">
        <v>631</v>
      </c>
      <c r="G18" s="46"/>
      <c r="H18" s="46">
        <f t="shared" si="1"/>
        <v>0.0371840523028428</v>
      </c>
      <c r="I18" s="46">
        <f t="shared" si="2"/>
        <v>0.035611490490433995</v>
      </c>
    </row>
    <row r="19" spans="1:9" ht="12.75">
      <c r="A19" s="14" t="s">
        <v>28</v>
      </c>
      <c r="B19" s="31">
        <v>366</v>
      </c>
      <c r="C19" s="32">
        <v>1</v>
      </c>
      <c r="D19" s="32">
        <f t="shared" si="0"/>
        <v>365</v>
      </c>
      <c r="F19" s="31">
        <v>379</v>
      </c>
      <c r="G19" s="46"/>
      <c r="H19" s="46">
        <f t="shared" si="1"/>
        <v>0.021306403595820443</v>
      </c>
      <c r="I19" s="46">
        <f t="shared" si="2"/>
        <v>0.021389468931655286</v>
      </c>
    </row>
    <row r="20" spans="1:9" ht="12.75">
      <c r="A20" s="14" t="s">
        <v>29</v>
      </c>
      <c r="B20" s="31">
        <v>227</v>
      </c>
      <c r="C20" s="32">
        <v>0</v>
      </c>
      <c r="D20" s="32">
        <f t="shared" si="0"/>
        <v>227</v>
      </c>
      <c r="F20" s="31">
        <v>231</v>
      </c>
      <c r="G20" s="46"/>
      <c r="H20" s="46">
        <f t="shared" si="1"/>
        <v>0.013250831825345864</v>
      </c>
      <c r="I20" s="46">
        <f t="shared" si="2"/>
        <v>0.013036853095547153</v>
      </c>
    </row>
    <row r="21" spans="1:9" ht="12.75">
      <c r="A21" s="14" t="s">
        <v>30</v>
      </c>
      <c r="B21" s="31">
        <v>44</v>
      </c>
      <c r="C21" s="32">
        <v>0</v>
      </c>
      <c r="D21" s="32">
        <f t="shared" si="0"/>
        <v>44</v>
      </c>
      <c r="F21" s="31">
        <v>56</v>
      </c>
      <c r="G21" s="46"/>
      <c r="H21" s="46">
        <f t="shared" si="1"/>
        <v>0.0025684431731947933</v>
      </c>
      <c r="I21" s="46">
        <f t="shared" si="2"/>
        <v>0.003160449235284158</v>
      </c>
    </row>
    <row r="22" spans="1:9" ht="12.75">
      <c r="A22" s="14" t="s">
        <v>31</v>
      </c>
      <c r="B22" s="31">
        <v>301</v>
      </c>
      <c r="C22" s="32">
        <v>19</v>
      </c>
      <c r="D22" s="32">
        <f t="shared" si="0"/>
        <v>282</v>
      </c>
      <c r="F22" s="31">
        <v>302</v>
      </c>
      <c r="G22" s="46"/>
      <c r="H22" s="46">
        <f t="shared" si="1"/>
        <v>0.016461385791839356</v>
      </c>
      <c r="I22" s="46">
        <f t="shared" si="2"/>
        <v>0.01704385123313957</v>
      </c>
    </row>
    <row r="23" spans="1:9" ht="12.75">
      <c r="A23" s="14" t="s">
        <v>32</v>
      </c>
      <c r="B23" s="31">
        <v>50</v>
      </c>
      <c r="C23" s="32">
        <v>2</v>
      </c>
      <c r="D23" s="32">
        <f t="shared" si="0"/>
        <v>48</v>
      </c>
      <c r="F23" s="31">
        <v>59</v>
      </c>
      <c r="G23" s="46"/>
      <c r="H23" s="46">
        <f t="shared" si="1"/>
        <v>0.0028019380071215923</v>
      </c>
      <c r="I23" s="46">
        <f t="shared" si="2"/>
        <v>0.0033297590157458094</v>
      </c>
    </row>
    <row r="24" spans="1:9" ht="12.75">
      <c r="A24" s="14" t="s">
        <v>33</v>
      </c>
      <c r="B24" s="31">
        <v>108</v>
      </c>
      <c r="C24" s="32">
        <v>11</v>
      </c>
      <c r="D24" s="32">
        <f t="shared" si="0"/>
        <v>97</v>
      </c>
      <c r="F24" s="31">
        <v>122</v>
      </c>
      <c r="G24" s="46"/>
      <c r="H24" s="46">
        <f t="shared" si="1"/>
        <v>0.0056622497227248846</v>
      </c>
      <c r="I24" s="46">
        <f t="shared" si="2"/>
        <v>0.006885264405440488</v>
      </c>
    </row>
    <row r="25" spans="1:9" ht="12.75">
      <c r="A25" s="14" t="s">
        <v>34</v>
      </c>
      <c r="B25" s="31">
        <v>76</v>
      </c>
      <c r="C25" s="32">
        <v>0</v>
      </c>
      <c r="D25" s="32">
        <f t="shared" si="0"/>
        <v>76</v>
      </c>
      <c r="F25" s="31">
        <v>83</v>
      </c>
      <c r="G25" s="46"/>
      <c r="H25" s="46">
        <f t="shared" si="1"/>
        <v>0.004436401844609188</v>
      </c>
      <c r="I25" s="46">
        <f t="shared" si="2"/>
        <v>0.0046842372594390206</v>
      </c>
    </row>
    <row r="26" spans="1:9" ht="12.75">
      <c r="A26" s="14" t="s">
        <v>35</v>
      </c>
      <c r="B26" s="31">
        <v>29</v>
      </c>
      <c r="C26" s="32">
        <v>0</v>
      </c>
      <c r="D26" s="32">
        <f t="shared" si="0"/>
        <v>29</v>
      </c>
      <c r="F26" s="31">
        <v>32</v>
      </c>
      <c r="G26" s="46"/>
      <c r="H26" s="46">
        <f t="shared" si="1"/>
        <v>0.0016928375459692954</v>
      </c>
      <c r="I26" s="46">
        <f t="shared" si="2"/>
        <v>0.0018059709915909476</v>
      </c>
    </row>
    <row r="27" spans="1:9" ht="12.75">
      <c r="A27" s="14" t="s">
        <v>36</v>
      </c>
      <c r="B27" s="31">
        <v>54</v>
      </c>
      <c r="C27" s="32">
        <v>0</v>
      </c>
      <c r="D27" s="32">
        <f t="shared" si="0"/>
        <v>54</v>
      </c>
      <c r="F27" s="31">
        <v>65</v>
      </c>
      <c r="G27" s="46"/>
      <c r="H27" s="46">
        <f t="shared" si="1"/>
        <v>0.0031521802580117917</v>
      </c>
      <c r="I27" s="46">
        <f t="shared" si="2"/>
        <v>0.003668378576669112</v>
      </c>
    </row>
    <row r="28" spans="1:9" ht="12.75">
      <c r="A28" s="14" t="s">
        <v>37</v>
      </c>
      <c r="B28" s="31">
        <v>662</v>
      </c>
      <c r="C28" s="32">
        <v>7</v>
      </c>
      <c r="D28" s="32">
        <f t="shared" si="0"/>
        <v>655</v>
      </c>
      <c r="F28" s="31">
        <v>721</v>
      </c>
      <c r="G28" s="46"/>
      <c r="H28" s="46">
        <f t="shared" si="1"/>
        <v>0.038234779055513396</v>
      </c>
      <c r="I28" s="46">
        <f t="shared" si="2"/>
        <v>0.04069078390428354</v>
      </c>
    </row>
    <row r="29" spans="1:9" ht="12.75">
      <c r="A29" s="14" t="s">
        <v>38</v>
      </c>
      <c r="B29" s="31">
        <v>0</v>
      </c>
      <c r="C29" s="32">
        <v>0</v>
      </c>
      <c r="D29" s="32">
        <f t="shared" si="0"/>
        <v>0</v>
      </c>
      <c r="F29" s="31">
        <v>0</v>
      </c>
      <c r="G29" s="46"/>
      <c r="H29" s="46">
        <f t="shared" si="1"/>
        <v>0</v>
      </c>
      <c r="I29" s="46">
        <f t="shared" si="2"/>
        <v>0</v>
      </c>
    </row>
    <row r="30" spans="1:9" ht="12.75">
      <c r="A30" s="14" t="s">
        <v>8</v>
      </c>
      <c r="B30" s="31">
        <v>626</v>
      </c>
      <c r="C30" s="32">
        <v>9</v>
      </c>
      <c r="D30" s="32">
        <f t="shared" si="0"/>
        <v>617</v>
      </c>
      <c r="F30" s="31">
        <v>609</v>
      </c>
      <c r="G30" s="46"/>
      <c r="H30" s="46">
        <f t="shared" si="1"/>
        <v>0.036016578133208806</v>
      </c>
      <c r="I30" s="46">
        <f t="shared" si="2"/>
        <v>0.03436988543371522</v>
      </c>
    </row>
    <row r="31" spans="1:9" ht="12.75">
      <c r="A31" s="14" t="s">
        <v>315</v>
      </c>
      <c r="B31" s="86">
        <f>1373-272</f>
        <v>1101</v>
      </c>
      <c r="C31" s="32">
        <v>0</v>
      </c>
      <c r="D31" s="32">
        <f t="shared" si="0"/>
        <v>1101</v>
      </c>
      <c r="F31" s="31">
        <v>1465</v>
      </c>
      <c r="G31" s="46"/>
      <c r="H31" s="46">
        <f t="shared" si="1"/>
        <v>0.06426945303835152</v>
      </c>
      <c r="I31" s="46">
        <f t="shared" si="2"/>
        <v>0.08267960945877306</v>
      </c>
    </row>
    <row r="32" spans="1:9" ht="12.75">
      <c r="A32" s="14" t="s">
        <v>39</v>
      </c>
      <c r="B32" s="31">
        <v>1857</v>
      </c>
      <c r="C32" s="32">
        <v>0</v>
      </c>
      <c r="D32" s="32">
        <f t="shared" si="0"/>
        <v>1857</v>
      </c>
      <c r="F32" s="31">
        <v>1945</v>
      </c>
      <c r="G32" s="46"/>
      <c r="H32" s="46">
        <f t="shared" si="1"/>
        <v>0.10839997665051661</v>
      </c>
      <c r="I32" s="46">
        <f t="shared" si="2"/>
        <v>0.10976917433263728</v>
      </c>
    </row>
    <row r="33" spans="1:9" ht="12.75">
      <c r="A33" s="14" t="s">
        <v>5</v>
      </c>
      <c r="B33" s="31">
        <v>297</v>
      </c>
      <c r="C33" s="32">
        <v>0</v>
      </c>
      <c r="D33" s="32">
        <f t="shared" si="0"/>
        <v>297</v>
      </c>
      <c r="F33" s="31">
        <v>304</v>
      </c>
      <c r="G33" s="46"/>
      <c r="H33" s="46">
        <f t="shared" si="1"/>
        <v>0.017336991419064852</v>
      </c>
      <c r="I33" s="46">
        <f t="shared" si="2"/>
        <v>0.017156724420114</v>
      </c>
    </row>
    <row r="34" spans="1:9" ht="12.75">
      <c r="A34" s="14" t="s">
        <v>6</v>
      </c>
      <c r="B34" s="31">
        <v>383</v>
      </c>
      <c r="C34" s="32">
        <v>0</v>
      </c>
      <c r="D34" s="32">
        <f t="shared" si="0"/>
        <v>383</v>
      </c>
      <c r="F34" s="31">
        <v>377</v>
      </c>
      <c r="G34" s="46"/>
      <c r="H34" s="46">
        <f t="shared" si="1"/>
        <v>0.02235713034849104</v>
      </c>
      <c r="I34" s="46">
        <f t="shared" si="2"/>
        <v>0.02127659574468085</v>
      </c>
    </row>
    <row r="35" spans="1:9" ht="12.75">
      <c r="A35" s="14" t="s">
        <v>9</v>
      </c>
      <c r="B35" s="31">
        <v>624</v>
      </c>
      <c r="C35" s="32">
        <v>0</v>
      </c>
      <c r="D35" s="32">
        <f t="shared" si="0"/>
        <v>624</v>
      </c>
      <c r="F35" s="31">
        <v>599</v>
      </c>
      <c r="G35" s="46"/>
      <c r="H35" s="46">
        <f t="shared" si="1"/>
        <v>0.0364251940925807</v>
      </c>
      <c r="I35" s="46">
        <f t="shared" si="2"/>
        <v>0.03380551949884305</v>
      </c>
    </row>
    <row r="36" spans="1:9" ht="12.75">
      <c r="A36" s="14" t="s">
        <v>145</v>
      </c>
      <c r="B36" s="31">
        <v>507</v>
      </c>
      <c r="C36" s="32">
        <v>0</v>
      </c>
      <c r="D36" s="32">
        <f t="shared" si="0"/>
        <v>507</v>
      </c>
      <c r="F36" s="31">
        <v>512</v>
      </c>
      <c r="G36" s="46"/>
      <c r="H36" s="46">
        <f t="shared" si="1"/>
        <v>0.02959547020022182</v>
      </c>
      <c r="I36" s="46">
        <f t="shared" si="2"/>
        <v>0.028895535865455162</v>
      </c>
    </row>
    <row r="37" spans="1:9" ht="12.75">
      <c r="A37" s="14" t="s">
        <v>60</v>
      </c>
      <c r="B37" s="36">
        <v>272</v>
      </c>
      <c r="C37" s="36">
        <v>0</v>
      </c>
      <c r="D37" s="32">
        <f t="shared" si="0"/>
        <v>272</v>
      </c>
      <c r="F37" s="36">
        <v>0</v>
      </c>
      <c r="G37" s="178"/>
      <c r="H37" s="178">
        <f t="shared" si="1"/>
        <v>0.01587764870702236</v>
      </c>
      <c r="I37" s="178">
        <f t="shared" si="2"/>
        <v>0</v>
      </c>
    </row>
    <row r="38" spans="1:9" ht="12.75">
      <c r="A38" s="92" t="s">
        <v>111</v>
      </c>
      <c r="B38" s="91">
        <f>SUM(B5:B37)</f>
        <v>17206</v>
      </c>
      <c r="C38" s="91">
        <f>SUM(C5:C37)</f>
        <v>75</v>
      </c>
      <c r="D38" s="91">
        <f>SUM(D5:D37)</f>
        <v>17131</v>
      </c>
      <c r="F38" s="91">
        <f>SUM(F5:F37)</f>
        <v>17719</v>
      </c>
      <c r="H38" s="47">
        <f>SUM(H5:H37)</f>
        <v>1</v>
      </c>
      <c r="I38" s="47">
        <f>SUM(I5:I37)</f>
        <v>0.9999999999999998</v>
      </c>
    </row>
    <row r="39" spans="1:6" ht="12.75">
      <c r="A39" s="174"/>
      <c r="B39" s="176" t="s">
        <v>316</v>
      </c>
      <c r="C39" s="176"/>
      <c r="D39" s="176"/>
      <c r="E39" s="176"/>
      <c r="F39" s="176" t="s">
        <v>299</v>
      </c>
    </row>
    <row r="40" spans="1:7" ht="12.75">
      <c r="A40" s="121"/>
      <c r="C40" s="41"/>
      <c r="G40" s="41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spans="1:2" ht="12.75">
      <c r="A48" s="14"/>
      <c r="B48" s="189"/>
    </row>
    <row r="49" spans="1:2" ht="12.75">
      <c r="A49" s="14"/>
      <c r="B49" s="189"/>
    </row>
    <row r="50" spans="1:2" ht="12.75">
      <c r="A50" s="14"/>
      <c r="B50" s="189"/>
    </row>
    <row r="51" spans="1:2" ht="12.75">
      <c r="A51" s="14"/>
      <c r="B51" s="189"/>
    </row>
    <row r="52" spans="1:2" ht="12.75">
      <c r="A52" s="14"/>
      <c r="B52" s="189"/>
    </row>
    <row r="53" spans="1:2" ht="12.75">
      <c r="A53" s="14"/>
      <c r="B53" s="189"/>
    </row>
    <row r="54" spans="1:2" ht="12.75">
      <c r="A54" s="121"/>
      <c r="B54" s="120"/>
    </row>
  </sheetData>
  <mergeCells count="2">
    <mergeCell ref="A1:F1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41"/>
  <sheetViews>
    <sheetView zoomScale="75" zoomScaleNormal="75" workbookViewId="0" topLeftCell="A1">
      <selection activeCell="O9" sqref="O9"/>
    </sheetView>
  </sheetViews>
  <sheetFormatPr defaultColWidth="9.140625" defaultRowHeight="12.75"/>
  <cols>
    <col min="1" max="1" width="18.8515625" style="0" customWidth="1"/>
    <col min="2" max="2" width="14.421875" style="0" customWidth="1"/>
    <col min="3" max="3" width="2.7109375" style="0" customWidth="1"/>
    <col min="4" max="4" width="12.7109375" style="0" customWidth="1"/>
    <col min="5" max="5" width="2.8515625" style="0" customWidth="1"/>
    <col min="6" max="6" width="13.28125" style="0" customWidth="1"/>
    <col min="8" max="8" width="15.00390625" style="0" customWidth="1"/>
  </cols>
  <sheetData>
    <row r="1" spans="1:6" ht="15.75">
      <c r="A1" s="295" t="s">
        <v>78</v>
      </c>
      <c r="B1" s="295"/>
      <c r="C1" s="295"/>
      <c r="D1" s="295"/>
      <c r="E1" s="295"/>
      <c r="F1" s="295"/>
    </row>
    <row r="2" spans="1:6" ht="15.75">
      <c r="A2" s="295" t="s">
        <v>79</v>
      </c>
      <c r="B2" s="295"/>
      <c r="C2" s="295"/>
      <c r="D2" s="295"/>
      <c r="E2" s="295"/>
      <c r="F2" s="295"/>
    </row>
    <row r="3" spans="1:6" ht="15.75">
      <c r="A3" s="295" t="s">
        <v>293</v>
      </c>
      <c r="B3" s="295"/>
      <c r="C3" s="295"/>
      <c r="D3" s="295"/>
      <c r="E3" s="295"/>
      <c r="F3" s="295"/>
    </row>
    <row r="4" spans="1:6" ht="15.75">
      <c r="A4" s="296" t="s">
        <v>132</v>
      </c>
      <c r="B4" s="296"/>
      <c r="C4" s="296"/>
      <c r="D4" s="296"/>
      <c r="E4" s="296"/>
      <c r="F4" s="296"/>
    </row>
    <row r="5" ht="15.75">
      <c r="A5" s="56"/>
    </row>
    <row r="6" ht="15.75">
      <c r="A6" s="57"/>
    </row>
    <row r="7" spans="1:2" ht="15.75">
      <c r="A7" s="55"/>
      <c r="B7" s="57" t="s">
        <v>258</v>
      </c>
    </row>
    <row r="8" spans="1:6" ht="15.75">
      <c r="A8" s="58"/>
      <c r="B8" s="57" t="s">
        <v>80</v>
      </c>
      <c r="F8" s="57" t="s">
        <v>258</v>
      </c>
    </row>
    <row r="9" spans="1:6" ht="15.75">
      <c r="A9" s="58"/>
      <c r="B9" s="57" t="s">
        <v>45</v>
      </c>
      <c r="C9" s="57"/>
      <c r="D9" s="57" t="s">
        <v>42</v>
      </c>
      <c r="E9" s="57"/>
      <c r="F9" s="57" t="s">
        <v>131</v>
      </c>
    </row>
    <row r="10" spans="1:6" ht="15.75">
      <c r="A10" s="58"/>
      <c r="B10" s="115" t="s">
        <v>130</v>
      </c>
      <c r="C10" s="59"/>
      <c r="D10" s="115" t="s">
        <v>81</v>
      </c>
      <c r="E10" s="59"/>
      <c r="F10" s="115" t="s">
        <v>82</v>
      </c>
    </row>
    <row r="11" spans="1:6" ht="15.75">
      <c r="A11" s="58" t="s">
        <v>0</v>
      </c>
      <c r="B11" s="60">
        <f>SUM('FY07 PB'!D6)</f>
        <v>696263</v>
      </c>
      <c r="C11" s="60"/>
      <c r="D11" s="72">
        <f aca="true" t="shared" si="0" ref="D11:D16">SUM(B11/$A$41)</f>
        <v>0.2766644957766985</v>
      </c>
      <c r="E11" s="72"/>
      <c r="F11" s="60">
        <f>ROUND(D11*$A$40,0)-1</f>
        <v>91894</v>
      </c>
    </row>
    <row r="12" spans="1:6" ht="15.75">
      <c r="A12" s="58" t="s">
        <v>15</v>
      </c>
      <c r="B12" s="61">
        <f>SUM('FY07 PB'!D7)</f>
        <v>164635</v>
      </c>
      <c r="C12" s="61"/>
      <c r="D12" s="72">
        <f t="shared" si="0"/>
        <v>0.06541875593302639</v>
      </c>
      <c r="E12" s="72"/>
      <c r="F12" s="61">
        <f>ROUND(D12*$A$40,0)</f>
        <v>21729</v>
      </c>
    </row>
    <row r="13" spans="1:6" ht="15.75">
      <c r="A13" s="58" t="s">
        <v>16</v>
      </c>
      <c r="B13" s="61">
        <f>SUM('FY07 PB'!D8)</f>
        <v>56715</v>
      </c>
      <c r="C13" s="61"/>
      <c r="D13" s="72">
        <f t="shared" si="0"/>
        <v>0.022536063065214516</v>
      </c>
      <c r="E13" s="72"/>
      <c r="F13" s="61">
        <f>ROUND(D13*$A$40,0)</f>
        <v>7485</v>
      </c>
    </row>
    <row r="14" spans="1:6" ht="15.75">
      <c r="A14" s="58" t="s">
        <v>17</v>
      </c>
      <c r="B14" s="61">
        <f>SUM('FY07 PB'!D9)</f>
        <v>162413</v>
      </c>
      <c r="C14" s="61"/>
      <c r="D14" s="72">
        <f t="shared" si="0"/>
        <v>0.06453583021441744</v>
      </c>
      <c r="E14" s="72"/>
      <c r="F14" s="61">
        <f>ROUND(D14*$A$40,0)</f>
        <v>21436</v>
      </c>
    </row>
    <row r="15" spans="1:6" ht="15.75">
      <c r="A15" s="58" t="s">
        <v>18</v>
      </c>
      <c r="B15" s="61">
        <f>SUM('FY07 PB'!D10)</f>
        <v>142033</v>
      </c>
      <c r="C15" s="61"/>
      <c r="D15" s="72">
        <f t="shared" si="0"/>
        <v>0.056437708636897</v>
      </c>
      <c r="E15" s="72"/>
      <c r="F15" s="61">
        <f>ROUND(D15*$A$40,0)</f>
        <v>18746</v>
      </c>
    </row>
    <row r="16" spans="1:6" ht="15.75">
      <c r="A16" s="58" t="s">
        <v>19</v>
      </c>
      <c r="B16" s="61">
        <f>SUM('FY07 PB'!D11)</f>
        <v>536792</v>
      </c>
      <c r="C16" s="61"/>
      <c r="D16" s="72">
        <f t="shared" si="0"/>
        <v>0.21329768782337352</v>
      </c>
      <c r="E16" s="72"/>
      <c r="F16" s="61">
        <f>ROUND(D16*$A$40,0)</f>
        <v>70847</v>
      </c>
    </row>
    <row r="17" spans="1:6" ht="15.75">
      <c r="A17" s="58" t="s">
        <v>83</v>
      </c>
      <c r="B17" s="195">
        <f>SUM('FY07 PB'!D12)</f>
        <v>2494</v>
      </c>
      <c r="C17" s="61"/>
      <c r="D17" s="72">
        <v>0</v>
      </c>
      <c r="E17" s="72"/>
      <c r="F17" s="63">
        <v>153</v>
      </c>
    </row>
    <row r="18" spans="1:6" ht="15.75">
      <c r="A18" s="58" t="s">
        <v>21</v>
      </c>
      <c r="B18" s="61">
        <f>SUM('FY07 PB'!D13)</f>
        <v>157587</v>
      </c>
      <c r="C18" s="61"/>
      <c r="D18" s="72">
        <f>SUM(B18/$A$41)</f>
        <v>0.06261818866715965</v>
      </c>
      <c r="E18" s="72"/>
      <c r="F18" s="61">
        <f>ROUND(D18*$A$40,0)</f>
        <v>20799</v>
      </c>
    </row>
    <row r="19" spans="1:6" ht="15.75">
      <c r="A19" s="58" t="s">
        <v>22</v>
      </c>
      <c r="B19" s="61">
        <f>SUM('FY07 PB'!D14)</f>
        <v>67152</v>
      </c>
      <c r="C19" s="61"/>
      <c r="D19" s="72">
        <f>SUM(B19/$A$41)</f>
        <v>0.026683270862298953</v>
      </c>
      <c r="E19" s="72"/>
      <c r="F19" s="61">
        <f>ROUND(D19*$A$40,0)</f>
        <v>8863</v>
      </c>
    </row>
    <row r="20" spans="1:6" ht="15.75">
      <c r="A20" s="58" t="s">
        <v>23</v>
      </c>
      <c r="B20" s="61">
        <f>SUM('FY07 PB'!D15)-38457</f>
        <v>128273</v>
      </c>
      <c r="C20" s="65" t="s">
        <v>84</v>
      </c>
      <c r="D20" s="72">
        <f>SUM(B20/$A$41)</f>
        <v>0.05097008582498918</v>
      </c>
      <c r="E20" s="72"/>
      <c r="F20" s="61">
        <f>ROUND(D20*$A$40,0)</f>
        <v>16930</v>
      </c>
    </row>
    <row r="21" spans="1:6" ht="15.75">
      <c r="A21" s="58" t="s">
        <v>85</v>
      </c>
      <c r="B21" s="195">
        <f>SUM('FY07 PB'!D16)</f>
        <v>102165</v>
      </c>
      <c r="C21" s="64"/>
      <c r="D21" s="72">
        <v>0</v>
      </c>
      <c r="E21" s="72"/>
      <c r="F21" s="63">
        <v>7629</v>
      </c>
    </row>
    <row r="22" spans="1:6" ht="15.75">
      <c r="A22" s="58" t="s">
        <v>25</v>
      </c>
      <c r="B22" s="61">
        <f>SUM('FY07 PB'!D17)</f>
        <v>50075</v>
      </c>
      <c r="C22" s="66"/>
      <c r="D22" s="72">
        <f>SUM(B22/$A$41)</f>
        <v>0.01989761717342179</v>
      </c>
      <c r="E22" s="72"/>
      <c r="F22" s="61">
        <f>ROUND(D22*$A$40,0)</f>
        <v>6609</v>
      </c>
    </row>
    <row r="23" spans="1:6" ht="15.75">
      <c r="A23" s="58" t="s">
        <v>26</v>
      </c>
      <c r="B23" s="61">
        <f>SUM('FY07 PB'!D18)</f>
        <v>34290</v>
      </c>
      <c r="C23" s="66"/>
      <c r="D23" s="72">
        <f>SUM(B23/$A$41)</f>
        <v>0.013625347835778996</v>
      </c>
      <c r="E23" s="72"/>
      <c r="F23" s="61">
        <f>ROUND(D23*$A$40,0)</f>
        <v>4526</v>
      </c>
    </row>
    <row r="24" spans="1:6" ht="15.75">
      <c r="A24" s="58" t="s">
        <v>27</v>
      </c>
      <c r="B24" s="61">
        <f>SUM('FY07 PB'!D19)</f>
        <v>158032</v>
      </c>
      <c r="C24" s="66"/>
      <c r="D24" s="72">
        <f>SUM(B24/$A$41)</f>
        <v>0.06279501222466685</v>
      </c>
      <c r="E24" s="72"/>
      <c r="F24" s="61">
        <f>ROUND(D24*$A$40,0)</f>
        <v>20858</v>
      </c>
    </row>
    <row r="25" spans="1:6" ht="15.75">
      <c r="A25" s="58" t="s">
        <v>86</v>
      </c>
      <c r="B25" s="195">
        <f>SUM('FY07 PB'!D20)</f>
        <v>78575</v>
      </c>
      <c r="D25" s="72">
        <v>0</v>
      </c>
      <c r="E25" s="72"/>
      <c r="F25" s="63">
        <v>4897</v>
      </c>
    </row>
    <row r="26" spans="1:6" ht="15.75">
      <c r="A26" s="58" t="s">
        <v>29</v>
      </c>
      <c r="B26" s="61">
        <f>SUM('FY07 PB'!D21)</f>
        <v>44848</v>
      </c>
      <c r="C26" s="61"/>
      <c r="D26" s="72">
        <f aca="true" t="shared" si="1" ref="D26:D34">SUM(B26/$A$41)</f>
        <v>0.01782063574625303</v>
      </c>
      <c r="E26" s="72"/>
      <c r="F26" s="61">
        <f aca="true" t="shared" si="2" ref="F26:F34">ROUND(D26*$A$40,0)</f>
        <v>5919</v>
      </c>
    </row>
    <row r="27" spans="1:6" ht="15.75">
      <c r="A27" s="58" t="s">
        <v>30</v>
      </c>
      <c r="B27" s="61">
        <f>SUM('FY07 PB'!D22)</f>
        <v>3346</v>
      </c>
      <c r="C27" s="61"/>
      <c r="D27" s="72">
        <f t="shared" si="1"/>
        <v>0.0013295542099304905</v>
      </c>
      <c r="E27" s="72"/>
      <c r="F27" s="61">
        <f t="shared" si="2"/>
        <v>442</v>
      </c>
    </row>
    <row r="28" spans="1:6" ht="15.75">
      <c r="A28" s="58" t="s">
        <v>31</v>
      </c>
      <c r="B28" s="61">
        <f>SUM('FY07 PB'!D23)</f>
        <v>97466</v>
      </c>
      <c r="C28" s="61"/>
      <c r="D28" s="72">
        <f t="shared" si="1"/>
        <v>0.03872873001347435</v>
      </c>
      <c r="E28" s="72"/>
      <c r="F28" s="61">
        <f t="shared" si="2"/>
        <v>12864</v>
      </c>
    </row>
    <row r="29" spans="1:6" ht="15.75">
      <c r="A29" s="58" t="s">
        <v>32</v>
      </c>
      <c r="B29" s="61">
        <f>SUM('FY07 PB'!D24)</f>
        <v>7718</v>
      </c>
      <c r="C29" s="61"/>
      <c r="D29" s="72">
        <f t="shared" si="1"/>
        <v>0.0030667959929000376</v>
      </c>
      <c r="E29" s="72"/>
      <c r="F29" s="61">
        <f t="shared" si="2"/>
        <v>1019</v>
      </c>
    </row>
    <row r="30" spans="1:6" ht="15.75">
      <c r="A30" s="58" t="s">
        <v>33</v>
      </c>
      <c r="B30" s="61">
        <f>SUM('FY07 PB'!D25)</f>
        <v>0</v>
      </c>
      <c r="C30" s="61"/>
      <c r="D30" s="72">
        <f t="shared" si="1"/>
        <v>0</v>
      </c>
      <c r="E30" s="72"/>
      <c r="F30" s="61">
        <f t="shared" si="2"/>
        <v>0</v>
      </c>
    </row>
    <row r="31" spans="1:6" ht="15.75">
      <c r="A31" s="58" t="s">
        <v>34</v>
      </c>
      <c r="B31" s="61">
        <f>SUM('FY07 PB'!D26)</f>
        <v>7125</v>
      </c>
      <c r="C31" s="61"/>
      <c r="D31" s="72">
        <f t="shared" si="1"/>
        <v>0.002831163701660115</v>
      </c>
      <c r="E31" s="72"/>
      <c r="F31" s="61">
        <f t="shared" si="2"/>
        <v>940</v>
      </c>
    </row>
    <row r="32" spans="1:6" ht="15.75">
      <c r="A32" s="58" t="s">
        <v>35</v>
      </c>
      <c r="B32" s="61">
        <f>SUM('FY07 PB'!D27)</f>
        <v>1870</v>
      </c>
      <c r="C32" s="61"/>
      <c r="D32" s="72">
        <f t="shared" si="1"/>
        <v>0.0007430562978392161</v>
      </c>
      <c r="E32" s="72"/>
      <c r="F32" s="61">
        <f t="shared" si="2"/>
        <v>247</v>
      </c>
    </row>
    <row r="33" spans="1:6" ht="15.75">
      <c r="A33" s="58" t="s">
        <v>36</v>
      </c>
      <c r="B33" s="61">
        <f>SUM('FY07 PB'!D28)</f>
        <v>0</v>
      </c>
      <c r="C33" s="61"/>
      <c r="D33" s="72">
        <f t="shared" si="1"/>
        <v>0</v>
      </c>
      <c r="E33" s="72"/>
      <c r="F33" s="61">
        <f t="shared" si="2"/>
        <v>0</v>
      </c>
    </row>
    <row r="34" spans="1:6" ht="15.75">
      <c r="A34" s="58" t="s">
        <v>37</v>
      </c>
      <c r="B34" s="61">
        <f>SUM('FY07 PB'!D29)</f>
        <v>0</v>
      </c>
      <c r="C34" s="61"/>
      <c r="D34" s="72">
        <f t="shared" si="1"/>
        <v>0</v>
      </c>
      <c r="E34" s="72"/>
      <c r="F34" s="61">
        <f t="shared" si="2"/>
        <v>0</v>
      </c>
    </row>
    <row r="35" spans="1:6" ht="16.5" thickBot="1">
      <c r="A35" s="58"/>
      <c r="B35" s="69">
        <f>SUM(B11:B34)</f>
        <v>2699867</v>
      </c>
      <c r="C35" s="67"/>
      <c r="D35" s="73">
        <f>SUM(D11:D34)</f>
        <v>1</v>
      </c>
      <c r="E35" s="73"/>
      <c r="F35" s="69">
        <f>SUM(F11:F34)</f>
        <v>344832</v>
      </c>
    </row>
    <row r="36" ht="16.5" thickTop="1">
      <c r="A36" s="58"/>
    </row>
    <row r="37" ht="15.75">
      <c r="A37" s="55" t="s">
        <v>294</v>
      </c>
    </row>
    <row r="38" ht="15.75">
      <c r="A38" s="68" t="s">
        <v>313</v>
      </c>
    </row>
    <row r="39" ht="15.75">
      <c r="A39" s="68"/>
    </row>
    <row r="40" spans="1:2" ht="12.75">
      <c r="A40" s="184">
        <f>344832-153-7629-4897</f>
        <v>332153</v>
      </c>
      <c r="B40" s="85" t="s">
        <v>240</v>
      </c>
    </row>
    <row r="41" spans="1:2" ht="12.75">
      <c r="A41" s="70">
        <f>SUM(B11:B34)-B25-B21-B17</f>
        <v>2516633</v>
      </c>
      <c r="B41" s="85" t="s">
        <v>314</v>
      </c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42"/>
  <sheetViews>
    <sheetView zoomScale="75" zoomScaleNormal="75" workbookViewId="0" topLeftCell="B13">
      <selection activeCell="O9" sqref="O9"/>
    </sheetView>
  </sheetViews>
  <sheetFormatPr defaultColWidth="12.57421875" defaultRowHeight="12.75"/>
  <cols>
    <col min="1" max="1" width="0" style="0" hidden="1" customWidth="1"/>
  </cols>
  <sheetData>
    <row r="1" spans="2:11" ht="18" customHeight="1">
      <c r="B1" s="190" t="s">
        <v>78</v>
      </c>
      <c r="C1" s="191"/>
      <c r="D1" s="192"/>
      <c r="E1" s="192"/>
      <c r="F1" s="192"/>
      <c r="G1" s="192"/>
      <c r="H1" s="192"/>
      <c r="I1" s="192"/>
      <c r="J1" s="192"/>
      <c r="K1" s="192"/>
    </row>
    <row r="2" spans="2:11" ht="15">
      <c r="B2" s="192" t="s">
        <v>258</v>
      </c>
      <c r="C2" s="191"/>
      <c r="D2" s="192"/>
      <c r="E2" s="192"/>
      <c r="F2" s="192"/>
      <c r="G2" s="192"/>
      <c r="H2" s="192"/>
      <c r="I2" s="192"/>
      <c r="J2" s="192"/>
      <c r="K2" s="192"/>
    </row>
    <row r="3" spans="2:11" ht="15">
      <c r="B3" s="192" t="s">
        <v>259</v>
      </c>
      <c r="C3" s="191"/>
      <c r="D3" s="192"/>
      <c r="E3" s="192"/>
      <c r="F3" s="192"/>
      <c r="G3" s="192"/>
      <c r="H3" s="192"/>
      <c r="I3" s="192"/>
      <c r="J3" s="192"/>
      <c r="K3" s="192"/>
    </row>
    <row r="4" spans="2:11" ht="16.5" thickBot="1">
      <c r="B4" s="193" t="s">
        <v>149</v>
      </c>
      <c r="C4" s="96"/>
      <c r="D4" s="96"/>
      <c r="E4" s="96"/>
      <c r="F4" s="96"/>
      <c r="G4" s="96"/>
      <c r="H4" s="96"/>
      <c r="I4" s="96"/>
      <c r="J4" s="96"/>
      <c r="K4" s="96"/>
    </row>
    <row r="5" spans="2:11" ht="15">
      <c r="B5" s="97"/>
      <c r="C5" s="98" t="s">
        <v>112</v>
      </c>
      <c r="D5" s="98"/>
      <c r="E5" s="99"/>
      <c r="F5" s="98" t="s">
        <v>113</v>
      </c>
      <c r="G5" s="98"/>
      <c r="H5" s="99"/>
      <c r="I5" s="98" t="s">
        <v>40</v>
      </c>
      <c r="J5" s="98"/>
      <c r="K5" s="99"/>
    </row>
    <row r="6" spans="2:11" ht="15">
      <c r="B6" s="100" t="s">
        <v>114</v>
      </c>
      <c r="C6" s="101" t="s">
        <v>115</v>
      </c>
      <c r="D6" s="101" t="s">
        <v>116</v>
      </c>
      <c r="E6" s="102" t="s">
        <v>40</v>
      </c>
      <c r="F6" s="101" t="s">
        <v>115</v>
      </c>
      <c r="G6" s="101" t="s">
        <v>116</v>
      </c>
      <c r="H6" s="102" t="s">
        <v>40</v>
      </c>
      <c r="I6" s="101" t="s">
        <v>115</v>
      </c>
      <c r="J6" s="101" t="s">
        <v>116</v>
      </c>
      <c r="K6" s="102" t="s">
        <v>40</v>
      </c>
    </row>
    <row r="7" spans="1:11" ht="15">
      <c r="A7" s="62" t="e">
        <f>SUM(#REF!/#REF!)</f>
        <v>#REF!</v>
      </c>
      <c r="B7" s="103" t="s">
        <v>0</v>
      </c>
      <c r="C7" s="104">
        <v>3874</v>
      </c>
      <c r="D7" s="104">
        <v>738</v>
      </c>
      <c r="E7" s="105">
        <v>4615</v>
      </c>
      <c r="F7" s="104">
        <v>2543</v>
      </c>
      <c r="G7" s="104">
        <v>83</v>
      </c>
      <c r="H7" s="105">
        <v>2630</v>
      </c>
      <c r="I7" s="104">
        <v>6417</v>
      </c>
      <c r="J7" s="104">
        <v>821</v>
      </c>
      <c r="K7" s="105">
        <v>7245</v>
      </c>
    </row>
    <row r="8" spans="1:11" ht="15">
      <c r="A8" s="62" t="e">
        <f>SUM(#REF!/#REF!)</f>
        <v>#REF!</v>
      </c>
      <c r="B8" s="103" t="s">
        <v>15</v>
      </c>
      <c r="C8" s="104">
        <v>2753</v>
      </c>
      <c r="D8" s="104">
        <v>982</v>
      </c>
      <c r="E8" s="105">
        <v>3750</v>
      </c>
      <c r="F8" s="104">
        <v>715</v>
      </c>
      <c r="G8" s="104">
        <v>95</v>
      </c>
      <c r="H8" s="105">
        <v>814</v>
      </c>
      <c r="I8" s="104">
        <v>3468</v>
      </c>
      <c r="J8" s="104">
        <v>1077</v>
      </c>
      <c r="K8" s="105">
        <v>4564</v>
      </c>
    </row>
    <row r="9" spans="1:11" ht="18" customHeight="1">
      <c r="A9" s="62" t="e">
        <f>SUM(#REF!/#REF!)</f>
        <v>#REF!</v>
      </c>
      <c r="B9" s="103" t="s">
        <v>16</v>
      </c>
      <c r="C9" s="104">
        <v>401</v>
      </c>
      <c r="D9" s="104">
        <v>101</v>
      </c>
      <c r="E9" s="105">
        <v>504</v>
      </c>
      <c r="F9" s="104">
        <v>375</v>
      </c>
      <c r="G9" s="104">
        <v>0</v>
      </c>
      <c r="H9" s="105">
        <v>375</v>
      </c>
      <c r="I9" s="104">
        <v>776</v>
      </c>
      <c r="J9" s="104">
        <v>101</v>
      </c>
      <c r="K9" s="105">
        <v>879</v>
      </c>
    </row>
    <row r="10" spans="1:11" ht="15">
      <c r="A10" s="62" t="e">
        <f>SUM(#REF!/#REF!)</f>
        <v>#REF!</v>
      </c>
      <c r="B10" s="103" t="s">
        <v>17</v>
      </c>
      <c r="C10" s="104">
        <v>1927</v>
      </c>
      <c r="D10" s="104">
        <v>619</v>
      </c>
      <c r="E10" s="105">
        <v>2550</v>
      </c>
      <c r="F10" s="104">
        <v>1547</v>
      </c>
      <c r="G10" s="104">
        <v>70</v>
      </c>
      <c r="H10" s="105">
        <v>1618</v>
      </c>
      <c r="I10" s="104">
        <v>3474</v>
      </c>
      <c r="J10" s="104">
        <v>689</v>
      </c>
      <c r="K10" s="105">
        <v>4168</v>
      </c>
    </row>
    <row r="11" spans="1:11" ht="15">
      <c r="A11" s="62" t="e">
        <f>SUM(#REF!/#REF!)</f>
        <v>#REF!</v>
      </c>
      <c r="B11" s="103" t="s">
        <v>18</v>
      </c>
      <c r="C11" s="104">
        <v>2012</v>
      </c>
      <c r="D11" s="104">
        <v>647</v>
      </c>
      <c r="E11" s="105">
        <v>2666</v>
      </c>
      <c r="F11" s="104">
        <v>1194</v>
      </c>
      <c r="G11" s="104">
        <v>31</v>
      </c>
      <c r="H11" s="105">
        <v>1227</v>
      </c>
      <c r="I11" s="104">
        <v>3206</v>
      </c>
      <c r="J11" s="104">
        <v>678</v>
      </c>
      <c r="K11" s="105">
        <v>3893</v>
      </c>
    </row>
    <row r="12" spans="1:11" ht="15">
      <c r="A12" s="62" t="e">
        <f>SUM(#REF!/#REF!)</f>
        <v>#REF!</v>
      </c>
      <c r="B12" s="103" t="s">
        <v>19</v>
      </c>
      <c r="C12" s="104">
        <v>2346</v>
      </c>
      <c r="D12" s="104">
        <v>612</v>
      </c>
      <c r="E12" s="105">
        <v>2964</v>
      </c>
      <c r="F12" s="104">
        <v>1924</v>
      </c>
      <c r="G12" s="104">
        <v>215</v>
      </c>
      <c r="H12" s="105">
        <v>2141</v>
      </c>
      <c r="I12" s="104">
        <v>4270</v>
      </c>
      <c r="J12" s="104">
        <v>827</v>
      </c>
      <c r="K12" s="105">
        <v>5105</v>
      </c>
    </row>
    <row r="13" spans="1:11" ht="15">
      <c r="A13" s="62" t="e">
        <f>SUM(#REF!/#REF!)</f>
        <v>#REF!</v>
      </c>
      <c r="B13" s="103" t="s">
        <v>20</v>
      </c>
      <c r="C13" s="104">
        <v>2040</v>
      </c>
      <c r="D13" s="104">
        <v>1223</v>
      </c>
      <c r="E13" s="105">
        <v>3273</v>
      </c>
      <c r="F13" s="104">
        <v>546</v>
      </c>
      <c r="G13" s="104">
        <v>38</v>
      </c>
      <c r="H13" s="105">
        <v>586</v>
      </c>
      <c r="I13" s="104">
        <v>2586</v>
      </c>
      <c r="J13" s="104">
        <v>1261</v>
      </c>
      <c r="K13" s="105">
        <v>3859</v>
      </c>
    </row>
    <row r="14" spans="1:11" ht="15">
      <c r="A14" s="62" t="e">
        <f>SUM(#REF!/#REF!)</f>
        <v>#REF!</v>
      </c>
      <c r="B14" s="103" t="s">
        <v>21</v>
      </c>
      <c r="C14" s="104">
        <v>1327</v>
      </c>
      <c r="D14" s="104">
        <v>297</v>
      </c>
      <c r="E14" s="105">
        <v>1632</v>
      </c>
      <c r="F14" s="104">
        <v>1176</v>
      </c>
      <c r="G14" s="104">
        <v>58</v>
      </c>
      <c r="H14" s="105">
        <v>1238</v>
      </c>
      <c r="I14" s="104">
        <v>2503</v>
      </c>
      <c r="J14" s="104">
        <v>355</v>
      </c>
      <c r="K14" s="105">
        <v>2870</v>
      </c>
    </row>
    <row r="15" spans="1:11" ht="15">
      <c r="A15" s="62" t="e">
        <f>SUM(#REF!/#REF!)</f>
        <v>#REF!</v>
      </c>
      <c r="B15" s="103" t="s">
        <v>22</v>
      </c>
      <c r="C15" s="104">
        <v>574</v>
      </c>
      <c r="D15" s="104">
        <v>345</v>
      </c>
      <c r="E15" s="105">
        <v>919</v>
      </c>
      <c r="F15" s="104">
        <v>331</v>
      </c>
      <c r="G15" s="104">
        <v>1</v>
      </c>
      <c r="H15" s="105">
        <v>332</v>
      </c>
      <c r="I15" s="104">
        <v>905</v>
      </c>
      <c r="J15" s="104">
        <v>346</v>
      </c>
      <c r="K15" s="105">
        <v>1251</v>
      </c>
    </row>
    <row r="16" spans="1:11" ht="15">
      <c r="A16" s="62" t="e">
        <f>SUM(#REF!/#REF!)</f>
        <v>#REF!</v>
      </c>
      <c r="B16" s="103" t="s">
        <v>23</v>
      </c>
      <c r="C16" s="104">
        <v>396</v>
      </c>
      <c r="D16" s="104">
        <v>97</v>
      </c>
      <c r="E16" s="105">
        <v>494</v>
      </c>
      <c r="F16" s="104">
        <v>356</v>
      </c>
      <c r="G16" s="104">
        <v>13</v>
      </c>
      <c r="H16" s="105">
        <v>370</v>
      </c>
      <c r="I16" s="104">
        <v>752</v>
      </c>
      <c r="J16" s="104">
        <v>110</v>
      </c>
      <c r="K16" s="105">
        <v>864</v>
      </c>
    </row>
    <row r="17" spans="1:11" ht="15">
      <c r="A17" s="62" t="e">
        <f>SUM(#REF!/#REF!)</f>
        <v>#REF!</v>
      </c>
      <c r="B17" s="103" t="s">
        <v>24</v>
      </c>
      <c r="C17" s="104">
        <v>1105</v>
      </c>
      <c r="D17" s="104">
        <v>243</v>
      </c>
      <c r="E17" s="105">
        <v>1359</v>
      </c>
      <c r="F17" s="104">
        <v>974</v>
      </c>
      <c r="G17" s="104">
        <v>12</v>
      </c>
      <c r="H17" s="105">
        <v>991</v>
      </c>
      <c r="I17" s="104">
        <v>2079</v>
      </c>
      <c r="J17" s="104">
        <v>255</v>
      </c>
      <c r="K17" s="105">
        <v>2350</v>
      </c>
    </row>
    <row r="18" spans="1:11" ht="15">
      <c r="A18" s="62" t="e">
        <f>SUM(#REF!/#REF!)</f>
        <v>#REF!</v>
      </c>
      <c r="B18" s="103" t="s">
        <v>25</v>
      </c>
      <c r="C18" s="104">
        <v>578</v>
      </c>
      <c r="D18" s="104">
        <v>194</v>
      </c>
      <c r="E18" s="105">
        <v>778</v>
      </c>
      <c r="F18" s="104">
        <v>580</v>
      </c>
      <c r="G18" s="104">
        <v>8</v>
      </c>
      <c r="H18" s="105">
        <v>589</v>
      </c>
      <c r="I18" s="104">
        <v>1158</v>
      </c>
      <c r="J18" s="104">
        <v>202</v>
      </c>
      <c r="K18" s="105">
        <v>1367</v>
      </c>
    </row>
    <row r="19" spans="1:11" ht="15">
      <c r="A19" s="62" t="e">
        <f>SUM(#REF!/#REF!)</f>
        <v>#REF!</v>
      </c>
      <c r="B19" s="103" t="s">
        <v>26</v>
      </c>
      <c r="C19" s="104">
        <v>381</v>
      </c>
      <c r="D19" s="104">
        <v>183</v>
      </c>
      <c r="E19" s="105">
        <v>566</v>
      </c>
      <c r="F19" s="104">
        <v>235</v>
      </c>
      <c r="G19" s="104">
        <v>2</v>
      </c>
      <c r="H19" s="105">
        <v>237</v>
      </c>
      <c r="I19" s="104">
        <v>616</v>
      </c>
      <c r="J19" s="104">
        <v>185</v>
      </c>
      <c r="K19" s="105">
        <v>803</v>
      </c>
    </row>
    <row r="20" spans="1:11" ht="15">
      <c r="A20" s="62" t="e">
        <f>SUM(#REF!/#REF!)</f>
        <v>#REF!</v>
      </c>
      <c r="B20" s="103" t="s">
        <v>27</v>
      </c>
      <c r="C20" s="104">
        <v>1376</v>
      </c>
      <c r="D20" s="104">
        <v>367</v>
      </c>
      <c r="E20" s="105">
        <v>1766</v>
      </c>
      <c r="F20" s="104">
        <v>1156</v>
      </c>
      <c r="G20" s="104">
        <v>29</v>
      </c>
      <c r="H20" s="105">
        <v>1186</v>
      </c>
      <c r="I20" s="104">
        <v>2532</v>
      </c>
      <c r="J20" s="104">
        <v>396</v>
      </c>
      <c r="K20" s="105">
        <v>2952</v>
      </c>
    </row>
    <row r="21" spans="1:11" ht="15">
      <c r="A21" s="62" t="e">
        <f>SUM(#REF!/#REF!)</f>
        <v>#REF!</v>
      </c>
      <c r="B21" s="103" t="s">
        <v>28</v>
      </c>
      <c r="C21" s="104">
        <v>1113</v>
      </c>
      <c r="D21" s="104">
        <v>232</v>
      </c>
      <c r="E21" s="105">
        <v>1348</v>
      </c>
      <c r="F21" s="104">
        <v>657</v>
      </c>
      <c r="G21" s="104">
        <v>9</v>
      </c>
      <c r="H21" s="105">
        <v>666</v>
      </c>
      <c r="I21" s="104">
        <v>1770</v>
      </c>
      <c r="J21" s="104">
        <v>241</v>
      </c>
      <c r="K21" s="105">
        <v>2014</v>
      </c>
    </row>
    <row r="22" spans="1:11" ht="15">
      <c r="A22" s="62" t="e">
        <f>SUM(#REF!/#REF!)</f>
        <v>#REF!</v>
      </c>
      <c r="B22" s="103" t="s">
        <v>29</v>
      </c>
      <c r="C22" s="104">
        <v>301</v>
      </c>
      <c r="D22" s="104">
        <v>111</v>
      </c>
      <c r="E22" s="105">
        <v>413</v>
      </c>
      <c r="F22" s="104">
        <v>272</v>
      </c>
      <c r="G22" s="104">
        <v>6</v>
      </c>
      <c r="H22" s="105">
        <v>278</v>
      </c>
      <c r="I22" s="104">
        <v>573</v>
      </c>
      <c r="J22" s="104">
        <v>117</v>
      </c>
      <c r="K22" s="105">
        <v>691</v>
      </c>
    </row>
    <row r="23" spans="1:11" ht="15">
      <c r="A23" s="62" t="e">
        <f>SUM(#REF!/#REF!)</f>
        <v>#REF!</v>
      </c>
      <c r="B23" s="103" t="s">
        <v>30</v>
      </c>
      <c r="C23" s="104">
        <v>178</v>
      </c>
      <c r="D23" s="104">
        <v>29</v>
      </c>
      <c r="E23" s="105">
        <v>207</v>
      </c>
      <c r="F23" s="104">
        <v>257</v>
      </c>
      <c r="G23" s="104">
        <v>2</v>
      </c>
      <c r="H23" s="105">
        <v>259</v>
      </c>
      <c r="I23" s="104">
        <v>435</v>
      </c>
      <c r="J23" s="104">
        <v>31</v>
      </c>
      <c r="K23" s="105">
        <v>466</v>
      </c>
    </row>
    <row r="24" spans="1:11" ht="15">
      <c r="A24" s="62" t="e">
        <f>SUM(#REF!/#REF!)</f>
        <v>#REF!</v>
      </c>
      <c r="B24" s="103" t="s">
        <v>31</v>
      </c>
      <c r="C24" s="104">
        <v>163</v>
      </c>
      <c r="D24" s="104">
        <v>32</v>
      </c>
      <c r="E24" s="105">
        <v>196</v>
      </c>
      <c r="F24" s="104">
        <v>163</v>
      </c>
      <c r="G24" s="104">
        <v>15</v>
      </c>
      <c r="H24" s="105">
        <v>178</v>
      </c>
      <c r="I24" s="104">
        <v>326</v>
      </c>
      <c r="J24" s="104">
        <v>47</v>
      </c>
      <c r="K24" s="105">
        <v>374</v>
      </c>
    </row>
    <row r="25" spans="1:11" ht="15">
      <c r="A25" s="62" t="e">
        <f>SUM(#REF!/#REF!)</f>
        <v>#REF!</v>
      </c>
      <c r="B25" s="103" t="s">
        <v>32</v>
      </c>
      <c r="C25" s="104">
        <v>547</v>
      </c>
      <c r="D25" s="104">
        <v>105</v>
      </c>
      <c r="E25" s="105">
        <v>668</v>
      </c>
      <c r="F25" s="104">
        <v>689</v>
      </c>
      <c r="G25" s="104">
        <v>3</v>
      </c>
      <c r="H25" s="105">
        <v>693</v>
      </c>
      <c r="I25" s="104">
        <v>1236</v>
      </c>
      <c r="J25" s="104">
        <v>108</v>
      </c>
      <c r="K25" s="105">
        <v>1361</v>
      </c>
    </row>
    <row r="26" spans="1:11" ht="15">
      <c r="A26" s="62" t="e">
        <f>SUM(#REF!/#REF!)</f>
        <v>#REF!</v>
      </c>
      <c r="B26" s="103" t="s">
        <v>33</v>
      </c>
      <c r="C26" s="104">
        <v>87</v>
      </c>
      <c r="D26" s="104">
        <v>14</v>
      </c>
      <c r="E26" s="105">
        <v>102</v>
      </c>
      <c r="F26" s="104">
        <v>151</v>
      </c>
      <c r="G26" s="104">
        <v>0</v>
      </c>
      <c r="H26" s="105">
        <v>151</v>
      </c>
      <c r="I26" s="104">
        <v>238</v>
      </c>
      <c r="J26" s="104">
        <v>14</v>
      </c>
      <c r="K26" s="105">
        <v>253</v>
      </c>
    </row>
    <row r="27" spans="1:11" ht="15">
      <c r="A27" s="62" t="e">
        <f>SUM(#REF!/#REF!)</f>
        <v>#REF!</v>
      </c>
      <c r="B27" s="103" t="s">
        <v>34</v>
      </c>
      <c r="C27" s="104">
        <v>99</v>
      </c>
      <c r="D27" s="104">
        <v>3</v>
      </c>
      <c r="E27" s="105">
        <v>103</v>
      </c>
      <c r="F27" s="104">
        <v>506</v>
      </c>
      <c r="G27" s="104">
        <v>1</v>
      </c>
      <c r="H27" s="105">
        <v>509</v>
      </c>
      <c r="I27" s="104">
        <v>605</v>
      </c>
      <c r="J27" s="104">
        <v>4</v>
      </c>
      <c r="K27" s="105">
        <v>612</v>
      </c>
    </row>
    <row r="28" spans="1:11" ht="15">
      <c r="A28" s="62">
        <v>0</v>
      </c>
      <c r="B28" s="103" t="s">
        <v>35</v>
      </c>
      <c r="C28" s="104">
        <v>0</v>
      </c>
      <c r="D28" s="104">
        <v>0</v>
      </c>
      <c r="E28" s="105">
        <v>0</v>
      </c>
      <c r="F28" s="104">
        <v>0</v>
      </c>
      <c r="G28" s="104">
        <v>0</v>
      </c>
      <c r="H28" s="105">
        <v>0</v>
      </c>
      <c r="I28" s="104">
        <v>0</v>
      </c>
      <c r="J28" s="104">
        <v>0</v>
      </c>
      <c r="K28" s="105">
        <v>0</v>
      </c>
    </row>
    <row r="29" spans="1:11" ht="15.75" thickBot="1">
      <c r="A29" s="62" t="e">
        <f>SUM(#REF!/#REF!)</f>
        <v>#REF!</v>
      </c>
      <c r="B29" s="103" t="s">
        <v>36</v>
      </c>
      <c r="C29" s="104">
        <v>192</v>
      </c>
      <c r="D29" s="104">
        <v>1</v>
      </c>
      <c r="E29" s="105">
        <v>193</v>
      </c>
      <c r="F29" s="104">
        <v>174</v>
      </c>
      <c r="G29" s="104">
        <v>11</v>
      </c>
      <c r="H29" s="105">
        <v>185</v>
      </c>
      <c r="I29" s="104">
        <v>366</v>
      </c>
      <c r="J29" s="104">
        <v>12</v>
      </c>
      <c r="K29" s="105">
        <v>378</v>
      </c>
    </row>
    <row r="30" spans="1:11" ht="15.75" thickBot="1">
      <c r="A30" s="119" t="e">
        <f>SUM(A7:A29)</f>
        <v>#REF!</v>
      </c>
      <c r="B30" s="103" t="s">
        <v>260</v>
      </c>
      <c r="C30" s="106">
        <v>23770</v>
      </c>
      <c r="D30" s="107">
        <v>7175</v>
      </c>
      <c r="E30" s="108">
        <v>31066</v>
      </c>
      <c r="F30" s="107">
        <v>16521</v>
      </c>
      <c r="G30" s="107">
        <v>702</v>
      </c>
      <c r="H30" s="108">
        <v>17253</v>
      </c>
      <c r="I30" s="107">
        <v>40291</v>
      </c>
      <c r="J30" s="107">
        <v>7877</v>
      </c>
      <c r="K30" s="108">
        <v>48319</v>
      </c>
    </row>
    <row r="31" spans="2:11" ht="15">
      <c r="B31" s="103"/>
      <c r="C31" s="104"/>
      <c r="D31" s="104"/>
      <c r="E31" s="105"/>
      <c r="F31" s="104"/>
      <c r="G31" s="104"/>
      <c r="H31" s="105"/>
      <c r="I31" s="104"/>
      <c r="J31" s="104"/>
      <c r="K31" s="105"/>
    </row>
    <row r="32" spans="2:11" ht="15">
      <c r="B32" s="103" t="s">
        <v>261</v>
      </c>
      <c r="C32" s="104">
        <v>58</v>
      </c>
      <c r="D32" s="104">
        <v>0</v>
      </c>
      <c r="E32" s="105">
        <v>71</v>
      </c>
      <c r="F32" s="104">
        <v>555</v>
      </c>
      <c r="G32" s="104">
        <v>16</v>
      </c>
      <c r="H32" s="105">
        <v>558</v>
      </c>
      <c r="I32" s="104">
        <v>613</v>
      </c>
      <c r="J32" s="104">
        <v>16</v>
      </c>
      <c r="K32" s="105">
        <v>629</v>
      </c>
    </row>
    <row r="33" spans="2:11" ht="15">
      <c r="B33" s="103" t="s">
        <v>262</v>
      </c>
      <c r="C33" s="104">
        <v>0</v>
      </c>
      <c r="D33" s="104">
        <v>0</v>
      </c>
      <c r="E33" s="105">
        <v>0</v>
      </c>
      <c r="F33" s="104">
        <v>50</v>
      </c>
      <c r="G33" s="104">
        <v>0</v>
      </c>
      <c r="H33" s="105">
        <v>50</v>
      </c>
      <c r="I33" s="104">
        <v>50</v>
      </c>
      <c r="J33" s="104">
        <v>0</v>
      </c>
      <c r="K33" s="105">
        <v>50</v>
      </c>
    </row>
    <row r="34" spans="2:11" ht="15">
      <c r="B34" s="103" t="s">
        <v>263</v>
      </c>
      <c r="C34" s="104">
        <v>33</v>
      </c>
      <c r="D34" s="104">
        <v>0</v>
      </c>
      <c r="E34" s="105">
        <v>33</v>
      </c>
      <c r="F34" s="104">
        <v>0</v>
      </c>
      <c r="G34" s="104">
        <v>0</v>
      </c>
      <c r="H34" s="105">
        <v>0</v>
      </c>
      <c r="I34" s="104">
        <v>33</v>
      </c>
      <c r="J34" s="104">
        <v>0</v>
      </c>
      <c r="K34" s="105">
        <v>33</v>
      </c>
    </row>
    <row r="35" spans="2:11" ht="15">
      <c r="B35" s="103" t="s">
        <v>264</v>
      </c>
      <c r="C35" s="104">
        <v>0</v>
      </c>
      <c r="D35" s="104">
        <v>0</v>
      </c>
      <c r="E35" s="105">
        <v>0</v>
      </c>
      <c r="F35" s="104">
        <v>0</v>
      </c>
      <c r="G35" s="104">
        <v>0</v>
      </c>
      <c r="H35" s="105">
        <v>0</v>
      </c>
      <c r="I35" s="104">
        <v>0</v>
      </c>
      <c r="J35" s="104">
        <v>0</v>
      </c>
      <c r="K35" s="105">
        <v>0</v>
      </c>
    </row>
    <row r="36" spans="2:11" ht="15">
      <c r="B36" s="103" t="s">
        <v>265</v>
      </c>
      <c r="C36" s="104">
        <v>0</v>
      </c>
      <c r="D36" s="104">
        <v>0</v>
      </c>
      <c r="E36" s="105">
        <v>0</v>
      </c>
      <c r="F36" s="104">
        <v>0</v>
      </c>
      <c r="G36" s="104">
        <v>0</v>
      </c>
      <c r="H36" s="105">
        <v>0</v>
      </c>
      <c r="I36" s="104">
        <v>0</v>
      </c>
      <c r="J36" s="104">
        <v>0</v>
      </c>
      <c r="K36" s="105">
        <v>0</v>
      </c>
    </row>
    <row r="37" spans="2:11" ht="15">
      <c r="B37" s="103" t="s">
        <v>266</v>
      </c>
      <c r="C37" s="104">
        <v>50</v>
      </c>
      <c r="D37" s="104">
        <v>0</v>
      </c>
      <c r="E37" s="105">
        <v>50</v>
      </c>
      <c r="F37" s="104">
        <v>0</v>
      </c>
      <c r="G37" s="104">
        <v>0</v>
      </c>
      <c r="H37" s="105">
        <v>0</v>
      </c>
      <c r="I37" s="104">
        <v>50</v>
      </c>
      <c r="J37" s="104">
        <v>0</v>
      </c>
      <c r="K37" s="105">
        <v>50</v>
      </c>
    </row>
    <row r="38" spans="2:11" ht="15">
      <c r="B38" s="103" t="s">
        <v>267</v>
      </c>
      <c r="C38" s="104">
        <v>470</v>
      </c>
      <c r="D38" s="104">
        <v>0</v>
      </c>
      <c r="E38" s="105">
        <v>470</v>
      </c>
      <c r="F38" s="104">
        <v>0</v>
      </c>
      <c r="G38" s="104">
        <v>0</v>
      </c>
      <c r="H38" s="105">
        <v>0</v>
      </c>
      <c r="I38" s="104">
        <v>470</v>
      </c>
      <c r="J38" s="104">
        <v>0</v>
      </c>
      <c r="K38" s="105">
        <v>470</v>
      </c>
    </row>
    <row r="39" spans="2:11" ht="15.75" thickBot="1">
      <c r="B39" s="103" t="s">
        <v>268</v>
      </c>
      <c r="C39" s="104">
        <v>25</v>
      </c>
      <c r="D39" s="104">
        <v>0</v>
      </c>
      <c r="E39" s="105">
        <v>45</v>
      </c>
      <c r="F39" s="104">
        <v>0</v>
      </c>
      <c r="G39" s="104">
        <v>0</v>
      </c>
      <c r="H39" s="105">
        <v>0</v>
      </c>
      <c r="I39" s="104">
        <v>25</v>
      </c>
      <c r="J39" s="104">
        <v>0</v>
      </c>
      <c r="K39" s="105">
        <v>45</v>
      </c>
    </row>
    <row r="40" spans="2:11" ht="15.75" thickBot="1">
      <c r="B40" s="103" t="s">
        <v>269</v>
      </c>
      <c r="C40" s="106">
        <v>636</v>
      </c>
      <c r="D40" s="107">
        <v>0</v>
      </c>
      <c r="E40" s="108">
        <v>669</v>
      </c>
      <c r="F40" s="107">
        <v>605</v>
      </c>
      <c r="G40" s="107">
        <v>16</v>
      </c>
      <c r="H40" s="108">
        <v>608</v>
      </c>
      <c r="I40" s="107">
        <v>1241</v>
      </c>
      <c r="J40" s="107">
        <v>16</v>
      </c>
      <c r="K40" s="108">
        <v>1277</v>
      </c>
    </row>
    <row r="41" spans="2:11" ht="15.75" thickBot="1">
      <c r="B41" s="103"/>
      <c r="C41" s="104"/>
      <c r="D41" s="104"/>
      <c r="E41" s="105"/>
      <c r="F41" s="104"/>
      <c r="G41" s="104"/>
      <c r="H41" s="105"/>
      <c r="I41" s="104"/>
      <c r="J41" s="104"/>
      <c r="K41" s="105"/>
    </row>
    <row r="42" spans="2:11" ht="15.75" thickBot="1">
      <c r="B42" s="93" t="s">
        <v>40</v>
      </c>
      <c r="C42" s="106">
        <v>24406</v>
      </c>
      <c r="D42" s="107">
        <v>7175</v>
      </c>
      <c r="E42" s="108">
        <v>31735</v>
      </c>
      <c r="F42" s="107">
        <v>17126</v>
      </c>
      <c r="G42" s="107">
        <v>718</v>
      </c>
      <c r="H42" s="108">
        <v>17861</v>
      </c>
      <c r="I42" s="107">
        <v>41532</v>
      </c>
      <c r="J42" s="107">
        <v>7893</v>
      </c>
      <c r="K42" s="108">
        <v>49596</v>
      </c>
    </row>
  </sheetData>
  <printOptions/>
  <pageMargins left="0.28" right="0.2" top="0.66" bottom="1" header="0.5" footer="0.5"/>
  <pageSetup fitToHeight="1" fitToWidth="1" horizontalDpi="600" verticalDpi="600" orientation="landscape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1:M50"/>
  <sheetViews>
    <sheetView workbookViewId="0" topLeftCell="A1">
      <selection activeCell="O9" sqref="O9"/>
    </sheetView>
  </sheetViews>
  <sheetFormatPr defaultColWidth="9.140625" defaultRowHeight="12.75"/>
  <cols>
    <col min="2" max="2" width="13.421875" style="0" customWidth="1"/>
    <col min="3" max="3" width="13.28125" style="0" customWidth="1"/>
    <col min="4" max="4" width="13.421875" style="0" customWidth="1"/>
    <col min="5" max="5" width="12.8515625" style="0" customWidth="1"/>
    <col min="6" max="7" width="13.28125" style="0" customWidth="1"/>
    <col min="8" max="8" width="13.7109375" style="0" customWidth="1"/>
    <col min="9" max="9" width="0" style="0" hidden="1" customWidth="1"/>
    <col min="10" max="10" width="14.28125" style="0" customWidth="1"/>
    <col min="11" max="11" width="12.28125" style="0" bestFit="1" customWidth="1"/>
  </cols>
  <sheetData>
    <row r="1" spans="1:8" ht="12.75">
      <c r="A1" s="290" t="s">
        <v>256</v>
      </c>
      <c r="B1" s="290"/>
      <c r="C1" s="290"/>
      <c r="D1" s="290"/>
      <c r="E1" s="290"/>
      <c r="F1" s="290"/>
      <c r="G1" s="290"/>
      <c r="H1" s="290"/>
    </row>
    <row r="2" spans="1:8" ht="12.75">
      <c r="A2" s="290"/>
      <c r="B2" s="290"/>
      <c r="C2" s="290"/>
      <c r="D2" s="290"/>
      <c r="E2" s="290"/>
      <c r="F2" s="290"/>
      <c r="G2" s="290"/>
      <c r="H2" s="290"/>
    </row>
    <row r="3" spans="1:2" ht="12.75">
      <c r="A3" s="84" t="s">
        <v>100</v>
      </c>
      <c r="B3" s="84"/>
    </row>
    <row r="4" spans="2:11" ht="12.75">
      <c r="B4" s="30" t="s">
        <v>288</v>
      </c>
      <c r="C4" s="30" t="s">
        <v>40</v>
      </c>
      <c r="D4" s="30"/>
      <c r="E4" s="27"/>
      <c r="F4" s="30"/>
      <c r="G4" s="28"/>
      <c r="H4" s="28" t="s">
        <v>140</v>
      </c>
      <c r="I4" s="28"/>
      <c r="J4" s="28" t="s">
        <v>137</v>
      </c>
      <c r="K4" s="28" t="s">
        <v>156</v>
      </c>
    </row>
    <row r="5" spans="1:11" ht="12.75">
      <c r="A5" s="16"/>
      <c r="B5" s="22" t="s">
        <v>289</v>
      </c>
      <c r="C5" s="22" t="s">
        <v>77</v>
      </c>
      <c r="D5" s="22" t="s">
        <v>45</v>
      </c>
      <c r="E5" s="26" t="s">
        <v>46</v>
      </c>
      <c r="F5" s="22" t="s">
        <v>47</v>
      </c>
      <c r="G5" s="29" t="s">
        <v>257</v>
      </c>
      <c r="H5" s="29" t="s">
        <v>139</v>
      </c>
      <c r="I5" s="29" t="s">
        <v>87</v>
      </c>
      <c r="J5" s="29" t="s">
        <v>138</v>
      </c>
      <c r="K5" s="29" t="s">
        <v>157</v>
      </c>
    </row>
    <row r="6" spans="1:13" ht="12.75">
      <c r="A6" s="4" t="s">
        <v>0</v>
      </c>
      <c r="B6" s="52">
        <v>4688307</v>
      </c>
      <c r="C6" s="82">
        <f>4753609-7920</f>
        <v>4745689</v>
      </c>
      <c r="D6" s="35">
        <v>696263</v>
      </c>
      <c r="E6" s="34">
        <v>183246</v>
      </c>
      <c r="F6" s="34">
        <f>SUM(C6-D6-E6-G6-H6)</f>
        <v>3291698</v>
      </c>
      <c r="G6" s="34">
        <v>57382</v>
      </c>
      <c r="H6" s="34">
        <v>517100</v>
      </c>
      <c r="I6" s="31">
        <v>3090</v>
      </c>
      <c r="J6" s="31">
        <v>6382</v>
      </c>
      <c r="K6" s="31">
        <v>285</v>
      </c>
      <c r="L6" s="62"/>
      <c r="M6" s="41"/>
    </row>
    <row r="7" spans="1:13" ht="12.75">
      <c r="A7" s="4" t="s">
        <v>15</v>
      </c>
      <c r="B7" s="32">
        <f aca="true" t="shared" si="0" ref="B7:B31">SUM(C7-G7)</f>
        <v>2865993</v>
      </c>
      <c r="C7" s="32">
        <v>2901012</v>
      </c>
      <c r="D7" s="32">
        <v>164635</v>
      </c>
      <c r="E7" s="31">
        <v>97962</v>
      </c>
      <c r="F7" s="31">
        <f aca="true" t="shared" si="1" ref="F7:F33">SUM(C7-D7-E7-G7-H7)</f>
        <v>2603396</v>
      </c>
      <c r="G7" s="31">
        <v>35019</v>
      </c>
      <c r="H7" s="31"/>
      <c r="I7" s="31">
        <v>858</v>
      </c>
      <c r="J7" s="31">
        <v>4651</v>
      </c>
      <c r="K7" s="31">
        <v>193</v>
      </c>
      <c r="L7" s="62"/>
      <c r="M7" s="41"/>
    </row>
    <row r="8" spans="1:13" ht="12.75">
      <c r="A8" s="4" t="s">
        <v>16</v>
      </c>
      <c r="B8" s="31">
        <f t="shared" si="0"/>
        <v>381434</v>
      </c>
      <c r="C8" s="31">
        <v>386095</v>
      </c>
      <c r="D8" s="32">
        <v>56715</v>
      </c>
      <c r="E8" s="31">
        <v>20863</v>
      </c>
      <c r="F8" s="31">
        <f t="shared" si="1"/>
        <v>303856</v>
      </c>
      <c r="G8" s="31">
        <v>4661</v>
      </c>
      <c r="H8" s="31"/>
      <c r="I8" s="31">
        <v>277</v>
      </c>
      <c r="J8" s="31">
        <v>779</v>
      </c>
      <c r="K8" s="31">
        <v>17</v>
      </c>
      <c r="L8" s="62"/>
      <c r="M8" s="41"/>
    </row>
    <row r="9" spans="1:13" ht="12.75">
      <c r="A9" s="4" t="s">
        <v>17</v>
      </c>
      <c r="B9" s="31">
        <f t="shared" si="0"/>
        <v>1823846</v>
      </c>
      <c r="C9" s="31">
        <v>1844298</v>
      </c>
      <c r="D9" s="32">
        <v>162413</v>
      </c>
      <c r="E9" s="31">
        <v>58691</v>
      </c>
      <c r="F9" s="31">
        <f t="shared" si="1"/>
        <v>1602742</v>
      </c>
      <c r="G9" s="31">
        <v>20452</v>
      </c>
      <c r="H9" s="31"/>
      <c r="I9" s="31">
        <v>654</v>
      </c>
      <c r="J9" s="31">
        <v>3898</v>
      </c>
      <c r="K9" s="31">
        <v>417</v>
      </c>
      <c r="L9" s="62"/>
      <c r="M9" s="41"/>
    </row>
    <row r="10" spans="1:13" ht="12.75">
      <c r="A10" s="4" t="s">
        <v>18</v>
      </c>
      <c r="B10" s="31">
        <f t="shared" si="0"/>
        <v>1506344</v>
      </c>
      <c r="C10" s="31">
        <v>1524750</v>
      </c>
      <c r="D10" s="32">
        <v>142033</v>
      </c>
      <c r="E10" s="31">
        <v>49856</v>
      </c>
      <c r="F10" s="31">
        <f t="shared" si="1"/>
        <v>1314455</v>
      </c>
      <c r="G10" s="31">
        <v>18406</v>
      </c>
      <c r="H10" s="31"/>
      <c r="I10" s="31">
        <v>599</v>
      </c>
      <c r="J10" s="31">
        <v>3014</v>
      </c>
      <c r="K10" s="31">
        <v>155</v>
      </c>
      <c r="L10" s="62"/>
      <c r="M10" s="41"/>
    </row>
    <row r="11" spans="1:13" ht="12.75">
      <c r="A11" s="4" t="s">
        <v>19</v>
      </c>
      <c r="B11" s="31">
        <f t="shared" si="0"/>
        <v>4343644</v>
      </c>
      <c r="C11" s="31">
        <v>4395496</v>
      </c>
      <c r="D11" s="32">
        <v>536792</v>
      </c>
      <c r="E11" s="31">
        <v>213891</v>
      </c>
      <c r="F11" s="31">
        <f t="shared" si="1"/>
        <v>3567961</v>
      </c>
      <c r="G11" s="31">
        <v>51852</v>
      </c>
      <c r="H11" s="31">
        <v>25000</v>
      </c>
      <c r="I11" s="31">
        <v>1586</v>
      </c>
      <c r="J11" s="31">
        <v>4937</v>
      </c>
      <c r="K11" s="31">
        <v>338</v>
      </c>
      <c r="L11" s="62"/>
      <c r="M11" s="41"/>
    </row>
    <row r="12" spans="1:13" ht="12.75">
      <c r="A12" s="4" t="s">
        <v>20</v>
      </c>
      <c r="B12" s="31">
        <f t="shared" si="0"/>
        <v>1900262</v>
      </c>
      <c r="C12" s="31">
        <v>1923481</v>
      </c>
      <c r="D12" s="32">
        <v>2494</v>
      </c>
      <c r="E12" s="31">
        <v>46844</v>
      </c>
      <c r="F12" s="31">
        <f t="shared" si="1"/>
        <v>1850924</v>
      </c>
      <c r="G12" s="31">
        <v>23219</v>
      </c>
      <c r="H12" s="31"/>
      <c r="I12" s="31">
        <v>163</v>
      </c>
      <c r="J12" s="31">
        <v>4272</v>
      </c>
      <c r="K12" s="31">
        <v>29</v>
      </c>
      <c r="L12" s="62"/>
      <c r="M12" s="41"/>
    </row>
    <row r="13" spans="1:13" ht="12.75">
      <c r="A13" s="4" t="s">
        <v>21</v>
      </c>
      <c r="B13" s="31">
        <f t="shared" si="0"/>
        <v>1242239</v>
      </c>
      <c r="C13" s="31">
        <v>1257418</v>
      </c>
      <c r="D13" s="32">
        <v>157587</v>
      </c>
      <c r="E13" s="31">
        <v>54476</v>
      </c>
      <c r="F13" s="31">
        <f t="shared" si="1"/>
        <v>1030176</v>
      </c>
      <c r="G13" s="31">
        <v>15179</v>
      </c>
      <c r="H13" s="31"/>
      <c r="I13" s="31">
        <v>590</v>
      </c>
      <c r="J13" s="31">
        <v>2442</v>
      </c>
      <c r="K13" s="31">
        <v>213</v>
      </c>
      <c r="L13" s="62"/>
      <c r="M13" s="41"/>
    </row>
    <row r="14" spans="1:13" ht="12.75">
      <c r="A14" s="4" t="s">
        <v>22</v>
      </c>
      <c r="B14" s="31">
        <f t="shared" si="0"/>
        <v>653375</v>
      </c>
      <c r="C14" s="31">
        <v>661358</v>
      </c>
      <c r="D14" s="32">
        <v>67152</v>
      </c>
      <c r="E14" s="31">
        <v>21986</v>
      </c>
      <c r="F14" s="31">
        <f t="shared" si="1"/>
        <v>564237</v>
      </c>
      <c r="G14" s="31">
        <v>7983</v>
      </c>
      <c r="H14" s="31"/>
      <c r="I14" s="31">
        <v>225</v>
      </c>
      <c r="J14" s="31">
        <v>1366</v>
      </c>
      <c r="K14" s="31">
        <v>64</v>
      </c>
      <c r="L14" s="62"/>
      <c r="M14" s="41"/>
    </row>
    <row r="15" spans="1:13" ht="12.75">
      <c r="A15" s="4" t="s">
        <v>23</v>
      </c>
      <c r="B15" s="31">
        <f t="shared" si="0"/>
        <v>629630</v>
      </c>
      <c r="C15" s="31">
        <v>637323</v>
      </c>
      <c r="D15" s="32">
        <v>166730</v>
      </c>
      <c r="E15" s="31">
        <v>16990</v>
      </c>
      <c r="F15" s="31">
        <f t="shared" si="1"/>
        <v>445910</v>
      </c>
      <c r="G15" s="31">
        <v>7693</v>
      </c>
      <c r="H15" s="31"/>
      <c r="I15" s="31">
        <v>722</v>
      </c>
      <c r="J15" s="31">
        <v>755</v>
      </c>
      <c r="K15" s="31">
        <v>110</v>
      </c>
      <c r="L15" s="62"/>
      <c r="M15" s="41"/>
    </row>
    <row r="16" spans="1:13" ht="12.75">
      <c r="A16" s="4" t="s">
        <v>24</v>
      </c>
      <c r="B16" s="31">
        <f t="shared" si="0"/>
        <v>1027276</v>
      </c>
      <c r="C16" s="31">
        <v>1039828</v>
      </c>
      <c r="D16" s="32">
        <v>102165</v>
      </c>
      <c r="E16" s="31">
        <v>38352</v>
      </c>
      <c r="F16" s="31">
        <f t="shared" si="1"/>
        <v>886759</v>
      </c>
      <c r="G16" s="31">
        <v>12552</v>
      </c>
      <c r="H16" s="31"/>
      <c r="I16" s="31">
        <v>407</v>
      </c>
      <c r="J16" s="31">
        <v>1923</v>
      </c>
      <c r="K16" s="31">
        <v>132</v>
      </c>
      <c r="L16" s="62"/>
      <c r="M16" s="41"/>
    </row>
    <row r="17" spans="1:13" ht="12.75">
      <c r="A17" s="4" t="s">
        <v>25</v>
      </c>
      <c r="B17" s="31">
        <f t="shared" si="0"/>
        <v>498443</v>
      </c>
      <c r="C17" s="31">
        <v>504533</v>
      </c>
      <c r="D17" s="32">
        <v>50075</v>
      </c>
      <c r="E17" s="31">
        <v>23161</v>
      </c>
      <c r="F17" s="31">
        <f t="shared" si="1"/>
        <v>425207</v>
      </c>
      <c r="G17" s="31">
        <v>6090</v>
      </c>
      <c r="H17" s="31"/>
      <c r="I17" s="31">
        <v>242</v>
      </c>
      <c r="J17" s="31">
        <v>1212</v>
      </c>
      <c r="K17" s="31">
        <v>68</v>
      </c>
      <c r="L17" s="62"/>
      <c r="M17" s="41"/>
    </row>
    <row r="18" spans="1:13" ht="12.75">
      <c r="A18" s="4" t="s">
        <v>26</v>
      </c>
      <c r="B18" s="31">
        <f t="shared" si="0"/>
        <v>386829</v>
      </c>
      <c r="C18" s="31">
        <v>391556</v>
      </c>
      <c r="D18" s="32">
        <v>34290</v>
      </c>
      <c r="E18" s="31">
        <v>18011</v>
      </c>
      <c r="F18" s="31">
        <f t="shared" si="1"/>
        <v>334528</v>
      </c>
      <c r="G18" s="31">
        <v>4727</v>
      </c>
      <c r="H18" s="31"/>
      <c r="I18" s="31">
        <v>154</v>
      </c>
      <c r="J18" s="31">
        <v>962</v>
      </c>
      <c r="K18" s="31">
        <v>54</v>
      </c>
      <c r="L18" s="62"/>
      <c r="M18" s="41"/>
    </row>
    <row r="19" spans="1:13" ht="12.75">
      <c r="A19" s="4" t="s">
        <v>27</v>
      </c>
      <c r="B19" s="31">
        <f t="shared" si="0"/>
        <v>1377969</v>
      </c>
      <c r="C19" s="31">
        <v>1394806</v>
      </c>
      <c r="D19" s="32">
        <v>158032</v>
      </c>
      <c r="E19" s="31">
        <v>63077</v>
      </c>
      <c r="F19" s="31">
        <f t="shared" si="1"/>
        <v>1156860</v>
      </c>
      <c r="G19" s="31">
        <v>16837</v>
      </c>
      <c r="H19" s="31"/>
      <c r="I19" s="31">
        <v>750</v>
      </c>
      <c r="J19" s="86">
        <v>3006</v>
      </c>
      <c r="K19" s="86">
        <v>181</v>
      </c>
      <c r="L19" s="62"/>
      <c r="M19" s="41"/>
    </row>
    <row r="20" spans="1:13" ht="12.75">
      <c r="A20" s="4" t="s">
        <v>28</v>
      </c>
      <c r="B20" s="31">
        <f t="shared" si="0"/>
        <v>982820</v>
      </c>
      <c r="C20" s="31">
        <v>994829</v>
      </c>
      <c r="D20" s="32">
        <v>78575</v>
      </c>
      <c r="E20" s="31">
        <v>54941</v>
      </c>
      <c r="F20" s="31">
        <f t="shared" si="1"/>
        <v>849304</v>
      </c>
      <c r="G20" s="31">
        <v>12009</v>
      </c>
      <c r="H20" s="31"/>
      <c r="I20" s="31">
        <v>375</v>
      </c>
      <c r="J20" s="31">
        <v>1768</v>
      </c>
      <c r="K20" s="31">
        <v>183</v>
      </c>
      <c r="L20" s="62"/>
      <c r="M20" s="41"/>
    </row>
    <row r="21" spans="1:13" ht="12.75">
      <c r="A21" s="4" t="s">
        <v>29</v>
      </c>
      <c r="B21" s="31">
        <f t="shared" si="0"/>
        <v>428087</v>
      </c>
      <c r="C21" s="31">
        <v>433318</v>
      </c>
      <c r="D21" s="32">
        <v>44848</v>
      </c>
      <c r="E21" s="31">
        <v>24218</v>
      </c>
      <c r="F21" s="31">
        <f t="shared" si="1"/>
        <v>359021</v>
      </c>
      <c r="G21" s="31">
        <v>5231</v>
      </c>
      <c r="H21" s="31"/>
      <c r="I21" s="31">
        <v>241</v>
      </c>
      <c r="J21" s="31">
        <v>851</v>
      </c>
      <c r="K21" s="31">
        <v>25</v>
      </c>
      <c r="L21" s="62"/>
      <c r="M21" s="41"/>
    </row>
    <row r="22" spans="1:13" ht="12.75">
      <c r="A22" s="4" t="s">
        <v>30</v>
      </c>
      <c r="B22" s="31">
        <f t="shared" si="0"/>
        <v>134902</v>
      </c>
      <c r="C22" s="31">
        <v>136550</v>
      </c>
      <c r="D22" s="32">
        <v>3346</v>
      </c>
      <c r="E22" s="31">
        <v>9240</v>
      </c>
      <c r="F22" s="31">
        <f t="shared" si="1"/>
        <v>122316</v>
      </c>
      <c r="G22" s="31">
        <v>1648</v>
      </c>
      <c r="H22" s="31"/>
      <c r="I22" s="31">
        <v>43</v>
      </c>
      <c r="J22" s="31">
        <v>350</v>
      </c>
      <c r="K22" s="31">
        <v>7</v>
      </c>
      <c r="L22" s="62"/>
      <c r="M22" s="41"/>
    </row>
    <row r="23" spans="1:13" ht="12.75">
      <c r="A23" s="4" t="s">
        <v>31</v>
      </c>
      <c r="B23" s="31">
        <f t="shared" si="0"/>
        <v>477112</v>
      </c>
      <c r="C23" s="31">
        <v>482942</v>
      </c>
      <c r="D23" s="32">
        <v>97466</v>
      </c>
      <c r="E23" s="31">
        <v>18073</v>
      </c>
      <c r="F23" s="31">
        <f t="shared" si="1"/>
        <v>361573</v>
      </c>
      <c r="G23" s="31">
        <v>5830</v>
      </c>
      <c r="H23" s="31"/>
      <c r="I23" s="31">
        <v>282</v>
      </c>
      <c r="J23" s="31">
        <v>306</v>
      </c>
      <c r="K23" s="31">
        <v>20</v>
      </c>
      <c r="L23" s="62"/>
      <c r="M23" s="41"/>
    </row>
    <row r="24" spans="1:13" ht="12.75">
      <c r="A24" s="4" t="s">
        <v>32</v>
      </c>
      <c r="B24" s="31">
        <f t="shared" si="0"/>
        <v>291291</v>
      </c>
      <c r="C24" s="31">
        <v>294850</v>
      </c>
      <c r="D24" s="32">
        <v>7718</v>
      </c>
      <c r="E24" s="31">
        <v>15535</v>
      </c>
      <c r="F24" s="31">
        <f t="shared" si="1"/>
        <v>268038</v>
      </c>
      <c r="G24" s="31">
        <v>3559</v>
      </c>
      <c r="H24" s="31"/>
      <c r="I24" s="31">
        <v>34</v>
      </c>
      <c r="J24" s="31">
        <v>772</v>
      </c>
      <c r="K24" s="31">
        <v>27</v>
      </c>
      <c r="L24" s="62"/>
      <c r="M24" s="41"/>
    </row>
    <row r="25" spans="1:13" ht="12.75">
      <c r="A25" s="4" t="s">
        <v>33</v>
      </c>
      <c r="B25" s="31">
        <f t="shared" si="0"/>
        <v>1084985</v>
      </c>
      <c r="C25" s="31">
        <v>1098242</v>
      </c>
      <c r="D25" s="32">
        <v>0</v>
      </c>
      <c r="E25" s="31">
        <v>27830</v>
      </c>
      <c r="F25" s="31">
        <f t="shared" si="1"/>
        <v>1057155</v>
      </c>
      <c r="G25" s="31">
        <v>13257</v>
      </c>
      <c r="H25" s="31"/>
      <c r="I25" s="31">
        <v>113</v>
      </c>
      <c r="J25" s="31">
        <v>1044</v>
      </c>
      <c r="K25" s="31">
        <v>72</v>
      </c>
      <c r="L25" s="62"/>
      <c r="M25" s="41"/>
    </row>
    <row r="26" spans="1:13" ht="12.75">
      <c r="A26" s="4" t="s">
        <v>34</v>
      </c>
      <c r="B26" s="31">
        <f t="shared" si="0"/>
        <v>119099</v>
      </c>
      <c r="C26" s="31">
        <v>120554</v>
      </c>
      <c r="D26" s="32">
        <v>7125</v>
      </c>
      <c r="E26" s="31">
        <v>14358</v>
      </c>
      <c r="F26" s="31">
        <f t="shared" si="1"/>
        <v>97616</v>
      </c>
      <c r="G26" s="31">
        <v>1455</v>
      </c>
      <c r="H26" s="31"/>
      <c r="I26" s="31">
        <v>74</v>
      </c>
      <c r="J26" s="31">
        <v>290</v>
      </c>
      <c r="K26" s="31">
        <v>6</v>
      </c>
      <c r="L26" s="62"/>
      <c r="M26" s="41"/>
    </row>
    <row r="27" spans="1:13" ht="12.75">
      <c r="A27" s="4" t="s">
        <v>35</v>
      </c>
      <c r="B27" s="31">
        <f t="shared" si="0"/>
        <v>191954</v>
      </c>
      <c r="C27" s="31">
        <v>194299</v>
      </c>
      <c r="D27" s="32">
        <v>1870</v>
      </c>
      <c r="E27" s="31">
        <v>10109</v>
      </c>
      <c r="F27" s="31">
        <f t="shared" si="1"/>
        <v>179975</v>
      </c>
      <c r="G27" s="31">
        <v>2345</v>
      </c>
      <c r="H27" s="31"/>
      <c r="I27" s="31">
        <v>26</v>
      </c>
      <c r="J27" s="31">
        <v>162</v>
      </c>
      <c r="K27" s="31">
        <v>244</v>
      </c>
      <c r="L27" s="62"/>
      <c r="M27" s="41"/>
    </row>
    <row r="28" spans="1:13" ht="12.75">
      <c r="A28" s="4" t="s">
        <v>36</v>
      </c>
      <c r="B28" s="31">
        <f t="shared" si="0"/>
        <v>65876</v>
      </c>
      <c r="C28" s="31">
        <v>66681</v>
      </c>
      <c r="D28" s="32">
        <v>0</v>
      </c>
      <c r="E28" s="31">
        <v>11871</v>
      </c>
      <c r="F28" s="31">
        <f t="shared" si="1"/>
        <v>54005</v>
      </c>
      <c r="G28" s="31">
        <v>805</v>
      </c>
      <c r="H28" s="31"/>
      <c r="I28" s="31">
        <v>60</v>
      </c>
      <c r="J28" s="31">
        <v>343</v>
      </c>
      <c r="K28" s="31">
        <v>0</v>
      </c>
      <c r="L28" s="62"/>
      <c r="M28" s="41"/>
    </row>
    <row r="29" spans="1:13" ht="12.75">
      <c r="A29" s="4" t="s">
        <v>37</v>
      </c>
      <c r="B29" s="31">
        <f t="shared" si="0"/>
        <v>309487</v>
      </c>
      <c r="C29" s="31">
        <v>313269</v>
      </c>
      <c r="D29" s="32">
        <v>0</v>
      </c>
      <c r="E29" s="86">
        <v>240668</v>
      </c>
      <c r="F29" s="31">
        <v>68819</v>
      </c>
      <c r="G29" s="31">
        <v>3782</v>
      </c>
      <c r="H29" s="31"/>
      <c r="I29" s="31">
        <v>666</v>
      </c>
      <c r="J29" s="31">
        <v>177</v>
      </c>
      <c r="K29" s="31">
        <v>15</v>
      </c>
      <c r="L29" s="62"/>
      <c r="M29" s="41"/>
    </row>
    <row r="30" spans="1:12" ht="12.75">
      <c r="A30" s="4" t="s">
        <v>38</v>
      </c>
      <c r="B30" s="31">
        <f t="shared" si="0"/>
        <v>0</v>
      </c>
      <c r="C30" s="31">
        <v>0</v>
      </c>
      <c r="D30" s="32">
        <v>0</v>
      </c>
      <c r="E30" s="31">
        <v>0</v>
      </c>
      <c r="F30" s="31">
        <f t="shared" si="1"/>
        <v>0</v>
      </c>
      <c r="G30" s="31">
        <v>0</v>
      </c>
      <c r="H30" s="31"/>
      <c r="I30" s="31">
        <v>0</v>
      </c>
      <c r="J30" s="31">
        <v>0</v>
      </c>
      <c r="K30" s="31">
        <v>0</v>
      </c>
      <c r="L30" s="62"/>
    </row>
    <row r="31" spans="1:12" ht="12.75">
      <c r="A31" s="4" t="s">
        <v>8</v>
      </c>
      <c r="B31" s="31">
        <f t="shared" si="0"/>
        <v>397625</v>
      </c>
      <c r="C31" s="31">
        <f>667825-159500</f>
        <v>508325</v>
      </c>
      <c r="D31" s="32">
        <v>0</v>
      </c>
      <c r="E31" s="31">
        <v>180478</v>
      </c>
      <c r="F31" s="31">
        <f t="shared" si="1"/>
        <v>217147</v>
      </c>
      <c r="G31" s="31">
        <v>110700</v>
      </c>
      <c r="H31" s="31"/>
      <c r="I31" s="87">
        <v>594</v>
      </c>
      <c r="J31" s="31">
        <v>0</v>
      </c>
      <c r="K31" s="31">
        <v>0</v>
      </c>
      <c r="L31" s="62"/>
    </row>
    <row r="32" spans="1:12" ht="12.75">
      <c r="A32" s="4" t="s">
        <v>51</v>
      </c>
      <c r="B32" s="31">
        <v>0</v>
      </c>
      <c r="C32" s="31">
        <v>0</v>
      </c>
      <c r="D32" s="32">
        <v>0</v>
      </c>
      <c r="E32" s="31">
        <v>0</v>
      </c>
      <c r="F32" s="31">
        <f t="shared" si="1"/>
        <v>0</v>
      </c>
      <c r="G32" s="31">
        <v>0</v>
      </c>
      <c r="H32" s="31"/>
      <c r="I32" s="87">
        <f>760-279</f>
        <v>481</v>
      </c>
      <c r="J32" s="31">
        <v>0</v>
      </c>
      <c r="K32" s="31">
        <v>0</v>
      </c>
      <c r="L32" s="62"/>
    </row>
    <row r="33" spans="1:12" ht="12.75">
      <c r="A33" s="4" t="s">
        <v>39</v>
      </c>
      <c r="B33" s="31">
        <v>0</v>
      </c>
      <c r="C33" s="31">
        <v>0</v>
      </c>
      <c r="D33" s="32">
        <v>0</v>
      </c>
      <c r="E33" s="31">
        <v>0</v>
      </c>
      <c r="F33" s="31">
        <f t="shared" si="1"/>
        <v>0</v>
      </c>
      <c r="G33" s="31">
        <v>0</v>
      </c>
      <c r="H33" s="31"/>
      <c r="I33" s="31">
        <v>1913</v>
      </c>
      <c r="J33" s="31">
        <v>0</v>
      </c>
      <c r="K33" s="31">
        <v>0</v>
      </c>
      <c r="L33" s="62"/>
    </row>
    <row r="34" spans="1:12" ht="12.75">
      <c r="A34" s="4" t="s">
        <v>5</v>
      </c>
      <c r="B34" s="4"/>
      <c r="C34" s="31"/>
      <c r="D34" s="32"/>
      <c r="E34" s="31"/>
      <c r="F34" s="31"/>
      <c r="G34" s="31"/>
      <c r="H34" s="31"/>
      <c r="I34" s="31">
        <v>311</v>
      </c>
      <c r="J34" s="31">
        <v>0</v>
      </c>
      <c r="K34" s="31">
        <v>0</v>
      </c>
      <c r="L34" s="62"/>
    </row>
    <row r="35" spans="1:12" ht="12.75">
      <c r="A35" s="4" t="s">
        <v>6</v>
      </c>
      <c r="B35" s="4"/>
      <c r="C35" s="31"/>
      <c r="D35" s="32"/>
      <c r="E35" s="31"/>
      <c r="F35" s="31"/>
      <c r="G35" s="31"/>
      <c r="H35" s="31"/>
      <c r="I35" s="31">
        <v>443</v>
      </c>
      <c r="J35" s="31">
        <v>0</v>
      </c>
      <c r="K35" s="31">
        <v>0</v>
      </c>
      <c r="L35" s="62"/>
    </row>
    <row r="36" spans="1:12" ht="12.75">
      <c r="A36" s="11" t="s">
        <v>9</v>
      </c>
      <c r="B36" s="11"/>
      <c r="C36" s="36"/>
      <c r="D36" s="37"/>
      <c r="E36" s="36"/>
      <c r="F36" s="36"/>
      <c r="G36" s="36"/>
      <c r="H36" s="36"/>
      <c r="I36" s="36">
        <v>1264</v>
      </c>
      <c r="J36" s="36">
        <v>0</v>
      </c>
      <c r="K36" s="36">
        <v>0</v>
      </c>
      <c r="L36" s="62"/>
    </row>
    <row r="37" spans="1:11" ht="12.75">
      <c r="A37" s="81" t="s">
        <v>40</v>
      </c>
      <c r="B37" s="38">
        <f aca="true" t="shared" si="2" ref="B37:I37">SUM(B6:B36)</f>
        <v>27808829</v>
      </c>
      <c r="C37" s="38">
        <f t="shared" si="2"/>
        <v>28251502</v>
      </c>
      <c r="D37" s="38">
        <f t="shared" si="2"/>
        <v>2738324</v>
      </c>
      <c r="E37" s="38">
        <f t="shared" si="2"/>
        <v>1514727</v>
      </c>
      <c r="F37" s="38">
        <f t="shared" si="2"/>
        <v>23013678</v>
      </c>
      <c r="G37" s="38">
        <f t="shared" si="2"/>
        <v>442673</v>
      </c>
      <c r="H37" s="38">
        <f t="shared" si="2"/>
        <v>542100</v>
      </c>
      <c r="I37" s="79">
        <f t="shared" si="2"/>
        <v>17237</v>
      </c>
      <c r="J37" s="79">
        <f>SUM(J6:J36)</f>
        <v>45662</v>
      </c>
      <c r="K37" s="79">
        <f>SUM(K6:K36)</f>
        <v>2855</v>
      </c>
    </row>
    <row r="38" spans="1:8" ht="12.75" hidden="1">
      <c r="A38" s="188" t="s">
        <v>257</v>
      </c>
      <c r="B38" s="194"/>
      <c r="C38" s="33">
        <v>442673</v>
      </c>
      <c r="D38" s="33">
        <v>20463</v>
      </c>
      <c r="E38" s="33">
        <v>12449</v>
      </c>
      <c r="F38" s="31">
        <f>SUM(C38-D38-E38-H38)</f>
        <v>409761</v>
      </c>
      <c r="G38" s="189"/>
      <c r="H38" s="33"/>
    </row>
    <row r="39" spans="3:10" ht="12.75" hidden="1">
      <c r="C39" s="70">
        <f>SUM(C37:C38)</f>
        <v>28694175</v>
      </c>
      <c r="D39" s="70">
        <f>SUM(D37:D38)</f>
        <v>2758787</v>
      </c>
      <c r="E39" s="70">
        <f>SUM(E37:E38)</f>
        <v>1527176</v>
      </c>
      <c r="F39" s="70">
        <f>SUM(F37:F38)</f>
        <v>23423439</v>
      </c>
      <c r="G39" s="70"/>
      <c r="J39" s="120"/>
    </row>
    <row r="40" spans="3:11" ht="12.75">
      <c r="C40" s="33"/>
      <c r="D40" s="33"/>
      <c r="E40" s="33"/>
      <c r="F40" s="33"/>
      <c r="G40" s="33"/>
      <c r="H40" s="33"/>
      <c r="I40" s="33"/>
      <c r="J40" s="33"/>
      <c r="K40" s="33"/>
    </row>
    <row r="41" spans="3:11" ht="12.75">
      <c r="C41" s="33"/>
      <c r="D41" s="33"/>
      <c r="E41" s="33"/>
      <c r="F41" s="33"/>
      <c r="G41" s="33"/>
      <c r="H41" s="33"/>
      <c r="I41" s="33"/>
      <c r="J41" s="33"/>
      <c r="K41" s="33"/>
    </row>
    <row r="42" spans="3:11" ht="12.75">
      <c r="C42" s="33"/>
      <c r="D42" s="33"/>
      <c r="E42" s="33"/>
      <c r="F42" s="33"/>
      <c r="G42" s="33"/>
      <c r="H42" s="33"/>
      <c r="I42" s="33"/>
      <c r="J42" s="33"/>
      <c r="K42" s="33"/>
    </row>
    <row r="43" spans="3:11" ht="12.75">
      <c r="C43" s="33"/>
      <c r="D43" s="33"/>
      <c r="E43" s="33"/>
      <c r="F43" s="33"/>
      <c r="G43" s="33"/>
      <c r="H43" s="33"/>
      <c r="I43" s="33"/>
      <c r="J43" s="33"/>
      <c r="K43" s="33"/>
    </row>
    <row r="44" ht="12.75">
      <c r="C44" s="33"/>
    </row>
    <row r="45" ht="12.75">
      <c r="C45" s="33"/>
    </row>
    <row r="46" ht="12.75">
      <c r="C46" s="33"/>
    </row>
    <row r="47" ht="12.75">
      <c r="C47" s="33"/>
    </row>
    <row r="48" ht="12.75">
      <c r="C48" s="33"/>
    </row>
    <row r="49" ht="12.75">
      <c r="C49" s="33"/>
    </row>
    <row r="50" ht="12.75">
      <c r="C50" s="33"/>
    </row>
  </sheetData>
  <mergeCells count="1">
    <mergeCell ref="A1:H2"/>
  </mergeCells>
  <printOptions/>
  <pageMargins left="0.47" right="0.23" top="1" bottom="1" header="0.5" footer="0.5"/>
  <pageSetup horizontalDpi="600" verticalDpi="600" orientation="landscape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O9" sqref="O9"/>
    </sheetView>
  </sheetViews>
  <sheetFormatPr defaultColWidth="9.140625" defaultRowHeight="12.75"/>
  <cols>
    <col min="1" max="1" width="28.00390625" style="0" customWidth="1"/>
    <col min="2" max="2" width="15.57421875" style="0" customWidth="1"/>
  </cols>
  <sheetData>
    <row r="1" spans="1:2" ht="15">
      <c r="A1" s="297" t="s">
        <v>221</v>
      </c>
      <c r="B1" s="297"/>
    </row>
    <row r="2" spans="1:2" ht="12.75">
      <c r="A2" s="39"/>
      <c r="B2" s="39"/>
    </row>
    <row r="3" spans="1:2" ht="12.75">
      <c r="A3" s="172" t="s">
        <v>231</v>
      </c>
      <c r="B3" s="172" t="s">
        <v>232</v>
      </c>
    </row>
    <row r="4" spans="1:2" ht="12.75">
      <c r="A4" t="s">
        <v>222</v>
      </c>
      <c r="B4" t="s">
        <v>8</v>
      </c>
    </row>
    <row r="5" spans="1:2" ht="12.75">
      <c r="A5" t="s">
        <v>223</v>
      </c>
      <c r="B5" t="s">
        <v>8</v>
      </c>
    </row>
    <row r="6" spans="1:2" ht="12.75">
      <c r="A6" t="s">
        <v>155</v>
      </c>
      <c r="B6" t="s">
        <v>8</v>
      </c>
    </row>
    <row r="7" spans="1:2" ht="12.75">
      <c r="A7" t="s">
        <v>208</v>
      </c>
      <c r="B7" t="s">
        <v>8</v>
      </c>
    </row>
    <row r="8" spans="1:2" ht="12.75">
      <c r="A8" t="s">
        <v>163</v>
      </c>
      <c r="B8" t="s">
        <v>8</v>
      </c>
    </row>
    <row r="9" spans="1:2" ht="12.75">
      <c r="A9" t="s">
        <v>251</v>
      </c>
      <c r="B9" t="s">
        <v>8</v>
      </c>
    </row>
    <row r="11" spans="1:2" ht="12.75">
      <c r="A11" t="s">
        <v>224</v>
      </c>
      <c r="B11" t="s">
        <v>39</v>
      </c>
    </row>
    <row r="12" spans="1:2" ht="12.75">
      <c r="A12" t="s">
        <v>307</v>
      </c>
      <c r="B12" t="s">
        <v>39</v>
      </c>
    </row>
    <row r="14" spans="1:2" ht="12.75">
      <c r="A14" t="s">
        <v>225</v>
      </c>
      <c r="B14" t="s">
        <v>9</v>
      </c>
    </row>
    <row r="15" spans="1:2" ht="12.75">
      <c r="A15" t="s">
        <v>247</v>
      </c>
      <c r="B15" t="s">
        <v>248</v>
      </c>
    </row>
    <row r="17" spans="1:2" ht="12.75">
      <c r="A17" t="s">
        <v>226</v>
      </c>
      <c r="B17" t="s">
        <v>177</v>
      </c>
    </row>
    <row r="18" spans="1:2" ht="12.75">
      <c r="A18" t="s">
        <v>227</v>
      </c>
      <c r="B18" t="s">
        <v>177</v>
      </c>
    </row>
    <row r="19" spans="1:2" ht="12.75">
      <c r="A19" t="s">
        <v>228</v>
      </c>
      <c r="B19" t="s">
        <v>177</v>
      </c>
    </row>
    <row r="20" spans="1:2" ht="12.75">
      <c r="A20" t="s">
        <v>229</v>
      </c>
      <c r="B20" t="s">
        <v>177</v>
      </c>
    </row>
    <row r="21" spans="1:2" ht="12.75">
      <c r="A21" t="s">
        <v>230</v>
      </c>
      <c r="B21" t="s">
        <v>177</v>
      </c>
    </row>
    <row r="22" spans="1:2" ht="12.75">
      <c r="A22" t="s">
        <v>249</v>
      </c>
      <c r="B22" t="s">
        <v>177</v>
      </c>
    </row>
    <row r="24" spans="1:2" ht="15">
      <c r="A24" s="297" t="s">
        <v>252</v>
      </c>
      <c r="B24" s="297"/>
    </row>
    <row r="25" spans="1:2" ht="15">
      <c r="A25" s="186"/>
      <c r="B25" s="186"/>
    </row>
    <row r="26" spans="1:2" ht="12.75">
      <c r="A26" s="172" t="s">
        <v>231</v>
      </c>
      <c r="B26" s="172" t="s">
        <v>232</v>
      </c>
    </row>
    <row r="27" spans="1:2" ht="12.75">
      <c r="A27" t="s">
        <v>250</v>
      </c>
      <c r="B27" t="s">
        <v>6</v>
      </c>
    </row>
    <row r="28" spans="1:2" ht="12.75">
      <c r="A28" t="s">
        <v>326</v>
      </c>
      <c r="B28" t="s">
        <v>6</v>
      </c>
    </row>
  </sheetData>
  <mergeCells count="2">
    <mergeCell ref="A1:B1"/>
    <mergeCell ref="A24:B24"/>
  </mergeCells>
  <printOptions/>
  <pageMargins left="0.75" right="0.75" top="1" bottom="1" header="0.5" footer="0.5"/>
  <pageSetup horizontalDpi="1200" verticalDpi="12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C49"/>
  <sheetViews>
    <sheetView workbookViewId="0" topLeftCell="A7">
      <selection activeCell="O9" sqref="O9"/>
    </sheetView>
  </sheetViews>
  <sheetFormatPr defaultColWidth="9.140625" defaultRowHeight="12.75"/>
  <cols>
    <col min="1" max="1" width="21.7109375" style="0" customWidth="1"/>
    <col min="2" max="2" width="22.00390625" style="0" customWidth="1"/>
    <col min="3" max="3" width="8.8515625" style="39" customWidth="1"/>
  </cols>
  <sheetData>
    <row r="4" spans="1:3" ht="12.75">
      <c r="A4" s="136" t="s">
        <v>174</v>
      </c>
      <c r="B4" s="142" t="s">
        <v>171</v>
      </c>
      <c r="C4" s="142" t="s">
        <v>182</v>
      </c>
    </row>
    <row r="5" spans="1:3" ht="12.75">
      <c r="A5" s="14" t="s">
        <v>164</v>
      </c>
      <c r="B5" s="139" t="s">
        <v>270</v>
      </c>
      <c r="C5" s="137" t="s">
        <v>183</v>
      </c>
    </row>
    <row r="6" spans="1:3" ht="12.75">
      <c r="A6" s="14" t="s">
        <v>167</v>
      </c>
      <c r="B6" s="140" t="s">
        <v>184</v>
      </c>
      <c r="C6" s="137" t="s">
        <v>185</v>
      </c>
    </row>
    <row r="7" spans="1:3" ht="12.75">
      <c r="A7" s="14" t="s">
        <v>168</v>
      </c>
      <c r="B7" s="140" t="s">
        <v>271</v>
      </c>
      <c r="C7" s="137" t="s">
        <v>186</v>
      </c>
    </row>
    <row r="8" spans="1:3" ht="12.75">
      <c r="A8" s="14" t="s">
        <v>304</v>
      </c>
      <c r="B8" s="140" t="s">
        <v>271</v>
      </c>
      <c r="C8" s="137" t="s">
        <v>186</v>
      </c>
    </row>
    <row r="9" spans="1:3" ht="12.75">
      <c r="A9" s="14" t="s">
        <v>165</v>
      </c>
      <c r="B9" s="140" t="s">
        <v>272</v>
      </c>
      <c r="C9" s="137" t="s">
        <v>186</v>
      </c>
    </row>
    <row r="10" spans="1:3" ht="12.75">
      <c r="A10" s="14" t="s">
        <v>166</v>
      </c>
      <c r="B10" s="140" t="s">
        <v>273</v>
      </c>
      <c r="C10" s="137" t="s">
        <v>186</v>
      </c>
    </row>
    <row r="11" spans="1:3" ht="12.75">
      <c r="A11" s="14" t="s">
        <v>169</v>
      </c>
      <c r="B11" s="140"/>
      <c r="C11" s="137"/>
    </row>
    <row r="12" spans="1:3" ht="12.75">
      <c r="A12" s="14" t="s">
        <v>244</v>
      </c>
      <c r="B12" s="140" t="s">
        <v>274</v>
      </c>
      <c r="C12" s="137" t="s">
        <v>186</v>
      </c>
    </row>
    <row r="13" spans="1:3" ht="12.75">
      <c r="A13" s="14" t="s">
        <v>170</v>
      </c>
      <c r="B13" s="140" t="s">
        <v>275</v>
      </c>
      <c r="C13" s="137" t="s">
        <v>186</v>
      </c>
    </row>
    <row r="14" spans="1:3" ht="12.75">
      <c r="A14" s="14" t="s">
        <v>246</v>
      </c>
      <c r="B14" s="140" t="s">
        <v>276</v>
      </c>
      <c r="C14" s="137" t="s">
        <v>186</v>
      </c>
    </row>
    <row r="15" spans="1:3" ht="12.75">
      <c r="A15" s="14" t="s">
        <v>328</v>
      </c>
      <c r="B15" s="140" t="s">
        <v>330</v>
      </c>
      <c r="C15" s="137" t="s">
        <v>186</v>
      </c>
    </row>
    <row r="16" spans="1:3" ht="12.75">
      <c r="A16" s="14" t="s">
        <v>327</v>
      </c>
      <c r="B16" s="140" t="s">
        <v>329</v>
      </c>
      <c r="C16" s="137" t="s">
        <v>186</v>
      </c>
    </row>
    <row r="17" spans="1:3" ht="12.75">
      <c r="A17" s="14" t="s">
        <v>196</v>
      </c>
      <c r="B17" s="140" t="s">
        <v>277</v>
      </c>
      <c r="C17" s="137" t="s">
        <v>186</v>
      </c>
    </row>
    <row r="18" spans="1:3" ht="12.75">
      <c r="A18" s="14" t="s">
        <v>197</v>
      </c>
      <c r="B18" s="140" t="s">
        <v>278</v>
      </c>
      <c r="C18" s="137" t="s">
        <v>187</v>
      </c>
    </row>
    <row r="19" spans="1:3" ht="12.75" customHeight="1">
      <c r="A19" s="14" t="s">
        <v>172</v>
      </c>
      <c r="B19" s="140" t="s">
        <v>279</v>
      </c>
      <c r="C19" s="137" t="s">
        <v>187</v>
      </c>
    </row>
    <row r="20" spans="1:3" ht="12.75">
      <c r="A20" s="14" t="s">
        <v>75</v>
      </c>
      <c r="B20" s="140" t="s">
        <v>280</v>
      </c>
      <c r="C20" s="137" t="s">
        <v>187</v>
      </c>
    </row>
    <row r="21" spans="1:3" ht="12.75">
      <c r="A21" s="14" t="s">
        <v>173</v>
      </c>
      <c r="B21" s="140" t="s">
        <v>281</v>
      </c>
      <c r="C21" s="137" t="s">
        <v>188</v>
      </c>
    </row>
    <row r="22" spans="1:3" ht="12.75">
      <c r="A22" s="14" t="s">
        <v>245</v>
      </c>
      <c r="B22" s="143" t="s">
        <v>282</v>
      </c>
      <c r="C22" s="137" t="s">
        <v>189</v>
      </c>
    </row>
    <row r="23" spans="1:3" ht="12.75">
      <c r="A23" s="14" t="s">
        <v>242</v>
      </c>
      <c r="B23" s="140" t="s">
        <v>283</v>
      </c>
      <c r="C23" s="137" t="s">
        <v>189</v>
      </c>
    </row>
    <row r="24" spans="1:3" ht="12.75">
      <c r="A24" s="14" t="s">
        <v>121</v>
      </c>
      <c r="B24" s="140" t="s">
        <v>284</v>
      </c>
      <c r="C24" s="137" t="s">
        <v>190</v>
      </c>
    </row>
    <row r="25" spans="1:3" ht="12.75">
      <c r="A25" s="138" t="s">
        <v>65</v>
      </c>
      <c r="B25" s="141" t="s">
        <v>285</v>
      </c>
      <c r="C25" s="29" t="s">
        <v>186</v>
      </c>
    </row>
    <row r="26" spans="1:3" ht="12.75">
      <c r="A26" s="153"/>
      <c r="B26" s="153"/>
      <c r="C26" s="170"/>
    </row>
    <row r="27" spans="1:3" ht="12.75">
      <c r="A27" s="134" t="s">
        <v>175</v>
      </c>
      <c r="B27" s="135" t="s">
        <v>171</v>
      </c>
      <c r="C27" s="133" t="s">
        <v>182</v>
      </c>
    </row>
    <row r="28" spans="1:3" ht="12.75">
      <c r="A28" s="14" t="s">
        <v>5</v>
      </c>
      <c r="B28" s="140" t="s">
        <v>192</v>
      </c>
      <c r="C28" s="137">
        <v>25.93</v>
      </c>
    </row>
    <row r="29" spans="1:3" ht="12.75">
      <c r="A29" s="14" t="s">
        <v>6</v>
      </c>
      <c r="B29" s="140" t="s">
        <v>192</v>
      </c>
      <c r="C29" s="137">
        <v>25.93</v>
      </c>
    </row>
    <row r="30" spans="1:3" ht="12.75">
      <c r="A30" s="14" t="s">
        <v>39</v>
      </c>
      <c r="B30" s="140" t="s">
        <v>192</v>
      </c>
      <c r="C30" s="137">
        <v>25.93</v>
      </c>
    </row>
    <row r="31" spans="1:3" ht="12.75">
      <c r="A31" s="14" t="s">
        <v>8</v>
      </c>
      <c r="B31" s="140" t="s">
        <v>192</v>
      </c>
      <c r="C31" s="137">
        <v>25.93</v>
      </c>
    </row>
    <row r="32" spans="1:3" ht="12.75">
      <c r="A32" s="14" t="s">
        <v>9</v>
      </c>
      <c r="B32" s="140" t="s">
        <v>192</v>
      </c>
      <c r="C32" s="137">
        <v>25.93</v>
      </c>
    </row>
    <row r="33" spans="1:3" ht="12.75">
      <c r="A33" s="14" t="s">
        <v>176</v>
      </c>
      <c r="B33" s="140" t="s">
        <v>192</v>
      </c>
      <c r="C33" s="137">
        <v>25.93</v>
      </c>
    </row>
    <row r="34" spans="1:3" ht="12.75">
      <c r="A34" s="14" t="s">
        <v>177</v>
      </c>
      <c r="B34" s="140" t="s">
        <v>192</v>
      </c>
      <c r="C34" s="137">
        <v>25.93</v>
      </c>
    </row>
    <row r="35" spans="1:3" ht="12.75">
      <c r="A35" s="14" t="s">
        <v>11</v>
      </c>
      <c r="B35" s="140" t="s">
        <v>192</v>
      </c>
      <c r="C35" s="137">
        <v>25.93</v>
      </c>
    </row>
    <row r="36" spans="1:3" ht="12.75">
      <c r="A36" s="14" t="s">
        <v>178</v>
      </c>
      <c r="B36" s="140" t="s">
        <v>192</v>
      </c>
      <c r="C36" s="137">
        <v>25.93</v>
      </c>
    </row>
    <row r="37" spans="1:3" ht="12.75">
      <c r="A37" s="14" t="s">
        <v>179</v>
      </c>
      <c r="B37" s="140" t="s">
        <v>192</v>
      </c>
      <c r="C37" s="137">
        <v>25.93</v>
      </c>
    </row>
    <row r="38" spans="1:3" ht="12.75">
      <c r="A38" s="14" t="s">
        <v>163</v>
      </c>
      <c r="B38" s="140" t="s">
        <v>192</v>
      </c>
      <c r="C38" s="137">
        <v>25.93</v>
      </c>
    </row>
    <row r="39" spans="1:3" ht="12.75">
      <c r="A39" s="14" t="s">
        <v>180</v>
      </c>
      <c r="B39" s="140" t="s">
        <v>192</v>
      </c>
      <c r="C39" s="137">
        <v>25.93</v>
      </c>
    </row>
    <row r="40" spans="1:3" ht="12.75">
      <c r="A40" s="14" t="s">
        <v>206</v>
      </c>
      <c r="B40" s="140" t="s">
        <v>287</v>
      </c>
      <c r="C40" s="137">
        <v>25.93</v>
      </c>
    </row>
    <row r="41" spans="1:3" ht="12.75">
      <c r="A41" s="138" t="s">
        <v>181</v>
      </c>
      <c r="B41" s="141" t="s">
        <v>286</v>
      </c>
      <c r="C41" s="29">
        <v>25.93</v>
      </c>
    </row>
    <row r="49" ht="15">
      <c r="A49" s="162"/>
    </row>
  </sheetData>
  <printOptions/>
  <pageMargins left="0.75" right="0.26" top="1" bottom="0.85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F43"/>
  <sheetViews>
    <sheetView workbookViewId="0" topLeftCell="A13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140625" style="0" customWidth="1"/>
  </cols>
  <sheetData>
    <row r="2" ht="18">
      <c r="A2" s="25" t="s">
        <v>125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45">
        <f>SUM(Census!H5)</f>
        <v>5215</v>
      </c>
      <c r="C5" s="46">
        <f>SUM(B5/$B$38)</f>
        <v>0.22582600788117613</v>
      </c>
      <c r="D5" s="52">
        <f>ROUND(C5*$D$43,0)</f>
        <v>7524</v>
      </c>
    </row>
    <row r="6" spans="1:4" ht="12.75">
      <c r="A6" s="4" t="s">
        <v>15</v>
      </c>
      <c r="B6" s="45">
        <f>SUM(Census!H6)</f>
        <v>1266</v>
      </c>
      <c r="C6" s="46">
        <f aca="true" t="shared" si="0" ref="C6:C29">SUM(B6/$B$38)</f>
        <v>0.054821807474126356</v>
      </c>
      <c r="D6" s="31">
        <f>ROUND(C6*$D$43,0)</f>
        <v>1826</v>
      </c>
    </row>
    <row r="7" spans="1:4" ht="12.75">
      <c r="A7" s="4" t="s">
        <v>16</v>
      </c>
      <c r="B7" s="45">
        <f>SUM(Census!H7)</f>
        <v>512</v>
      </c>
      <c r="C7" s="46">
        <f t="shared" si="0"/>
        <v>0.02217122071623436</v>
      </c>
      <c r="D7" s="31">
        <f aca="true" t="shared" si="1" ref="D7:D37">ROUND(C7*$D$43,0)</f>
        <v>739</v>
      </c>
    </row>
    <row r="8" spans="1:4" ht="12.75">
      <c r="A8" s="4" t="s">
        <v>17</v>
      </c>
      <c r="B8" s="45">
        <f>SUM(Census!H8)</f>
        <v>1161</v>
      </c>
      <c r="C8" s="46">
        <f t="shared" si="0"/>
        <v>0.05027497510067986</v>
      </c>
      <c r="D8" s="31">
        <f t="shared" si="1"/>
        <v>1675</v>
      </c>
    </row>
    <row r="9" spans="1:4" ht="12.75">
      <c r="A9" s="4" t="s">
        <v>18</v>
      </c>
      <c r="B9" s="45">
        <f>SUM(Census!H9)</f>
        <v>1097</v>
      </c>
      <c r="C9" s="46">
        <f t="shared" si="0"/>
        <v>0.04750357251115057</v>
      </c>
      <c r="D9" s="31">
        <f t="shared" si="1"/>
        <v>1583</v>
      </c>
    </row>
    <row r="10" spans="1:4" ht="12.75">
      <c r="A10" s="4" t="s">
        <v>19</v>
      </c>
      <c r="B10" s="45">
        <f>SUM(Census!H10)</f>
        <v>3243</v>
      </c>
      <c r="C10" s="46">
        <f t="shared" si="0"/>
        <v>0.14043216559130473</v>
      </c>
      <c r="D10" s="31">
        <f t="shared" si="1"/>
        <v>4679</v>
      </c>
    </row>
    <row r="11" spans="1:4" ht="12.75">
      <c r="A11" s="4" t="s">
        <v>20</v>
      </c>
      <c r="B11" s="45">
        <f>SUM(Census!H11)</f>
        <v>198</v>
      </c>
      <c r="C11" s="46">
        <f t="shared" si="0"/>
        <v>0.008574026761356254</v>
      </c>
      <c r="D11" s="31">
        <f t="shared" si="1"/>
        <v>286</v>
      </c>
    </row>
    <row r="12" spans="1:4" ht="12.75">
      <c r="A12" s="4" t="s">
        <v>21</v>
      </c>
      <c r="B12" s="45">
        <f>SUM(Census!H12)</f>
        <v>1353</v>
      </c>
      <c r="C12" s="46">
        <f t="shared" si="0"/>
        <v>0.058589182869267745</v>
      </c>
      <c r="D12" s="31">
        <f t="shared" si="1"/>
        <v>1952</v>
      </c>
    </row>
    <row r="13" spans="1:4" ht="12.75">
      <c r="A13" s="4" t="s">
        <v>22</v>
      </c>
      <c r="B13" s="45">
        <f>SUM(Census!H13)</f>
        <v>509</v>
      </c>
      <c r="C13" s="46">
        <f t="shared" si="0"/>
        <v>0.02204131121985017</v>
      </c>
      <c r="D13" s="31">
        <f t="shared" si="1"/>
        <v>734</v>
      </c>
    </row>
    <row r="14" spans="1:4" ht="12.75">
      <c r="A14" s="4" t="s">
        <v>23</v>
      </c>
      <c r="B14" s="45">
        <f>SUM(Census!H14)</f>
        <v>1450</v>
      </c>
      <c r="C14" s="46">
        <f t="shared" si="0"/>
        <v>0.06278958991902309</v>
      </c>
      <c r="D14" s="31">
        <f t="shared" si="1"/>
        <v>2092</v>
      </c>
    </row>
    <row r="15" spans="1:4" ht="12.75">
      <c r="A15" s="4" t="s">
        <v>24</v>
      </c>
      <c r="B15" s="45">
        <f>SUM(Census!H15)</f>
        <v>961</v>
      </c>
      <c r="C15" s="46">
        <f t="shared" si="0"/>
        <v>0.04161434200840081</v>
      </c>
      <c r="D15" s="31">
        <f t="shared" si="1"/>
        <v>1386</v>
      </c>
    </row>
    <row r="16" spans="1:4" ht="12.75">
      <c r="A16" s="4" t="s">
        <v>25</v>
      </c>
      <c r="B16" s="45">
        <f>SUM(Census!H16)</f>
        <v>425</v>
      </c>
      <c r="C16" s="46">
        <f t="shared" si="0"/>
        <v>0.01840384532109297</v>
      </c>
      <c r="D16" s="31">
        <f t="shared" si="1"/>
        <v>613</v>
      </c>
    </row>
    <row r="17" spans="1:4" ht="12.75">
      <c r="A17" s="4" t="s">
        <v>26</v>
      </c>
      <c r="B17" s="45">
        <f>SUM(Census!H17)</f>
        <v>282</v>
      </c>
      <c r="C17" s="46">
        <f t="shared" si="0"/>
        <v>0.012211492660113454</v>
      </c>
      <c r="D17" s="31">
        <f t="shared" si="1"/>
        <v>407</v>
      </c>
    </row>
    <row r="18" spans="1:4" ht="12.75">
      <c r="A18" s="4" t="s">
        <v>27</v>
      </c>
      <c r="B18" s="45">
        <f>SUM(Census!H18)</f>
        <v>1298</v>
      </c>
      <c r="C18" s="46">
        <f t="shared" si="0"/>
        <v>0.056207508768891</v>
      </c>
      <c r="D18" s="31">
        <f t="shared" si="1"/>
        <v>1873</v>
      </c>
    </row>
    <row r="19" spans="1:4" ht="12.75">
      <c r="A19" s="4" t="s">
        <v>28</v>
      </c>
      <c r="B19" s="45">
        <f>SUM(Census!H19)</f>
        <v>805</v>
      </c>
      <c r="C19" s="46">
        <f t="shared" si="0"/>
        <v>0.03485904819642316</v>
      </c>
      <c r="D19" s="31">
        <f t="shared" si="1"/>
        <v>1161</v>
      </c>
    </row>
    <row r="20" spans="1:4" ht="12.75">
      <c r="A20" s="4" t="s">
        <v>29</v>
      </c>
      <c r="B20" s="45">
        <f>SUM(Census!H20)</f>
        <v>331</v>
      </c>
      <c r="C20" s="46">
        <f t="shared" si="0"/>
        <v>0.01433334776772182</v>
      </c>
      <c r="D20" s="31">
        <f t="shared" si="1"/>
        <v>478</v>
      </c>
    </row>
    <row r="21" spans="1:4" ht="12.75">
      <c r="A21" s="4" t="s">
        <v>30</v>
      </c>
      <c r="B21" s="45">
        <f>SUM(Census!H21)</f>
        <v>72</v>
      </c>
      <c r="C21" s="46">
        <f t="shared" si="0"/>
        <v>0.0031178279132204564</v>
      </c>
      <c r="D21" s="31">
        <f t="shared" si="1"/>
        <v>104</v>
      </c>
    </row>
    <row r="22" spans="1:4" ht="12.75">
      <c r="A22" s="4" t="s">
        <v>31</v>
      </c>
      <c r="B22" s="45">
        <f>SUM(Census!H22)</f>
        <v>590</v>
      </c>
      <c r="C22" s="46">
        <f t="shared" si="0"/>
        <v>0.025548867622223186</v>
      </c>
      <c r="D22" s="31">
        <f t="shared" si="1"/>
        <v>851</v>
      </c>
    </row>
    <row r="23" spans="1:4" ht="12.75">
      <c r="A23" s="4" t="s">
        <v>32</v>
      </c>
      <c r="B23" s="45">
        <f>SUM(Census!H23)</f>
        <v>91</v>
      </c>
      <c r="C23" s="46">
        <f t="shared" si="0"/>
        <v>0.003940588056986966</v>
      </c>
      <c r="D23" s="31">
        <f t="shared" si="1"/>
        <v>131</v>
      </c>
    </row>
    <row r="24" spans="1:4" ht="12.75">
      <c r="A24" s="4" t="s">
        <v>33</v>
      </c>
      <c r="B24" s="45">
        <f>SUM(Census!H24)</f>
        <v>124</v>
      </c>
      <c r="C24" s="46">
        <f t="shared" si="0"/>
        <v>0.005369592517213008</v>
      </c>
      <c r="D24" s="31">
        <f t="shared" si="1"/>
        <v>179</v>
      </c>
    </row>
    <row r="25" spans="1:4" ht="12.75">
      <c r="A25" s="4" t="s">
        <v>34</v>
      </c>
      <c r="B25" s="45">
        <f>SUM(Census!H25)</f>
        <v>124</v>
      </c>
      <c r="C25" s="46">
        <f t="shared" si="0"/>
        <v>0.005369592517213008</v>
      </c>
      <c r="D25" s="31">
        <f t="shared" si="1"/>
        <v>179</v>
      </c>
    </row>
    <row r="26" spans="1:4" ht="12.75">
      <c r="A26" s="4" t="s">
        <v>35</v>
      </c>
      <c r="B26" s="45">
        <f>SUM(Census!H26)</f>
        <v>39</v>
      </c>
      <c r="C26" s="46">
        <f t="shared" si="0"/>
        <v>0.0016888234529944138</v>
      </c>
      <c r="D26" s="31">
        <f t="shared" si="1"/>
        <v>56</v>
      </c>
    </row>
    <row r="27" spans="1:4" ht="12.75">
      <c r="A27" s="4" t="s">
        <v>36</v>
      </c>
      <c r="B27" s="45">
        <f>SUM(Census!H27)</f>
        <v>74</v>
      </c>
      <c r="C27" s="46">
        <f t="shared" si="0"/>
        <v>0.0032044342441432468</v>
      </c>
      <c r="D27" s="31">
        <f t="shared" si="1"/>
        <v>107</v>
      </c>
    </row>
    <row r="28" spans="1:4" ht="12.75">
      <c r="A28" s="4" t="s">
        <v>37</v>
      </c>
      <c r="B28" s="45">
        <f>SUM(Census!H28)</f>
        <v>1445</v>
      </c>
      <c r="C28" s="46">
        <f t="shared" si="0"/>
        <v>0.0625730740917161</v>
      </c>
      <c r="D28" s="31">
        <f t="shared" si="1"/>
        <v>2085</v>
      </c>
    </row>
    <row r="29" spans="1:4" ht="12.75">
      <c r="A29" s="4" t="s">
        <v>38</v>
      </c>
      <c r="B29" s="45">
        <f>SUM(Census!H29)</f>
        <v>428</v>
      </c>
      <c r="C29" s="46">
        <f t="shared" si="0"/>
        <v>0.01853375481747716</v>
      </c>
      <c r="D29" s="31">
        <f t="shared" si="1"/>
        <v>617</v>
      </c>
    </row>
    <row r="30" spans="1:4" ht="12.75">
      <c r="A30" s="4" t="s">
        <v>8</v>
      </c>
      <c r="B30" s="45">
        <v>0</v>
      </c>
      <c r="C30" s="32">
        <v>0</v>
      </c>
      <c r="D30" s="31">
        <f t="shared" si="1"/>
        <v>0</v>
      </c>
    </row>
    <row r="31" spans="1:6" ht="12.75">
      <c r="A31" s="4" t="s">
        <v>51</v>
      </c>
      <c r="B31" s="32">
        <v>0</v>
      </c>
      <c r="C31" s="32">
        <v>0</v>
      </c>
      <c r="D31" s="31">
        <f t="shared" si="1"/>
        <v>0</v>
      </c>
      <c r="F31" s="70"/>
    </row>
    <row r="32" spans="1:4" ht="12.75">
      <c r="A32" s="4" t="s">
        <v>39</v>
      </c>
      <c r="B32" s="32">
        <v>0</v>
      </c>
      <c r="C32" s="32">
        <v>0</v>
      </c>
      <c r="D32" s="31">
        <f t="shared" si="1"/>
        <v>0</v>
      </c>
    </row>
    <row r="33" spans="1:4" ht="12.75">
      <c r="A33" s="4" t="s">
        <v>5</v>
      </c>
      <c r="B33" s="32">
        <v>0</v>
      </c>
      <c r="C33" s="32">
        <v>0</v>
      </c>
      <c r="D33" s="31">
        <f t="shared" si="1"/>
        <v>0</v>
      </c>
    </row>
    <row r="34" spans="1:4" ht="12.75">
      <c r="A34" s="4" t="s">
        <v>6</v>
      </c>
      <c r="B34" s="32">
        <v>0</v>
      </c>
      <c r="C34" s="32">
        <v>0</v>
      </c>
      <c r="D34" s="31">
        <f t="shared" si="1"/>
        <v>0</v>
      </c>
    </row>
    <row r="35" spans="1:4" ht="12.75">
      <c r="A35" s="4" t="s">
        <v>9</v>
      </c>
      <c r="B35" s="32">
        <v>0</v>
      </c>
      <c r="C35" s="32">
        <v>0</v>
      </c>
      <c r="D35" s="31">
        <f t="shared" si="1"/>
        <v>0</v>
      </c>
    </row>
    <row r="36" spans="1:4" ht="12.75">
      <c r="A36" s="125" t="s">
        <v>145</v>
      </c>
      <c r="B36" s="31">
        <v>0</v>
      </c>
      <c r="C36" s="32">
        <v>0</v>
      </c>
      <c r="D36" s="31">
        <f t="shared" si="1"/>
        <v>0</v>
      </c>
    </row>
    <row r="37" spans="1:4" ht="12.75">
      <c r="A37" s="4" t="s">
        <v>128</v>
      </c>
      <c r="B37" s="36">
        <v>0</v>
      </c>
      <c r="C37" s="32">
        <v>0</v>
      </c>
      <c r="D37" s="36">
        <f t="shared" si="1"/>
        <v>0</v>
      </c>
    </row>
    <row r="38" spans="1:6" ht="12.75">
      <c r="A38" s="20" t="s">
        <v>40</v>
      </c>
      <c r="B38" s="43">
        <f>SUM(B5:B37)</f>
        <v>23093</v>
      </c>
      <c r="C38" s="47">
        <f>SUM(C5:C37)</f>
        <v>1</v>
      </c>
      <c r="D38" s="53">
        <f>SUM(D5:D37)</f>
        <v>33317</v>
      </c>
      <c r="F38" s="70"/>
    </row>
    <row r="39" spans="1:4" ht="12.75">
      <c r="A39" s="23" t="s">
        <v>199</v>
      </c>
      <c r="D39" s="70"/>
    </row>
    <row r="40" ht="12.75">
      <c r="A40" s="130" t="s">
        <v>308</v>
      </c>
    </row>
    <row r="41" ht="12.75">
      <c r="A41" s="130" t="s">
        <v>325</v>
      </c>
    </row>
    <row r="42" ht="12.75">
      <c r="A42" s="130" t="s">
        <v>324</v>
      </c>
    </row>
    <row r="43" ht="12.75">
      <c r="D43" s="171">
        <v>33317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G40"/>
  <sheetViews>
    <sheetView workbookViewId="0" topLeftCell="A13">
      <selection activeCell="O9" sqref="O9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3" width="16.7109375" style="0" customWidth="1"/>
    <col min="4" max="4" width="14.7109375" style="0" customWidth="1"/>
    <col min="5" max="5" width="2.28125" style="0" customWidth="1"/>
    <col min="6" max="6" width="9.7109375" style="0" bestFit="1" customWidth="1"/>
    <col min="7" max="7" width="9.28125" style="0" bestFit="1" customWidth="1"/>
  </cols>
  <sheetData>
    <row r="2" ht="18">
      <c r="A2" s="25" t="s">
        <v>123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148</v>
      </c>
      <c r="D4" s="22" t="s">
        <v>43</v>
      </c>
    </row>
    <row r="5" spans="1:6" ht="14.25" customHeight="1">
      <c r="A5" s="4" t="s">
        <v>0</v>
      </c>
      <c r="B5" s="52">
        <f>SUM('School Tax'!B11)</f>
        <v>696263</v>
      </c>
      <c r="C5" s="51">
        <f>SUM('School Tax'!D11)</f>
        <v>0.2766644957766985</v>
      </c>
      <c r="D5" s="52">
        <f>SUM('School Tax'!F11)</f>
        <v>91894</v>
      </c>
      <c r="E5" s="78"/>
      <c r="F5" s="33"/>
    </row>
    <row r="6" spans="1:6" ht="13.5" customHeight="1">
      <c r="A6" s="4" t="s">
        <v>15</v>
      </c>
      <c r="B6" s="31">
        <f>SUM('School Tax'!B12)</f>
        <v>164635</v>
      </c>
      <c r="C6" s="51">
        <f>SUM('School Tax'!D12)</f>
        <v>0.06541875593302639</v>
      </c>
      <c r="D6" s="31">
        <f>SUM('School Tax'!F12)</f>
        <v>21729</v>
      </c>
      <c r="E6" s="78"/>
      <c r="F6" s="33"/>
    </row>
    <row r="7" spans="1:6" ht="13.5" customHeight="1">
      <c r="A7" s="4" t="s">
        <v>16</v>
      </c>
      <c r="B7" s="31">
        <f>SUM('School Tax'!B13)</f>
        <v>56715</v>
      </c>
      <c r="C7" s="51">
        <f>SUM('School Tax'!D13)</f>
        <v>0.022536063065214516</v>
      </c>
      <c r="D7" s="31">
        <f>SUM('School Tax'!F13)</f>
        <v>7485</v>
      </c>
      <c r="E7" s="78"/>
      <c r="F7" s="33"/>
    </row>
    <row r="8" spans="1:6" ht="14.25" customHeight="1">
      <c r="A8" s="4" t="s">
        <v>17</v>
      </c>
      <c r="B8" s="31">
        <f>SUM('School Tax'!B14)</f>
        <v>162413</v>
      </c>
      <c r="C8" s="51">
        <f>SUM('School Tax'!D14)</f>
        <v>0.06453583021441744</v>
      </c>
      <c r="D8" s="31">
        <f>SUM('School Tax'!F14)</f>
        <v>21436</v>
      </c>
      <c r="E8" s="78"/>
      <c r="F8" s="33"/>
    </row>
    <row r="9" spans="1:6" ht="13.5" customHeight="1">
      <c r="A9" s="4" t="s">
        <v>18</v>
      </c>
      <c r="B9" s="31">
        <f>SUM('School Tax'!B15)</f>
        <v>142033</v>
      </c>
      <c r="C9" s="51">
        <f>SUM('School Tax'!D15)</f>
        <v>0.056437708636897</v>
      </c>
      <c r="D9" s="31">
        <f>SUM('School Tax'!F15)</f>
        <v>18746</v>
      </c>
      <c r="E9" s="78"/>
      <c r="F9" s="33"/>
    </row>
    <row r="10" spans="1:6" ht="14.25" customHeight="1">
      <c r="A10" s="4" t="s">
        <v>19</v>
      </c>
      <c r="B10" s="31">
        <f>SUM('School Tax'!B16)</f>
        <v>536792</v>
      </c>
      <c r="C10" s="51">
        <f>SUM('School Tax'!D16)</f>
        <v>0.21329768782337352</v>
      </c>
      <c r="D10" s="31">
        <f>SUM('School Tax'!F16)</f>
        <v>70847</v>
      </c>
      <c r="E10" s="78"/>
      <c r="F10" s="33"/>
    </row>
    <row r="11" spans="1:6" ht="14.25" customHeight="1">
      <c r="A11" s="4" t="s">
        <v>20</v>
      </c>
      <c r="B11" s="31">
        <f>SUM('School Tax'!B17)</f>
        <v>2494</v>
      </c>
      <c r="C11" s="51">
        <f>SUM('School Tax'!D17)</f>
        <v>0</v>
      </c>
      <c r="D11" s="122">
        <f>SUM('School Tax'!F17)</f>
        <v>153</v>
      </c>
      <c r="E11" s="78"/>
      <c r="F11" s="33"/>
    </row>
    <row r="12" spans="1:6" ht="14.25" customHeight="1">
      <c r="A12" s="4" t="s">
        <v>21</v>
      </c>
      <c r="B12" s="31">
        <f>SUM('School Tax'!B18)</f>
        <v>157587</v>
      </c>
      <c r="C12" s="51">
        <f>SUM('School Tax'!D18)</f>
        <v>0.06261818866715965</v>
      </c>
      <c r="D12" s="31">
        <f>SUM('School Tax'!F18)</f>
        <v>20799</v>
      </c>
      <c r="E12" s="78"/>
      <c r="F12" s="33"/>
    </row>
    <row r="13" spans="1:6" ht="14.25" customHeight="1">
      <c r="A13" s="4" t="s">
        <v>22</v>
      </c>
      <c r="B13" s="31">
        <f>SUM('School Tax'!B19)</f>
        <v>67152</v>
      </c>
      <c r="C13" s="51">
        <f>SUM('School Tax'!D19)</f>
        <v>0.026683270862298953</v>
      </c>
      <c r="D13" s="31">
        <f>SUM('School Tax'!F19)</f>
        <v>8863</v>
      </c>
      <c r="E13" s="78"/>
      <c r="F13" s="33"/>
    </row>
    <row r="14" spans="1:6" ht="14.25" customHeight="1">
      <c r="A14" s="4" t="s">
        <v>23</v>
      </c>
      <c r="B14" s="31">
        <f>SUM('School Tax'!B20)</f>
        <v>128273</v>
      </c>
      <c r="C14" s="51">
        <f>SUM('School Tax'!D20)</f>
        <v>0.05097008582498918</v>
      </c>
      <c r="D14" s="31">
        <f>SUM('School Tax'!F20)</f>
        <v>16930</v>
      </c>
      <c r="E14" s="78"/>
      <c r="F14" s="33"/>
    </row>
    <row r="15" spans="1:6" ht="13.5" customHeight="1">
      <c r="A15" s="4" t="s">
        <v>24</v>
      </c>
      <c r="B15" s="31">
        <f>SUM('School Tax'!B21)</f>
        <v>102165</v>
      </c>
      <c r="C15" s="51">
        <f>SUM('School Tax'!D21)</f>
        <v>0</v>
      </c>
      <c r="D15" s="122">
        <f>SUM('School Tax'!F21)</f>
        <v>7629</v>
      </c>
      <c r="E15" s="78"/>
      <c r="F15" s="33"/>
    </row>
    <row r="16" spans="1:6" ht="14.25" customHeight="1">
      <c r="A16" s="4" t="s">
        <v>25</v>
      </c>
      <c r="B16" s="31">
        <f>SUM('School Tax'!B22)</f>
        <v>50075</v>
      </c>
      <c r="C16" s="51">
        <f>SUM('School Tax'!D22)</f>
        <v>0.01989761717342179</v>
      </c>
      <c r="D16" s="31">
        <f>SUM('School Tax'!F22)</f>
        <v>6609</v>
      </c>
      <c r="E16" s="78"/>
      <c r="F16" s="33"/>
    </row>
    <row r="17" spans="1:6" ht="14.25" customHeight="1">
      <c r="A17" s="4" t="s">
        <v>26</v>
      </c>
      <c r="B17" s="31">
        <f>SUM('School Tax'!B23)</f>
        <v>34290</v>
      </c>
      <c r="C17" s="51">
        <f>SUM('School Tax'!D23)</f>
        <v>0.013625347835778996</v>
      </c>
      <c r="D17" s="31">
        <f>SUM('School Tax'!F23)</f>
        <v>4526</v>
      </c>
      <c r="E17" s="78"/>
      <c r="F17" s="33"/>
    </row>
    <row r="18" spans="1:6" ht="14.25" customHeight="1">
      <c r="A18" s="4" t="s">
        <v>27</v>
      </c>
      <c r="B18" s="31">
        <f>SUM('School Tax'!B24)</f>
        <v>158032</v>
      </c>
      <c r="C18" s="51">
        <f>SUM('School Tax'!D24)</f>
        <v>0.06279501222466685</v>
      </c>
      <c r="D18" s="31">
        <f>SUM('School Tax'!F24)</f>
        <v>20858</v>
      </c>
      <c r="E18" s="78"/>
      <c r="F18" s="33"/>
    </row>
    <row r="19" spans="1:6" ht="13.5" customHeight="1">
      <c r="A19" s="4" t="s">
        <v>28</v>
      </c>
      <c r="B19" s="31">
        <f>SUM('School Tax'!B25)</f>
        <v>78575</v>
      </c>
      <c r="C19" s="51">
        <f>SUM('School Tax'!D25)</f>
        <v>0</v>
      </c>
      <c r="D19" s="122">
        <f>SUM('School Tax'!F25)</f>
        <v>4897</v>
      </c>
      <c r="E19" s="78"/>
      <c r="F19" s="33"/>
    </row>
    <row r="20" spans="1:6" ht="13.5" customHeight="1">
      <c r="A20" s="4" t="s">
        <v>29</v>
      </c>
      <c r="B20" s="31">
        <f>SUM('School Tax'!B26)</f>
        <v>44848</v>
      </c>
      <c r="C20" s="51">
        <f>SUM('School Tax'!D26)</f>
        <v>0.01782063574625303</v>
      </c>
      <c r="D20" s="31">
        <f>SUM('School Tax'!F26)</f>
        <v>5919</v>
      </c>
      <c r="E20" s="78"/>
      <c r="F20" s="33"/>
    </row>
    <row r="21" spans="1:6" ht="12.75" customHeight="1">
      <c r="A21" s="4" t="s">
        <v>30</v>
      </c>
      <c r="B21" s="31">
        <f>SUM('School Tax'!B27)</f>
        <v>3346</v>
      </c>
      <c r="C21" s="51">
        <f>SUM('School Tax'!D27)</f>
        <v>0.0013295542099304905</v>
      </c>
      <c r="D21" s="31">
        <f>SUM('School Tax'!F27)</f>
        <v>442</v>
      </c>
      <c r="E21" s="78"/>
      <c r="F21" s="33"/>
    </row>
    <row r="22" spans="1:6" ht="13.5" customHeight="1">
      <c r="A22" s="4" t="s">
        <v>31</v>
      </c>
      <c r="B22" s="31">
        <f>SUM('School Tax'!B28)</f>
        <v>97466</v>
      </c>
      <c r="C22" s="51">
        <f>SUM('School Tax'!D28)</f>
        <v>0.03872873001347435</v>
      </c>
      <c r="D22" s="31">
        <f>SUM('School Tax'!F28)</f>
        <v>12864</v>
      </c>
      <c r="E22" s="78"/>
      <c r="F22" s="33"/>
    </row>
    <row r="23" spans="1:6" ht="13.5" customHeight="1">
      <c r="A23" s="4" t="s">
        <v>32</v>
      </c>
      <c r="B23" s="31">
        <f>SUM('School Tax'!B29)</f>
        <v>7718</v>
      </c>
      <c r="C23" s="51">
        <f>SUM('School Tax'!D29)</f>
        <v>0.0030667959929000376</v>
      </c>
      <c r="D23" s="31">
        <f>SUM('School Tax'!F29)</f>
        <v>1019</v>
      </c>
      <c r="E23" s="78"/>
      <c r="F23" s="33"/>
    </row>
    <row r="24" spans="1:6" ht="12" customHeight="1">
      <c r="A24" s="4" t="s">
        <v>33</v>
      </c>
      <c r="B24" s="31">
        <f>SUM('School Tax'!B30)</f>
        <v>0</v>
      </c>
      <c r="C24" s="51">
        <f>SUM('School Tax'!D30)</f>
        <v>0</v>
      </c>
      <c r="D24" s="31">
        <f>SUM('School Tax'!F30)</f>
        <v>0</v>
      </c>
      <c r="E24" s="78"/>
      <c r="F24" s="33"/>
    </row>
    <row r="25" spans="1:6" ht="12.75">
      <c r="A25" s="4" t="s">
        <v>34</v>
      </c>
      <c r="B25" s="31">
        <f>SUM('School Tax'!B31)</f>
        <v>7125</v>
      </c>
      <c r="C25" s="51">
        <f>SUM('School Tax'!D31)</f>
        <v>0.002831163701660115</v>
      </c>
      <c r="D25" s="31">
        <f>SUM('School Tax'!F31)</f>
        <v>940</v>
      </c>
      <c r="E25" s="78"/>
      <c r="F25" s="33"/>
    </row>
    <row r="26" spans="1:6" ht="12.75">
      <c r="A26" s="4" t="s">
        <v>35</v>
      </c>
      <c r="B26" s="31">
        <f>SUM('School Tax'!B32)</f>
        <v>1870</v>
      </c>
      <c r="C26" s="123">
        <f>SUM('School Tax'!D32)</f>
        <v>0.0007430562978392161</v>
      </c>
      <c r="D26" s="31">
        <f>SUM('School Tax'!F32)</f>
        <v>247</v>
      </c>
      <c r="E26" s="78"/>
      <c r="F26" s="33"/>
    </row>
    <row r="27" spans="1:7" ht="12.75">
      <c r="A27" s="4" t="s">
        <v>36</v>
      </c>
      <c r="B27" s="127">
        <f>SUM('School Tax'!B33)</f>
        <v>0</v>
      </c>
      <c r="C27" s="127">
        <v>0</v>
      </c>
      <c r="D27" s="127">
        <f>SUM('School Tax'!F33)</f>
        <v>0</v>
      </c>
      <c r="E27" s="78"/>
      <c r="F27" s="70"/>
      <c r="G27" s="165"/>
    </row>
    <row r="28" spans="1:5" ht="12.75">
      <c r="A28" s="4" t="s">
        <v>37</v>
      </c>
      <c r="B28" s="127">
        <v>0</v>
      </c>
      <c r="C28" s="127">
        <v>0</v>
      </c>
      <c r="D28" s="127">
        <f>SUM('School Tax'!F34)</f>
        <v>0</v>
      </c>
      <c r="E28" s="78"/>
    </row>
    <row r="29" spans="1:5" ht="12.75">
      <c r="A29" s="4" t="s">
        <v>38</v>
      </c>
      <c r="B29" s="127">
        <v>0</v>
      </c>
      <c r="C29" s="127">
        <v>0</v>
      </c>
      <c r="D29" s="127">
        <v>0</v>
      </c>
      <c r="E29" s="78"/>
    </row>
    <row r="30" spans="1:5" ht="12.75">
      <c r="A30" s="4" t="s">
        <v>8</v>
      </c>
      <c r="B30" s="127">
        <v>0</v>
      </c>
      <c r="C30" s="127">
        <v>0</v>
      </c>
      <c r="D30" s="127">
        <v>0</v>
      </c>
      <c r="E30" s="78"/>
    </row>
    <row r="31" spans="1:5" ht="12.75">
      <c r="A31" s="4" t="s">
        <v>51</v>
      </c>
      <c r="B31" s="127">
        <v>0</v>
      </c>
      <c r="C31" s="128">
        <v>0</v>
      </c>
      <c r="D31" s="127">
        <v>0</v>
      </c>
      <c r="E31" s="78"/>
    </row>
    <row r="32" spans="1:5" ht="12.75">
      <c r="A32" s="4" t="s">
        <v>39</v>
      </c>
      <c r="B32" s="127">
        <v>0</v>
      </c>
      <c r="C32" s="128">
        <v>0</v>
      </c>
      <c r="D32" s="127">
        <v>0</v>
      </c>
      <c r="E32" s="78"/>
    </row>
    <row r="33" spans="1:5" ht="12.75">
      <c r="A33" s="4" t="s">
        <v>5</v>
      </c>
      <c r="B33" s="127">
        <v>0</v>
      </c>
      <c r="C33" s="128">
        <v>0</v>
      </c>
      <c r="D33" s="127">
        <v>0</v>
      </c>
      <c r="E33" s="78"/>
    </row>
    <row r="34" spans="1:5" ht="12.75">
      <c r="A34" s="4" t="s">
        <v>6</v>
      </c>
      <c r="B34" s="127">
        <v>0</v>
      </c>
      <c r="C34" s="128">
        <v>0</v>
      </c>
      <c r="D34" s="127">
        <v>0</v>
      </c>
      <c r="E34" s="78"/>
    </row>
    <row r="35" spans="1:5" ht="12.75">
      <c r="A35" s="4" t="s">
        <v>9</v>
      </c>
      <c r="B35" s="129">
        <v>0</v>
      </c>
      <c r="C35" s="129">
        <v>0</v>
      </c>
      <c r="D35" s="127">
        <v>0</v>
      </c>
      <c r="E35" s="78"/>
    </row>
    <row r="36" spans="1:5" ht="12.75">
      <c r="A36" s="4" t="s">
        <v>145</v>
      </c>
      <c r="B36" s="127">
        <v>0</v>
      </c>
      <c r="C36" s="129">
        <v>0</v>
      </c>
      <c r="D36" s="127">
        <v>0</v>
      </c>
      <c r="E36" s="78"/>
    </row>
    <row r="37" spans="1:5" ht="12" customHeight="1">
      <c r="A37" s="4" t="s">
        <v>128</v>
      </c>
      <c r="B37" s="126">
        <v>0</v>
      </c>
      <c r="C37" s="127">
        <v>0</v>
      </c>
      <c r="D37" s="126">
        <v>0</v>
      </c>
      <c r="E37" s="78"/>
    </row>
    <row r="38" spans="1:5" ht="12.75">
      <c r="A38" s="20" t="s">
        <v>40</v>
      </c>
      <c r="B38" s="53">
        <f>SUM(B5:B37)</f>
        <v>2699867</v>
      </c>
      <c r="C38" s="124">
        <f>SUM(C5:C37)</f>
        <v>1</v>
      </c>
      <c r="D38" s="53">
        <f>SUM(D5:D37)</f>
        <v>344832</v>
      </c>
      <c r="E38" s="78"/>
    </row>
    <row r="39" ht="12.75">
      <c r="A39" s="23" t="s">
        <v>69</v>
      </c>
    </row>
    <row r="40" ht="12.75">
      <c r="A40" s="23"/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  <headerFooter alignWithMargins="0">
    <oddFooter xml:space="preserve">&amp;L&amp;F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V44"/>
  <sheetViews>
    <sheetView workbookViewId="0" topLeftCell="A1">
      <selection activeCell="O9" sqref="O9"/>
    </sheetView>
  </sheetViews>
  <sheetFormatPr defaultColWidth="9.140625" defaultRowHeight="12.75"/>
  <cols>
    <col min="1" max="1" width="9.7109375" style="0" customWidth="1"/>
    <col min="2" max="2" width="13.7109375" style="0" customWidth="1"/>
    <col min="3" max="3" width="11.421875" style="0" customWidth="1"/>
    <col min="4" max="4" width="10.8515625" style="0" customWidth="1"/>
    <col min="5" max="5" width="11.8515625" style="0" customWidth="1"/>
    <col min="6" max="7" width="1.8515625" style="0" customWidth="1"/>
    <col min="8" max="8" width="9.28125" style="0" customWidth="1"/>
    <col min="9" max="9" width="10.28125" style="0" customWidth="1"/>
    <col min="10" max="10" width="11.00390625" style="33" customWidth="1"/>
    <col min="11" max="11" width="2.140625" style="0" customWidth="1"/>
    <col min="14" max="14" width="10.28125" style="0" bestFit="1" customWidth="1"/>
    <col min="15" max="15" width="1.1484375" style="0" customWidth="1"/>
    <col min="16" max="16" width="16.00390625" style="0" customWidth="1"/>
    <col min="18" max="18" width="9.28125" style="0" customWidth="1"/>
    <col min="19" max="19" width="1.421875" style="0" customWidth="1"/>
    <col min="20" max="20" width="13.00390625" style="0" customWidth="1"/>
    <col min="22" max="22" width="9.28125" style="0" customWidth="1"/>
    <col min="23" max="23" width="3.421875" style="0" customWidth="1"/>
  </cols>
  <sheetData>
    <row r="2" spans="1:22" ht="18">
      <c r="A2" s="25" t="s">
        <v>214</v>
      </c>
      <c r="B2" s="25"/>
      <c r="P2" s="220"/>
      <c r="Q2" s="220"/>
      <c r="R2" s="220"/>
      <c r="S2" s="220"/>
      <c r="T2" s="220"/>
      <c r="U2" s="220"/>
      <c r="V2" s="220"/>
    </row>
    <row r="3" spans="1:22" ht="12.75">
      <c r="A3" s="13"/>
      <c r="B3" s="164" t="s">
        <v>40</v>
      </c>
      <c r="C3" s="273" t="s">
        <v>8</v>
      </c>
      <c r="D3" s="274"/>
      <c r="E3" s="275"/>
      <c r="H3" s="273" t="s">
        <v>208</v>
      </c>
      <c r="I3" s="274"/>
      <c r="J3" s="275"/>
      <c r="L3" s="273" t="s">
        <v>155</v>
      </c>
      <c r="M3" s="274"/>
      <c r="N3" s="275"/>
      <c r="P3" s="276" t="s">
        <v>213</v>
      </c>
      <c r="Q3" s="277"/>
      <c r="R3" s="278"/>
      <c r="S3" s="215"/>
      <c r="T3" s="276" t="s">
        <v>155</v>
      </c>
      <c r="U3" s="277"/>
      <c r="V3" s="278"/>
    </row>
    <row r="4" spans="1:22" ht="12.75">
      <c r="A4" s="14"/>
      <c r="B4" s="133" t="s">
        <v>8</v>
      </c>
      <c r="C4" s="21" t="s">
        <v>41</v>
      </c>
      <c r="D4" s="21" t="s">
        <v>42</v>
      </c>
      <c r="E4" s="22" t="s">
        <v>43</v>
      </c>
      <c r="H4" s="21" t="s">
        <v>41</v>
      </c>
      <c r="I4" s="21" t="s">
        <v>42</v>
      </c>
      <c r="J4" s="250" t="s">
        <v>43</v>
      </c>
      <c r="L4" s="21" t="s">
        <v>41</v>
      </c>
      <c r="M4" s="21" t="s">
        <v>42</v>
      </c>
      <c r="N4" s="22" t="s">
        <v>43</v>
      </c>
      <c r="P4" s="200" t="s">
        <v>41</v>
      </c>
      <c r="Q4" s="200" t="s">
        <v>42</v>
      </c>
      <c r="R4" s="201" t="s">
        <v>43</v>
      </c>
      <c r="S4" s="215"/>
      <c r="T4" s="200" t="s">
        <v>41</v>
      </c>
      <c r="U4" s="200" t="s">
        <v>42</v>
      </c>
      <c r="V4" s="201" t="s">
        <v>43</v>
      </c>
    </row>
    <row r="5" spans="1:22" ht="12.75">
      <c r="A5" s="4" t="s">
        <v>0</v>
      </c>
      <c r="B5" s="45">
        <f>SUM(E5+J5+N5)</f>
        <v>12727</v>
      </c>
      <c r="C5" s="45">
        <f>SUM(Census!H5)</f>
        <v>5215</v>
      </c>
      <c r="D5" s="46">
        <f>SUM(C5/$C$38)</f>
        <v>0.2300904478270461</v>
      </c>
      <c r="E5" s="52">
        <f>ROUND(D5*$E$43,0)+2</f>
        <v>5945</v>
      </c>
      <c r="H5" s="49">
        <f>SUM('FY07 PB'!J6)</f>
        <v>6382</v>
      </c>
      <c r="I5" s="46">
        <f>SUM(H5/$H$38)</f>
        <v>0.13976610748543647</v>
      </c>
      <c r="J5" s="31">
        <f>ROUND(I5*$J$43,0)</f>
        <v>5668</v>
      </c>
      <c r="L5" s="49">
        <f>SUM('FY07 PB'!N6)</f>
        <v>0</v>
      </c>
      <c r="M5" s="46">
        <f>SUM(L5/$H$38)</f>
        <v>0</v>
      </c>
      <c r="N5" s="82">
        <v>1114</v>
      </c>
      <c r="P5" s="202">
        <f>SUM('FY07 PB'!B6)</f>
        <v>4688307</v>
      </c>
      <c r="Q5" s="203">
        <f>SUM(P5/$P$38)</f>
        <v>0.17103615733187058</v>
      </c>
      <c r="R5" s="202">
        <f>ROUND(Q5*$R$43,0)+3</f>
        <v>959</v>
      </c>
      <c r="S5" s="215"/>
      <c r="T5" s="204">
        <f>SUM(Census!H5)</f>
        <v>5215</v>
      </c>
      <c r="U5" s="203">
        <f>SUM(T5/$T$38)</f>
        <v>0.2300904478270461</v>
      </c>
      <c r="V5" s="202">
        <f>ROUND(U5*$V$43,)-3</f>
        <v>1283</v>
      </c>
    </row>
    <row r="6" spans="1:22" ht="12.75">
      <c r="A6" s="4" t="s">
        <v>15</v>
      </c>
      <c r="B6" s="45">
        <f>SUM(E6+J6+N6)</f>
        <v>6022</v>
      </c>
      <c r="C6" s="45">
        <f>SUM(Census!H6)</f>
        <v>1266</v>
      </c>
      <c r="D6" s="46">
        <f aca="true" t="shared" si="0" ref="D6:D28">SUM(C6/$C$38)</f>
        <v>0.05585704831237591</v>
      </c>
      <c r="E6" s="31">
        <f>ROUND(D6*$E$43,0)</f>
        <v>1443</v>
      </c>
      <c r="H6" s="49">
        <f>SUM('FY07 PB'!J7)</f>
        <v>4651</v>
      </c>
      <c r="I6" s="46">
        <f aca="true" t="shared" si="1" ref="I6:I28">SUM(H6/$H$38)</f>
        <v>0.10185712408567299</v>
      </c>
      <c r="J6" s="31">
        <f>ROUND(I6*$J$43,0)</f>
        <v>4131</v>
      </c>
      <c r="L6" s="49">
        <f>SUM('FY07 PB'!N7)</f>
        <v>0</v>
      </c>
      <c r="M6" s="46">
        <v>0</v>
      </c>
      <c r="N6" s="49">
        <v>448</v>
      </c>
      <c r="P6" s="205">
        <f>SUM('FY07 PB'!B7)</f>
        <v>2865993</v>
      </c>
      <c r="Q6" s="203">
        <f aca="true" t="shared" si="2" ref="Q6:Q28">SUM(P6/$P$38)</f>
        <v>0.104555531380526</v>
      </c>
      <c r="R6" s="205">
        <f>ROUND(Q6*$R$43,0)</f>
        <v>584</v>
      </c>
      <c r="S6" s="215"/>
      <c r="T6" s="206">
        <f aca="true" t="shared" si="3" ref="T6:T28">SUM(C6)</f>
        <v>1266</v>
      </c>
      <c r="U6" s="203">
        <f>SUM(T6/$T$38)</f>
        <v>0.05585704831237591</v>
      </c>
      <c r="V6" s="205">
        <f>ROUND(U6*$V$43,0)</f>
        <v>312</v>
      </c>
    </row>
    <row r="7" spans="1:22" ht="12.75">
      <c r="A7" s="4" t="s">
        <v>16</v>
      </c>
      <c r="B7" s="45">
        <f aca="true" t="shared" si="4" ref="B7:B28">SUM(E7+J7+N7)</f>
        <v>1377</v>
      </c>
      <c r="C7" s="45">
        <f>SUM(Census!H7)</f>
        <v>512</v>
      </c>
      <c r="D7" s="46">
        <f t="shared" si="0"/>
        <v>0.02258989631590558</v>
      </c>
      <c r="E7" s="31">
        <f aca="true" t="shared" si="5" ref="E7:E28">ROUND(D7*$E$43,0)</f>
        <v>583</v>
      </c>
      <c r="H7" s="49">
        <f>SUM('FY07 PB'!J8)</f>
        <v>779</v>
      </c>
      <c r="I7" s="46">
        <f t="shared" si="1"/>
        <v>0.01706013753230257</v>
      </c>
      <c r="J7" s="31">
        <f>ROUND(I7*$J$43,0)</f>
        <v>692</v>
      </c>
      <c r="L7" s="49">
        <f>SUM('FY07 PB'!N8)</f>
        <v>0</v>
      </c>
      <c r="M7" s="46">
        <f aca="true" t="shared" si="6" ref="M7:M28">SUM(L7/$H$38)</f>
        <v>0</v>
      </c>
      <c r="N7" s="49">
        <v>102</v>
      </c>
      <c r="P7" s="205">
        <f>SUM('FY07 PB'!B8)</f>
        <v>381434</v>
      </c>
      <c r="Q7" s="203">
        <f t="shared" si="2"/>
        <v>0.013915258884651692</v>
      </c>
      <c r="R7" s="205">
        <f aca="true" t="shared" si="7" ref="R7:R28">ROUND(Q7*$R$43,0)</f>
        <v>78</v>
      </c>
      <c r="S7" s="216"/>
      <c r="T7" s="206">
        <f t="shared" si="3"/>
        <v>512</v>
      </c>
      <c r="U7" s="203">
        <f aca="true" t="shared" si="8" ref="U7:U28">SUM(T7/$T$38)</f>
        <v>0.02258989631590558</v>
      </c>
      <c r="V7" s="205">
        <f aca="true" t="shared" si="9" ref="V7:V28">ROUND(U7*$V$43,0)</f>
        <v>126</v>
      </c>
    </row>
    <row r="8" spans="1:22" ht="12.75">
      <c r="A8" s="4" t="s">
        <v>17</v>
      </c>
      <c r="B8" s="45">
        <f t="shared" si="4"/>
        <v>5114</v>
      </c>
      <c r="C8" s="45">
        <f>SUM(Census!H8)</f>
        <v>1161</v>
      </c>
      <c r="D8" s="46">
        <f t="shared" si="0"/>
        <v>0.051224354731965585</v>
      </c>
      <c r="E8" s="31">
        <f t="shared" si="5"/>
        <v>1323</v>
      </c>
      <c r="H8" s="49">
        <f>SUM('FY07 PB'!J9)</f>
        <v>3898</v>
      </c>
      <c r="I8" s="46">
        <f t="shared" si="1"/>
        <v>0.08536638780605317</v>
      </c>
      <c r="J8" s="31">
        <f aca="true" t="shared" si="10" ref="J8:J28">ROUND(I8*$J$43,0)</f>
        <v>3462</v>
      </c>
      <c r="L8" s="49">
        <f>SUM('FY07 PB'!N9)</f>
        <v>0</v>
      </c>
      <c r="M8" s="46">
        <f t="shared" si="6"/>
        <v>0</v>
      </c>
      <c r="N8" s="49">
        <v>329</v>
      </c>
      <c r="P8" s="205">
        <f>SUM('FY07 PB'!B9)</f>
        <v>1823846</v>
      </c>
      <c r="Q8" s="203">
        <f t="shared" si="2"/>
        <v>0.06653651550657899</v>
      </c>
      <c r="R8" s="205">
        <f t="shared" si="7"/>
        <v>372</v>
      </c>
      <c r="S8" s="215"/>
      <c r="T8" s="206">
        <f t="shared" si="3"/>
        <v>1161</v>
      </c>
      <c r="U8" s="203">
        <f t="shared" si="8"/>
        <v>0.051224354731965585</v>
      </c>
      <c r="V8" s="205">
        <f t="shared" si="9"/>
        <v>286</v>
      </c>
    </row>
    <row r="9" spans="1:22" ht="12.75">
      <c r="A9" s="4" t="s">
        <v>18</v>
      </c>
      <c r="B9" s="45">
        <f t="shared" si="4"/>
        <v>4216</v>
      </c>
      <c r="C9" s="45">
        <f>SUM(Census!H9)</f>
        <v>1097</v>
      </c>
      <c r="D9" s="46">
        <f t="shared" si="0"/>
        <v>0.04840061769247739</v>
      </c>
      <c r="E9" s="31">
        <f t="shared" si="5"/>
        <v>1250</v>
      </c>
      <c r="H9" s="49">
        <f>SUM('FY07 PB'!J10)</f>
        <v>3014</v>
      </c>
      <c r="I9" s="46">
        <f t="shared" si="1"/>
        <v>0.06600674521483947</v>
      </c>
      <c r="J9" s="31">
        <f t="shared" si="10"/>
        <v>2677</v>
      </c>
      <c r="L9" s="49">
        <f>SUM('FY07 PB'!N10)</f>
        <v>0</v>
      </c>
      <c r="M9" s="46">
        <f t="shared" si="6"/>
        <v>0</v>
      </c>
      <c r="N9" s="49">
        <v>289</v>
      </c>
      <c r="P9" s="205">
        <f>SUM('FY07 PB'!B10)</f>
        <v>1506344</v>
      </c>
      <c r="Q9" s="203">
        <f t="shared" si="2"/>
        <v>0.054953587591409704</v>
      </c>
      <c r="R9" s="205">
        <f t="shared" si="7"/>
        <v>307</v>
      </c>
      <c r="S9" s="215"/>
      <c r="T9" s="206">
        <f t="shared" si="3"/>
        <v>1097</v>
      </c>
      <c r="U9" s="203">
        <f t="shared" si="8"/>
        <v>0.04840061769247739</v>
      </c>
      <c r="V9" s="205">
        <f t="shared" si="9"/>
        <v>271</v>
      </c>
    </row>
    <row r="10" spans="1:22" ht="12.75">
      <c r="A10" s="4" t="s">
        <v>19</v>
      </c>
      <c r="B10" s="45">
        <f t="shared" si="4"/>
        <v>8924</v>
      </c>
      <c r="C10" s="45">
        <f>SUM(Census!H10)</f>
        <v>3243</v>
      </c>
      <c r="D10" s="46">
        <f t="shared" si="0"/>
        <v>0.143084050297816</v>
      </c>
      <c r="E10" s="31">
        <f t="shared" si="5"/>
        <v>3696</v>
      </c>
      <c r="H10" s="49">
        <f>SUM('FY07 PB'!J11)</f>
        <v>4937</v>
      </c>
      <c r="I10" s="46">
        <f t="shared" si="1"/>
        <v>0.1081205378651833</v>
      </c>
      <c r="J10" s="31">
        <f t="shared" si="10"/>
        <v>4385</v>
      </c>
      <c r="L10" s="49">
        <f>SUM('FY07 PB'!N11)</f>
        <v>0</v>
      </c>
      <c r="M10" s="46">
        <f t="shared" si="6"/>
        <v>0</v>
      </c>
      <c r="N10" s="49">
        <v>843</v>
      </c>
      <c r="P10" s="205">
        <f>SUM('FY07 PB'!B11)</f>
        <v>4343644</v>
      </c>
      <c r="Q10" s="203">
        <f t="shared" si="2"/>
        <v>0.15846235721714377</v>
      </c>
      <c r="R10" s="205">
        <f t="shared" si="7"/>
        <v>886</v>
      </c>
      <c r="S10" s="215"/>
      <c r="T10" s="206">
        <f t="shared" si="3"/>
        <v>3243</v>
      </c>
      <c r="U10" s="203">
        <f t="shared" si="8"/>
        <v>0.143084050297816</v>
      </c>
      <c r="V10" s="205">
        <f t="shared" si="9"/>
        <v>800</v>
      </c>
    </row>
    <row r="11" spans="1:22" ht="12.75">
      <c r="A11" s="4" t="s">
        <v>20</v>
      </c>
      <c r="B11" s="45">
        <f t="shared" si="4"/>
        <v>4239</v>
      </c>
      <c r="C11" s="45">
        <f>SUM(Census!H11)</f>
        <v>198</v>
      </c>
      <c r="D11" s="46">
        <f t="shared" si="0"/>
        <v>0.008735936465916612</v>
      </c>
      <c r="E11" s="31">
        <f t="shared" si="5"/>
        <v>226</v>
      </c>
      <c r="H11" s="49">
        <f>SUM('FY07 PB'!J12)</f>
        <v>4272</v>
      </c>
      <c r="I11" s="46">
        <f t="shared" si="1"/>
        <v>0.09355700582541282</v>
      </c>
      <c r="J11" s="31">
        <f t="shared" si="10"/>
        <v>3794</v>
      </c>
      <c r="L11" s="49">
        <f>SUM('FY07 PB'!N12)</f>
        <v>0</v>
      </c>
      <c r="M11" s="46">
        <f t="shared" si="6"/>
        <v>0</v>
      </c>
      <c r="N11" s="49">
        <v>219</v>
      </c>
      <c r="P11" s="205">
        <f>SUM('FY07 PB'!B12)</f>
        <v>1900262</v>
      </c>
      <c r="Q11" s="203">
        <f t="shared" si="2"/>
        <v>0.06932428068464268</v>
      </c>
      <c r="R11" s="205">
        <f t="shared" si="7"/>
        <v>388</v>
      </c>
      <c r="S11" s="215"/>
      <c r="T11" s="206">
        <f t="shared" si="3"/>
        <v>198</v>
      </c>
      <c r="U11" s="203">
        <f t="shared" si="8"/>
        <v>0.008735936465916612</v>
      </c>
      <c r="V11" s="205">
        <f t="shared" si="9"/>
        <v>49</v>
      </c>
    </row>
    <row r="12" spans="1:22" ht="12.75">
      <c r="A12" s="4" t="s">
        <v>21</v>
      </c>
      <c r="B12" s="45">
        <f t="shared" si="4"/>
        <v>4005</v>
      </c>
      <c r="C12" s="45">
        <f>SUM(Census!H12)</f>
        <v>1353</v>
      </c>
      <c r="D12" s="46">
        <f t="shared" si="0"/>
        <v>0.05969556585043018</v>
      </c>
      <c r="E12" s="31">
        <f t="shared" si="5"/>
        <v>1542</v>
      </c>
      <c r="H12" s="49">
        <f>SUM('FY07 PB'!J13)</f>
        <v>2442</v>
      </c>
      <c r="I12" s="46">
        <f t="shared" si="1"/>
        <v>0.053479917655818845</v>
      </c>
      <c r="J12" s="31">
        <f t="shared" si="10"/>
        <v>2169</v>
      </c>
      <c r="L12" s="49">
        <f>SUM('FY07 PB'!N13)</f>
        <v>0</v>
      </c>
      <c r="M12" s="46">
        <f t="shared" si="6"/>
        <v>0</v>
      </c>
      <c r="N12" s="49">
        <v>294</v>
      </c>
      <c r="P12" s="205">
        <f>SUM('FY07 PB'!B13)</f>
        <v>1242239</v>
      </c>
      <c r="Q12" s="203">
        <f t="shared" si="2"/>
        <v>0.04531865874990387</v>
      </c>
      <c r="R12" s="205">
        <f t="shared" si="7"/>
        <v>253</v>
      </c>
      <c r="S12" s="215"/>
      <c r="T12" s="206">
        <f t="shared" si="3"/>
        <v>1353</v>
      </c>
      <c r="U12" s="203">
        <f t="shared" si="8"/>
        <v>0.05969556585043018</v>
      </c>
      <c r="V12" s="205">
        <f t="shared" si="9"/>
        <v>334</v>
      </c>
    </row>
    <row r="13" spans="1:22" ht="12.75">
      <c r="A13" s="4" t="s">
        <v>22</v>
      </c>
      <c r="B13" s="45">
        <f t="shared" si="4"/>
        <v>1923</v>
      </c>
      <c r="C13" s="45">
        <f>SUM(Census!H13)</f>
        <v>509</v>
      </c>
      <c r="D13" s="46">
        <f t="shared" si="0"/>
        <v>0.02245753364217957</v>
      </c>
      <c r="E13" s="31">
        <f t="shared" si="5"/>
        <v>580</v>
      </c>
      <c r="H13" s="49">
        <f>SUM('FY07 PB'!J14)</f>
        <v>1366</v>
      </c>
      <c r="I13" s="46">
        <f t="shared" si="1"/>
        <v>0.02991546581402479</v>
      </c>
      <c r="J13" s="31">
        <f t="shared" si="10"/>
        <v>1213</v>
      </c>
      <c r="L13" s="49">
        <f>SUM('FY07 PB'!N14)</f>
        <v>0</v>
      </c>
      <c r="M13" s="46">
        <f t="shared" si="6"/>
        <v>0</v>
      </c>
      <c r="N13" s="49">
        <v>130</v>
      </c>
      <c r="P13" s="205">
        <f>SUM('FY07 PB'!B14)</f>
        <v>653375</v>
      </c>
      <c r="Q13" s="203">
        <f t="shared" si="2"/>
        <v>0.023836056234523666</v>
      </c>
      <c r="R13" s="205">
        <f t="shared" si="7"/>
        <v>133</v>
      </c>
      <c r="S13" s="215"/>
      <c r="T13" s="206">
        <f t="shared" si="3"/>
        <v>509</v>
      </c>
      <c r="U13" s="203">
        <f t="shared" si="8"/>
        <v>0.02245753364217957</v>
      </c>
      <c r="V13" s="205">
        <f t="shared" si="9"/>
        <v>126</v>
      </c>
    </row>
    <row r="14" spans="1:22" ht="12.75">
      <c r="A14" s="4" t="s">
        <v>23</v>
      </c>
      <c r="B14" s="45">
        <f t="shared" si="4"/>
        <v>2566</v>
      </c>
      <c r="C14" s="45">
        <f>SUM(Census!H14)</f>
        <v>1450</v>
      </c>
      <c r="D14" s="46">
        <f t="shared" si="0"/>
        <v>0.06397529230090448</v>
      </c>
      <c r="E14" s="31">
        <f t="shared" si="5"/>
        <v>1652</v>
      </c>
      <c r="H14" s="49">
        <f>SUM('FY07 PB'!J15)</f>
        <v>755</v>
      </c>
      <c r="I14" s="46">
        <f t="shared" si="1"/>
        <v>0.016534536375980027</v>
      </c>
      <c r="J14" s="31">
        <f t="shared" si="10"/>
        <v>671</v>
      </c>
      <c r="L14" s="49">
        <f>SUM('FY07 PB'!N15)</f>
        <v>0</v>
      </c>
      <c r="M14" s="46">
        <f t="shared" si="6"/>
        <v>0</v>
      </c>
      <c r="N14" s="49">
        <v>243</v>
      </c>
      <c r="P14" s="205">
        <f>SUM('FY07 PB'!B15)</f>
        <v>629630</v>
      </c>
      <c r="Q14" s="203">
        <f t="shared" si="2"/>
        <v>0.02296980460982305</v>
      </c>
      <c r="R14" s="205">
        <f t="shared" si="7"/>
        <v>128</v>
      </c>
      <c r="S14" s="215"/>
      <c r="T14" s="206">
        <f t="shared" si="3"/>
        <v>1450</v>
      </c>
      <c r="U14" s="203">
        <f t="shared" si="8"/>
        <v>0.06397529230090448</v>
      </c>
      <c r="V14" s="205">
        <f t="shared" si="9"/>
        <v>358</v>
      </c>
    </row>
    <row r="15" spans="1:22" ht="12.75">
      <c r="A15" s="4" t="s">
        <v>24</v>
      </c>
      <c r="B15" s="45">
        <f t="shared" si="4"/>
        <v>3026</v>
      </c>
      <c r="C15" s="45">
        <f>SUM(Census!H15)</f>
        <v>961</v>
      </c>
      <c r="D15" s="46">
        <f t="shared" si="0"/>
        <v>0.04240017648356497</v>
      </c>
      <c r="E15" s="31">
        <f t="shared" si="5"/>
        <v>1095</v>
      </c>
      <c r="H15" s="49">
        <f>SUM('FY07 PB'!J16)</f>
        <v>1923</v>
      </c>
      <c r="I15" s="46">
        <f t="shared" si="1"/>
        <v>0.04211379265034383</v>
      </c>
      <c r="J15" s="31">
        <f t="shared" si="10"/>
        <v>1708</v>
      </c>
      <c r="L15" s="49">
        <f>SUM('FY07 PB'!N16)</f>
        <v>0</v>
      </c>
      <c r="M15" s="46">
        <f t="shared" si="6"/>
        <v>0</v>
      </c>
      <c r="N15" s="49">
        <v>223</v>
      </c>
      <c r="P15" s="205">
        <f>SUM('FY07 PB'!B16)</f>
        <v>1027276</v>
      </c>
      <c r="Q15" s="203">
        <f t="shared" si="2"/>
        <v>0.03747650048498417</v>
      </c>
      <c r="R15" s="205">
        <f t="shared" si="7"/>
        <v>209</v>
      </c>
      <c r="S15" s="215"/>
      <c r="T15" s="206">
        <f t="shared" si="3"/>
        <v>961</v>
      </c>
      <c r="U15" s="203">
        <f t="shared" si="8"/>
        <v>0.04240017648356497</v>
      </c>
      <c r="V15" s="205">
        <f t="shared" si="9"/>
        <v>237</v>
      </c>
    </row>
    <row r="16" spans="1:22" ht="12.75">
      <c r="A16" s="4" t="s">
        <v>25</v>
      </c>
      <c r="B16" s="45">
        <f t="shared" si="4"/>
        <v>1664</v>
      </c>
      <c r="C16" s="45">
        <f>SUM(Census!H16)</f>
        <v>425</v>
      </c>
      <c r="D16" s="46">
        <f t="shared" si="0"/>
        <v>0.018751378777851314</v>
      </c>
      <c r="E16" s="31">
        <f t="shared" si="5"/>
        <v>484</v>
      </c>
      <c r="H16" s="49">
        <f>SUM('FY07 PB'!J17)</f>
        <v>1212</v>
      </c>
      <c r="I16" s="46">
        <f t="shared" si="1"/>
        <v>0.02654285839428847</v>
      </c>
      <c r="J16" s="31">
        <f t="shared" si="10"/>
        <v>1076</v>
      </c>
      <c r="L16" s="49">
        <f>SUM('FY07 PB'!N17)</f>
        <v>0</v>
      </c>
      <c r="M16" s="46">
        <f t="shared" si="6"/>
        <v>0</v>
      </c>
      <c r="N16" s="49">
        <v>104</v>
      </c>
      <c r="P16" s="205">
        <f>SUM('FY07 PB'!B17)</f>
        <v>498443</v>
      </c>
      <c r="Q16" s="203">
        <f t="shared" si="2"/>
        <v>0.01818391486926295</v>
      </c>
      <c r="R16" s="205">
        <f t="shared" si="7"/>
        <v>102</v>
      </c>
      <c r="S16" s="215"/>
      <c r="T16" s="206">
        <f t="shared" si="3"/>
        <v>425</v>
      </c>
      <c r="U16" s="203">
        <f t="shared" si="8"/>
        <v>0.018751378777851314</v>
      </c>
      <c r="V16" s="205">
        <f t="shared" si="9"/>
        <v>105</v>
      </c>
    </row>
    <row r="17" spans="1:22" ht="12.75">
      <c r="A17" s="4" t="s">
        <v>26</v>
      </c>
      <c r="B17" s="45">
        <f t="shared" si="4"/>
        <v>1250</v>
      </c>
      <c r="C17" s="45">
        <f>SUM(Census!H17)</f>
        <v>282</v>
      </c>
      <c r="D17" s="46">
        <f t="shared" si="0"/>
        <v>0.01244209133024487</v>
      </c>
      <c r="E17" s="31">
        <f t="shared" si="5"/>
        <v>321</v>
      </c>
      <c r="H17" s="49">
        <f>SUM('FY07 PB'!J18)</f>
        <v>962</v>
      </c>
      <c r="I17" s="46">
        <f t="shared" si="1"/>
        <v>0.021067846349261968</v>
      </c>
      <c r="J17" s="31">
        <f t="shared" si="10"/>
        <v>854</v>
      </c>
      <c r="L17" s="49">
        <f>SUM('FY07 PB'!N18)</f>
        <v>0</v>
      </c>
      <c r="M17" s="46">
        <f t="shared" si="6"/>
        <v>0</v>
      </c>
      <c r="N17" s="49">
        <v>75</v>
      </c>
      <c r="P17" s="205">
        <f>SUM('FY07 PB'!B18)</f>
        <v>386829</v>
      </c>
      <c r="Q17" s="203">
        <f t="shared" si="2"/>
        <v>0.014112076215258548</v>
      </c>
      <c r="R17" s="205">
        <f t="shared" si="7"/>
        <v>79</v>
      </c>
      <c r="S17" s="215"/>
      <c r="T17" s="206">
        <f t="shared" si="3"/>
        <v>282</v>
      </c>
      <c r="U17" s="203">
        <f t="shared" si="8"/>
        <v>0.01244209133024487</v>
      </c>
      <c r="V17" s="205">
        <f t="shared" si="9"/>
        <v>70</v>
      </c>
    </row>
    <row r="18" spans="1:22" ht="12.75">
      <c r="A18" s="4" t="s">
        <v>27</v>
      </c>
      <c r="B18" s="45">
        <f t="shared" si="4"/>
        <v>4450</v>
      </c>
      <c r="C18" s="45">
        <f>SUM(Census!H18)</f>
        <v>1298</v>
      </c>
      <c r="D18" s="46">
        <f t="shared" si="0"/>
        <v>0.05726891683212001</v>
      </c>
      <c r="E18" s="31">
        <f t="shared" si="5"/>
        <v>1479</v>
      </c>
      <c r="H18" s="49">
        <f>SUM('FY07 PB'!J19)</f>
        <v>3006</v>
      </c>
      <c r="I18" s="46">
        <f t="shared" si="1"/>
        <v>0.06583154482939862</v>
      </c>
      <c r="J18" s="31">
        <f t="shared" si="10"/>
        <v>2670</v>
      </c>
      <c r="L18" s="49">
        <f>SUM('FY07 PB'!N19)</f>
        <v>0</v>
      </c>
      <c r="M18" s="46">
        <f t="shared" si="6"/>
        <v>0</v>
      </c>
      <c r="N18" s="49">
        <v>301</v>
      </c>
      <c r="P18" s="205">
        <f>SUM('FY07 PB'!B19)</f>
        <v>1377969</v>
      </c>
      <c r="Q18" s="203">
        <f t="shared" si="2"/>
        <v>0.05027028364022244</v>
      </c>
      <c r="R18" s="205">
        <f t="shared" si="7"/>
        <v>281</v>
      </c>
      <c r="S18" s="215"/>
      <c r="T18" s="206">
        <f t="shared" si="3"/>
        <v>1298</v>
      </c>
      <c r="U18" s="203">
        <f t="shared" si="8"/>
        <v>0.05726891683212001</v>
      </c>
      <c r="V18" s="205">
        <f t="shared" si="9"/>
        <v>320</v>
      </c>
    </row>
    <row r="19" spans="1:22" ht="12.75">
      <c r="A19" s="4" t="s">
        <v>28</v>
      </c>
      <c r="B19" s="45">
        <f t="shared" si="4"/>
        <v>2687</v>
      </c>
      <c r="C19" s="45">
        <f>SUM(Census!H19)</f>
        <v>805</v>
      </c>
      <c r="D19" s="46">
        <f t="shared" si="0"/>
        <v>0.035517317449812486</v>
      </c>
      <c r="E19" s="31">
        <f t="shared" si="5"/>
        <v>917</v>
      </c>
      <c r="H19" s="49">
        <f>SUM('FY07 PB'!J20)</f>
        <v>1768</v>
      </c>
      <c r="I19" s="46">
        <f t="shared" si="1"/>
        <v>0.0387192851824274</v>
      </c>
      <c r="J19" s="31">
        <f t="shared" si="10"/>
        <v>1570</v>
      </c>
      <c r="L19" s="49">
        <f>SUM('FY07 PB'!N20)</f>
        <v>0</v>
      </c>
      <c r="M19" s="46">
        <f t="shared" si="6"/>
        <v>0</v>
      </c>
      <c r="N19" s="49">
        <v>200</v>
      </c>
      <c r="P19" s="205">
        <f>SUM('FY07 PB'!B20)</f>
        <v>982820</v>
      </c>
      <c r="Q19" s="203">
        <f t="shared" si="2"/>
        <v>0.035854681903064164</v>
      </c>
      <c r="R19" s="205">
        <f t="shared" si="7"/>
        <v>200</v>
      </c>
      <c r="S19" s="215"/>
      <c r="T19" s="206">
        <f t="shared" si="3"/>
        <v>805</v>
      </c>
      <c r="U19" s="203">
        <f t="shared" si="8"/>
        <v>0.035517317449812486</v>
      </c>
      <c r="V19" s="205">
        <f t="shared" si="9"/>
        <v>199</v>
      </c>
    </row>
    <row r="20" spans="1:22" ht="12.75">
      <c r="A20" s="4" t="s">
        <v>29</v>
      </c>
      <c r="B20" s="45">
        <f t="shared" si="4"/>
        <v>1218</v>
      </c>
      <c r="C20" s="45">
        <f>SUM(Census!H20)</f>
        <v>331</v>
      </c>
      <c r="D20" s="46">
        <f t="shared" si="0"/>
        <v>0.014604015001103022</v>
      </c>
      <c r="E20" s="31">
        <f t="shared" si="5"/>
        <v>377</v>
      </c>
      <c r="H20" s="49">
        <f>SUM('FY07 PB'!J21)</f>
        <v>851</v>
      </c>
      <c r="I20" s="46">
        <f t="shared" si="1"/>
        <v>0.018636941001270203</v>
      </c>
      <c r="J20" s="31">
        <f t="shared" si="10"/>
        <v>756</v>
      </c>
      <c r="L20" s="49">
        <f>SUM('FY07 PB'!N21)</f>
        <v>0</v>
      </c>
      <c r="M20" s="46">
        <f t="shared" si="6"/>
        <v>0</v>
      </c>
      <c r="N20" s="49">
        <v>85</v>
      </c>
      <c r="P20" s="205">
        <f>SUM('FY07 PB'!B21)</f>
        <v>428087</v>
      </c>
      <c r="Q20" s="203">
        <f t="shared" si="2"/>
        <v>0.015617227174698345</v>
      </c>
      <c r="R20" s="205">
        <f t="shared" si="7"/>
        <v>87</v>
      </c>
      <c r="S20" s="215"/>
      <c r="T20" s="206">
        <f t="shared" si="3"/>
        <v>331</v>
      </c>
      <c r="U20" s="203">
        <f t="shared" si="8"/>
        <v>0.014604015001103022</v>
      </c>
      <c r="V20" s="205">
        <f t="shared" si="9"/>
        <v>82</v>
      </c>
    </row>
    <row r="21" spans="1:22" ht="12.75">
      <c r="A21" s="4" t="s">
        <v>30</v>
      </c>
      <c r="B21" s="45">
        <f t="shared" si="4"/>
        <v>416</v>
      </c>
      <c r="C21" s="45">
        <f>SUM(Census!H21)</f>
        <v>72</v>
      </c>
      <c r="D21" s="46">
        <f t="shared" si="0"/>
        <v>0.0031767041694242223</v>
      </c>
      <c r="E21" s="31">
        <f t="shared" si="5"/>
        <v>82</v>
      </c>
      <c r="H21" s="49">
        <f>SUM('FY07 PB'!J22)</f>
        <v>350</v>
      </c>
      <c r="I21" s="46">
        <f t="shared" si="1"/>
        <v>0.007665016863037099</v>
      </c>
      <c r="J21" s="31">
        <f t="shared" si="10"/>
        <v>311</v>
      </c>
      <c r="L21" s="49">
        <f>SUM('FY07 PB'!N22)</f>
        <v>0</v>
      </c>
      <c r="M21" s="46">
        <f t="shared" si="6"/>
        <v>0</v>
      </c>
      <c r="N21" s="49">
        <v>23</v>
      </c>
      <c r="P21" s="205">
        <f>SUM('FY07 PB'!B22)</f>
        <v>134902</v>
      </c>
      <c r="Q21" s="203">
        <f t="shared" si="2"/>
        <v>0.004921418263860281</v>
      </c>
      <c r="R21" s="205">
        <f t="shared" si="7"/>
        <v>28</v>
      </c>
      <c r="S21" s="217"/>
      <c r="T21" s="206">
        <f t="shared" si="3"/>
        <v>72</v>
      </c>
      <c r="U21" s="203">
        <f t="shared" si="8"/>
        <v>0.0031767041694242223</v>
      </c>
      <c r="V21" s="205">
        <f t="shared" si="9"/>
        <v>18</v>
      </c>
    </row>
    <row r="22" spans="1:22" ht="12.75">
      <c r="A22" s="4" t="s">
        <v>31</v>
      </c>
      <c r="B22" s="45">
        <f t="shared" si="4"/>
        <v>1066</v>
      </c>
      <c r="C22" s="45">
        <f>SUM(Census!H22)</f>
        <v>590</v>
      </c>
      <c r="D22" s="46">
        <f t="shared" si="0"/>
        <v>0.026031325832781824</v>
      </c>
      <c r="E22" s="31">
        <f t="shared" si="5"/>
        <v>672</v>
      </c>
      <c r="H22" s="49">
        <f>SUM('FY07 PB'!J23)</f>
        <v>306</v>
      </c>
      <c r="I22" s="46">
        <f t="shared" si="1"/>
        <v>0.006701414743112435</v>
      </c>
      <c r="J22" s="31">
        <f t="shared" si="10"/>
        <v>272</v>
      </c>
      <c r="L22" s="49">
        <f>SUM('FY07 PB'!N23)</f>
        <v>0</v>
      </c>
      <c r="M22" s="46">
        <f t="shared" si="6"/>
        <v>0</v>
      </c>
      <c r="N22" s="49">
        <v>122</v>
      </c>
      <c r="P22" s="205">
        <f>SUM('FY07 PB'!B23)</f>
        <v>477112</v>
      </c>
      <c r="Q22" s="203">
        <f t="shared" si="2"/>
        <v>0.01740572942363276</v>
      </c>
      <c r="R22" s="205">
        <f t="shared" si="7"/>
        <v>97</v>
      </c>
      <c r="S22" s="215"/>
      <c r="T22" s="206">
        <f t="shared" si="3"/>
        <v>590</v>
      </c>
      <c r="U22" s="203">
        <f t="shared" si="8"/>
        <v>0.026031325832781824</v>
      </c>
      <c r="V22" s="205">
        <f t="shared" si="9"/>
        <v>146</v>
      </c>
    </row>
    <row r="23" spans="1:22" ht="12.75">
      <c r="A23" s="4" t="s">
        <v>32</v>
      </c>
      <c r="B23" s="45">
        <f t="shared" si="4"/>
        <v>831</v>
      </c>
      <c r="C23" s="45">
        <f>SUM(Census!H23)</f>
        <v>91</v>
      </c>
      <c r="D23" s="46">
        <f t="shared" si="0"/>
        <v>0.004015001103022281</v>
      </c>
      <c r="E23" s="31">
        <f t="shared" si="5"/>
        <v>104</v>
      </c>
      <c r="H23" s="49">
        <f>SUM('FY07 PB'!J24)</f>
        <v>772</v>
      </c>
      <c r="I23" s="46">
        <f t="shared" si="1"/>
        <v>0.016906837195041827</v>
      </c>
      <c r="J23" s="31">
        <f t="shared" si="10"/>
        <v>686</v>
      </c>
      <c r="L23" s="49">
        <f>SUM('FY07 PB'!N24)</f>
        <v>0</v>
      </c>
      <c r="M23" s="46">
        <f t="shared" si="6"/>
        <v>0</v>
      </c>
      <c r="N23" s="49">
        <v>41</v>
      </c>
      <c r="P23" s="205">
        <f>SUM('FY07 PB'!B24)</f>
        <v>291291</v>
      </c>
      <c r="Q23" s="203">
        <f t="shared" si="2"/>
        <v>0.010626713076886372</v>
      </c>
      <c r="R23" s="205">
        <f t="shared" si="7"/>
        <v>59</v>
      </c>
      <c r="S23" s="215"/>
      <c r="T23" s="206">
        <f t="shared" si="3"/>
        <v>91</v>
      </c>
      <c r="U23" s="203">
        <f t="shared" si="8"/>
        <v>0.004015001103022281</v>
      </c>
      <c r="V23" s="205">
        <f t="shared" si="9"/>
        <v>22</v>
      </c>
    </row>
    <row r="24" spans="1:22" ht="12.75">
      <c r="A24" s="4" t="s">
        <v>33</v>
      </c>
      <c r="B24" s="45">
        <f t="shared" si="4"/>
        <v>1194</v>
      </c>
      <c r="C24" s="45">
        <f>SUM(Census!H24)</f>
        <v>124</v>
      </c>
      <c r="D24" s="46">
        <f t="shared" si="0"/>
        <v>0.005470990514008383</v>
      </c>
      <c r="E24" s="31">
        <f t="shared" si="5"/>
        <v>141</v>
      </c>
      <c r="H24" s="49">
        <f>SUM('FY07 PB'!J25)</f>
        <v>1044</v>
      </c>
      <c r="I24" s="46">
        <f t="shared" si="1"/>
        <v>0.02286365030003066</v>
      </c>
      <c r="J24" s="31">
        <f t="shared" si="10"/>
        <v>927</v>
      </c>
      <c r="L24" s="49">
        <f>SUM('FY07 PB'!N25)</f>
        <v>0</v>
      </c>
      <c r="M24" s="46">
        <f t="shared" si="6"/>
        <v>0</v>
      </c>
      <c r="N24" s="49">
        <v>126</v>
      </c>
      <c r="P24" s="205">
        <f>SUM('FY07 PB'!B25)</f>
        <v>1084985</v>
      </c>
      <c r="Q24" s="203">
        <f t="shared" si="2"/>
        <v>0.03958180749740143</v>
      </c>
      <c r="R24" s="205">
        <f t="shared" si="7"/>
        <v>221</v>
      </c>
      <c r="S24" s="215"/>
      <c r="T24" s="206">
        <f t="shared" si="3"/>
        <v>124</v>
      </c>
      <c r="U24" s="203">
        <f t="shared" si="8"/>
        <v>0.005470990514008383</v>
      </c>
      <c r="V24" s="205">
        <f t="shared" si="9"/>
        <v>31</v>
      </c>
    </row>
    <row r="25" spans="1:22" ht="12.75">
      <c r="A25" s="4" t="s">
        <v>34</v>
      </c>
      <c r="B25" s="45">
        <f t="shared" si="4"/>
        <v>427</v>
      </c>
      <c r="C25" s="45">
        <f>SUM(Census!H25)</f>
        <v>124</v>
      </c>
      <c r="D25" s="46">
        <f t="shared" si="0"/>
        <v>0.005470990514008383</v>
      </c>
      <c r="E25" s="31">
        <f t="shared" si="5"/>
        <v>141</v>
      </c>
      <c r="H25" s="49">
        <f>SUM('FY07 PB'!J26)</f>
        <v>290</v>
      </c>
      <c r="I25" s="46">
        <f t="shared" si="1"/>
        <v>0.006351013972230739</v>
      </c>
      <c r="J25" s="31">
        <f t="shared" si="10"/>
        <v>258</v>
      </c>
      <c r="L25" s="49">
        <f>SUM('FY07 PB'!N26)</f>
        <v>0</v>
      </c>
      <c r="M25" s="46">
        <f t="shared" si="6"/>
        <v>0</v>
      </c>
      <c r="N25" s="49">
        <v>28</v>
      </c>
      <c r="P25" s="205">
        <f>SUM('FY07 PB'!B26)</f>
        <v>119099</v>
      </c>
      <c r="Q25" s="203">
        <f t="shared" si="2"/>
        <v>0.004344902179415395</v>
      </c>
      <c r="R25" s="205">
        <f t="shared" si="7"/>
        <v>24</v>
      </c>
      <c r="S25" s="215"/>
      <c r="T25" s="206">
        <f t="shared" si="3"/>
        <v>124</v>
      </c>
      <c r="U25" s="203">
        <f t="shared" si="8"/>
        <v>0.005470990514008383</v>
      </c>
      <c r="V25" s="205">
        <f t="shared" si="9"/>
        <v>31</v>
      </c>
    </row>
    <row r="26" spans="1:22" ht="12.75">
      <c r="A26" s="4" t="s">
        <v>35</v>
      </c>
      <c r="B26" s="45">
        <f t="shared" si="4"/>
        <v>213</v>
      </c>
      <c r="C26" s="45">
        <f>SUM(Census!H26)</f>
        <v>39</v>
      </c>
      <c r="D26" s="46">
        <f t="shared" si="0"/>
        <v>0.0017207147584381204</v>
      </c>
      <c r="E26" s="31">
        <f t="shared" si="5"/>
        <v>44</v>
      </c>
      <c r="H26" s="49">
        <f>SUM('FY07 PB'!J27)</f>
        <v>162</v>
      </c>
      <c r="I26" s="46">
        <f t="shared" si="1"/>
        <v>0.0035478078051771715</v>
      </c>
      <c r="J26" s="31">
        <f t="shared" si="10"/>
        <v>144</v>
      </c>
      <c r="L26" s="49">
        <f>SUM('FY07 PB'!N27)</f>
        <v>0</v>
      </c>
      <c r="M26" s="46">
        <f t="shared" si="6"/>
        <v>0</v>
      </c>
      <c r="N26" s="49">
        <v>25</v>
      </c>
      <c r="P26" s="205">
        <f>SUM('FY07 PB'!B27)</f>
        <v>191954</v>
      </c>
      <c r="Q26" s="203">
        <f t="shared" si="2"/>
        <v>0.007002756974848679</v>
      </c>
      <c r="R26" s="205">
        <f t="shared" si="7"/>
        <v>39</v>
      </c>
      <c r="S26" s="215"/>
      <c r="T26" s="206">
        <f t="shared" si="3"/>
        <v>39</v>
      </c>
      <c r="U26" s="203">
        <f t="shared" si="8"/>
        <v>0.0017207147584381204</v>
      </c>
      <c r="V26" s="205">
        <f t="shared" si="9"/>
        <v>10</v>
      </c>
    </row>
    <row r="27" spans="1:22" ht="12.75">
      <c r="A27" s="4" t="s">
        <v>36</v>
      </c>
      <c r="B27" s="45">
        <f t="shared" si="4"/>
        <v>405</v>
      </c>
      <c r="C27" s="45">
        <f>SUM(Census!H27)</f>
        <v>74</v>
      </c>
      <c r="D27" s="46">
        <f t="shared" si="0"/>
        <v>0.0032649459519082285</v>
      </c>
      <c r="E27" s="31">
        <f t="shared" si="5"/>
        <v>84</v>
      </c>
      <c r="H27" s="49">
        <f>SUM('FY07 PB'!J28)</f>
        <v>343</v>
      </c>
      <c r="I27" s="46">
        <f t="shared" si="1"/>
        <v>0.007511716525776356</v>
      </c>
      <c r="J27" s="31">
        <f t="shared" si="10"/>
        <v>305</v>
      </c>
      <c r="L27" s="49">
        <f>SUM('FY07 PB'!N28)</f>
        <v>0</v>
      </c>
      <c r="M27" s="46">
        <f t="shared" si="6"/>
        <v>0</v>
      </c>
      <c r="N27" s="49">
        <v>16</v>
      </c>
      <c r="P27" s="205">
        <f>SUM('FY07 PB'!B28)</f>
        <v>65876</v>
      </c>
      <c r="Q27" s="203">
        <f t="shared" si="2"/>
        <v>0.0024032508750801316</v>
      </c>
      <c r="R27" s="205">
        <f t="shared" si="7"/>
        <v>13</v>
      </c>
      <c r="S27" s="217"/>
      <c r="T27" s="206">
        <f t="shared" si="3"/>
        <v>74</v>
      </c>
      <c r="U27" s="203">
        <f t="shared" si="8"/>
        <v>0.0032649459519082285</v>
      </c>
      <c r="V27" s="205">
        <f t="shared" si="9"/>
        <v>18</v>
      </c>
    </row>
    <row r="28" spans="1:22" ht="12.75">
      <c r="A28" s="4" t="s">
        <v>37</v>
      </c>
      <c r="B28" s="45">
        <f t="shared" si="4"/>
        <v>2014</v>
      </c>
      <c r="C28" s="45">
        <f>SUM(Census!H28)</f>
        <v>1445</v>
      </c>
      <c r="D28" s="46">
        <f t="shared" si="0"/>
        <v>0.06375468784469446</v>
      </c>
      <c r="E28" s="31">
        <f t="shared" si="5"/>
        <v>1647</v>
      </c>
      <c r="H28" s="49">
        <f>SUM('FY07 PB'!J29)</f>
        <v>177</v>
      </c>
      <c r="I28" s="46">
        <f t="shared" si="1"/>
        <v>0.0038763085278787613</v>
      </c>
      <c r="J28" s="31">
        <f t="shared" si="10"/>
        <v>157</v>
      </c>
      <c r="L28" s="49">
        <f>SUM('FY07 PB'!N29)</f>
        <v>0</v>
      </c>
      <c r="M28" s="46">
        <f t="shared" si="6"/>
        <v>0</v>
      </c>
      <c r="N28" s="49">
        <v>210</v>
      </c>
      <c r="P28" s="205">
        <f>SUM('FY07 PB'!B29)</f>
        <v>309487</v>
      </c>
      <c r="Q28" s="203">
        <f t="shared" si="2"/>
        <v>0.011290529230310351</v>
      </c>
      <c r="R28" s="205">
        <f t="shared" si="7"/>
        <v>63</v>
      </c>
      <c r="S28" s="218"/>
      <c r="T28" s="206">
        <f t="shared" si="3"/>
        <v>1445</v>
      </c>
      <c r="U28" s="203">
        <f t="shared" si="8"/>
        <v>0.06375468784469446</v>
      </c>
      <c r="V28" s="205">
        <f t="shared" si="9"/>
        <v>356</v>
      </c>
    </row>
    <row r="29" spans="1:22" ht="12.75">
      <c r="A29" s="4" t="s">
        <v>38</v>
      </c>
      <c r="B29" s="31"/>
      <c r="C29" s="45">
        <v>0</v>
      </c>
      <c r="D29" s="45"/>
      <c r="E29" s="31">
        <v>0</v>
      </c>
      <c r="H29" s="49">
        <f>SUM('FY07 PB'!J30)</f>
        <v>0</v>
      </c>
      <c r="I29" s="46"/>
      <c r="J29" s="31">
        <f>SUM('FY07 PB'!L30)</f>
        <v>0</v>
      </c>
      <c r="L29" s="49">
        <f>SUM('FY07 PB'!N30)</f>
        <v>0</v>
      </c>
      <c r="M29" s="46"/>
      <c r="N29" s="221"/>
      <c r="P29" s="205"/>
      <c r="Q29" s="203"/>
      <c r="R29" s="205"/>
      <c r="S29" s="215"/>
      <c r="T29" s="206"/>
      <c r="U29" s="203"/>
      <c r="V29" s="205"/>
    </row>
    <row r="30" spans="1:22" ht="12.75">
      <c r="A30" s="4" t="s">
        <v>8</v>
      </c>
      <c r="B30" s="31"/>
      <c r="C30" s="45">
        <v>0</v>
      </c>
      <c r="D30" s="45"/>
      <c r="E30" s="31">
        <v>0</v>
      </c>
      <c r="H30" s="49">
        <f>SUM('FY07 PB'!J31)</f>
        <v>0</v>
      </c>
      <c r="I30" s="46"/>
      <c r="J30" s="31">
        <f>SUM('FY07 PB'!L31)</f>
        <v>0</v>
      </c>
      <c r="L30" s="49">
        <f>SUM('FY07 PB'!N31)</f>
        <v>0</v>
      </c>
      <c r="M30" s="46"/>
      <c r="N30" s="49"/>
      <c r="P30" s="205"/>
      <c r="Q30" s="203"/>
      <c r="R30" s="205"/>
      <c r="S30" s="219"/>
      <c r="T30" s="206"/>
      <c r="U30" s="203"/>
      <c r="V30" s="205"/>
    </row>
    <row r="31" spans="1:22" ht="12.75">
      <c r="A31" s="4" t="s">
        <v>51</v>
      </c>
      <c r="B31" s="163"/>
      <c r="C31" s="45">
        <v>0</v>
      </c>
      <c r="D31" s="45"/>
      <c r="E31" s="31">
        <v>0</v>
      </c>
      <c r="H31" s="49">
        <f>SUM('FY07 PB'!K32)</f>
        <v>0</v>
      </c>
      <c r="I31" s="46"/>
      <c r="J31" s="31">
        <f>SUM('FY07 PB'!M32)</f>
        <v>0</v>
      </c>
      <c r="L31" s="49">
        <f>SUM('FY07 PB'!O32)</f>
        <v>0</v>
      </c>
      <c r="M31" s="46"/>
      <c r="N31" s="49"/>
      <c r="P31" s="205"/>
      <c r="Q31" s="203"/>
      <c r="R31" s="205"/>
      <c r="S31" s="215"/>
      <c r="T31" s="206"/>
      <c r="U31" s="203"/>
      <c r="V31" s="205"/>
    </row>
    <row r="32" spans="1:22" ht="12.75">
      <c r="A32" s="4" t="s">
        <v>39</v>
      </c>
      <c r="B32" s="163"/>
      <c r="C32" s="45">
        <v>0</v>
      </c>
      <c r="D32" s="45"/>
      <c r="E32" s="49">
        <v>0</v>
      </c>
      <c r="H32" s="49">
        <f>SUM('FY07 PB'!K33)</f>
        <v>0</v>
      </c>
      <c r="I32" s="45"/>
      <c r="J32" s="31">
        <f>SUM('FY07 PB'!M33)</f>
        <v>0</v>
      </c>
      <c r="L32" s="49">
        <f>SUM('FY07 PB'!O33)</f>
        <v>0</v>
      </c>
      <c r="M32" s="45"/>
      <c r="N32" s="49"/>
      <c r="P32" s="205"/>
      <c r="Q32" s="203"/>
      <c r="R32" s="205"/>
      <c r="S32" s="215"/>
      <c r="T32" s="206"/>
      <c r="U32" s="203"/>
      <c r="V32" s="205"/>
    </row>
    <row r="33" spans="1:22" ht="12.75">
      <c r="A33" s="4" t="s">
        <v>5</v>
      </c>
      <c r="B33" s="163"/>
      <c r="C33" s="45">
        <v>0</v>
      </c>
      <c r="D33" s="45"/>
      <c r="E33" s="49">
        <v>0</v>
      </c>
      <c r="H33" s="49">
        <f>SUM('FY07 PB'!K34)</f>
        <v>0</v>
      </c>
      <c r="I33" s="45"/>
      <c r="J33" s="31">
        <f>SUM('FY07 PB'!M34)</f>
        <v>0</v>
      </c>
      <c r="L33" s="49">
        <f>SUM('FY07 PB'!O34)</f>
        <v>0</v>
      </c>
      <c r="M33" s="45"/>
      <c r="N33" s="49"/>
      <c r="P33" s="205"/>
      <c r="Q33" s="203"/>
      <c r="R33" s="205"/>
      <c r="S33" s="215"/>
      <c r="T33" s="206"/>
      <c r="U33" s="203"/>
      <c r="V33" s="205"/>
    </row>
    <row r="34" spans="1:22" ht="12.75">
      <c r="A34" s="4" t="s">
        <v>6</v>
      </c>
      <c r="B34" s="163"/>
      <c r="C34" s="45">
        <v>0</v>
      </c>
      <c r="D34" s="45"/>
      <c r="E34" s="49">
        <v>0</v>
      </c>
      <c r="H34" s="49">
        <f>SUM('FY07 PB'!K35)</f>
        <v>0</v>
      </c>
      <c r="I34" s="45"/>
      <c r="J34" s="31">
        <f>SUM('FY07 PB'!M35)</f>
        <v>0</v>
      </c>
      <c r="L34" s="49">
        <f>SUM('FY07 PB'!O35)</f>
        <v>0</v>
      </c>
      <c r="M34" s="45"/>
      <c r="N34" s="49"/>
      <c r="P34" s="205"/>
      <c r="Q34" s="203"/>
      <c r="R34" s="205"/>
      <c r="S34" s="215"/>
      <c r="T34" s="206"/>
      <c r="U34" s="203"/>
      <c r="V34" s="205"/>
    </row>
    <row r="35" spans="1:22" ht="12.75">
      <c r="A35" s="4" t="s">
        <v>9</v>
      </c>
      <c r="B35" s="163"/>
      <c r="C35" s="32">
        <v>0</v>
      </c>
      <c r="D35" s="32"/>
      <c r="E35" s="49">
        <v>0</v>
      </c>
      <c r="H35" s="49">
        <f>SUM('FY07 PB'!K36)</f>
        <v>0</v>
      </c>
      <c r="I35" s="32"/>
      <c r="J35" s="31">
        <f>SUM('FY07 PB'!M36)</f>
        <v>0</v>
      </c>
      <c r="L35" s="49">
        <f>SUM('FY07 PB'!O36)</f>
        <v>0</v>
      </c>
      <c r="M35" s="32"/>
      <c r="N35" s="49"/>
      <c r="P35" s="206"/>
      <c r="Q35" s="207"/>
      <c r="R35" s="206"/>
      <c r="S35" s="215"/>
      <c r="T35" s="206"/>
      <c r="U35" s="207"/>
      <c r="V35" s="206"/>
    </row>
    <row r="36" spans="1:22" ht="12.75">
      <c r="A36" s="4" t="s">
        <v>145</v>
      </c>
      <c r="B36" s="4"/>
      <c r="C36" s="31">
        <v>0</v>
      </c>
      <c r="D36" s="32"/>
      <c r="E36" s="49">
        <v>0</v>
      </c>
      <c r="H36" s="31">
        <v>0</v>
      </c>
      <c r="I36" s="32"/>
      <c r="J36" s="31">
        <v>0</v>
      </c>
      <c r="L36" s="31">
        <v>0</v>
      </c>
      <c r="M36" s="32"/>
      <c r="N36" s="49"/>
      <c r="P36" s="205"/>
      <c r="Q36" s="207"/>
      <c r="R36" s="206"/>
      <c r="S36" s="215"/>
      <c r="T36" s="206"/>
      <c r="U36" s="207"/>
      <c r="V36" s="206"/>
    </row>
    <row r="37" spans="1:22" ht="12.75">
      <c r="A37" s="11" t="s">
        <v>128</v>
      </c>
      <c r="B37" s="11"/>
      <c r="C37" s="126">
        <v>0</v>
      </c>
      <c r="D37" s="127"/>
      <c r="E37" s="126">
        <v>0</v>
      </c>
      <c r="H37" s="126">
        <v>0</v>
      </c>
      <c r="I37" s="127"/>
      <c r="J37" s="36">
        <v>0</v>
      </c>
      <c r="L37" s="126">
        <v>0</v>
      </c>
      <c r="M37" s="127"/>
      <c r="N37" s="43"/>
      <c r="P37" s="208"/>
      <c r="Q37" s="209"/>
      <c r="R37" s="210"/>
      <c r="S37" s="215"/>
      <c r="T37" s="211"/>
      <c r="U37" s="209"/>
      <c r="V37" s="210"/>
    </row>
    <row r="38" spans="1:22" ht="12.75">
      <c r="A38" s="134" t="s">
        <v>40</v>
      </c>
      <c r="B38" s="43">
        <f>SUM(B5:B28)</f>
        <v>71974</v>
      </c>
      <c r="C38" s="43">
        <f>SUM(C5:C37)</f>
        <v>22665</v>
      </c>
      <c r="D38" s="47">
        <f>SUM(D5:D37)</f>
        <v>0.9999999999999998</v>
      </c>
      <c r="E38" s="48">
        <f>SUM(E5:E37)</f>
        <v>25828</v>
      </c>
      <c r="H38" s="36">
        <f>SUM(H5:H37)</f>
        <v>45662</v>
      </c>
      <c r="I38" s="47">
        <f>SUM(I5:I37)</f>
        <v>1</v>
      </c>
      <c r="J38" s="36">
        <f>SUM(J5:J37)</f>
        <v>40556</v>
      </c>
      <c r="L38" s="36">
        <f>SUM(L5:L37)</f>
        <v>0</v>
      </c>
      <c r="M38" s="47">
        <f>SUM(M5:M37)</f>
        <v>0</v>
      </c>
      <c r="N38" s="48">
        <v>5590</v>
      </c>
      <c r="P38" s="211">
        <f>SUM(P5:P37)</f>
        <v>27411204</v>
      </c>
      <c r="Q38" s="212">
        <f>SUM(Q5:Q37)</f>
        <v>1</v>
      </c>
      <c r="R38" s="213">
        <f>SUM(R5:R37)</f>
        <v>5590</v>
      </c>
      <c r="S38" s="215"/>
      <c r="T38" s="211">
        <f>SUM(T5:T37)</f>
        <v>22665</v>
      </c>
      <c r="U38" s="212">
        <f>SUM(U5:U37)</f>
        <v>0.9999999999999998</v>
      </c>
      <c r="V38" s="213">
        <f>SUM(V5:V37)</f>
        <v>5590</v>
      </c>
    </row>
    <row r="39" spans="3:22" ht="12.75">
      <c r="C39" s="23" t="s">
        <v>199</v>
      </c>
      <c r="E39" s="109"/>
      <c r="H39" s="112" t="s">
        <v>204</v>
      </c>
      <c r="L39" s="112" t="s">
        <v>253</v>
      </c>
      <c r="P39" s="215" t="s">
        <v>211</v>
      </c>
      <c r="Q39" s="215"/>
      <c r="R39" s="215"/>
      <c r="S39" s="215"/>
      <c r="T39" s="215" t="s">
        <v>212</v>
      </c>
      <c r="U39" s="215"/>
      <c r="V39" s="215"/>
    </row>
    <row r="40" spans="1:22" ht="12.75">
      <c r="A40" s="130" t="s">
        <v>215</v>
      </c>
      <c r="L40" s="112" t="s">
        <v>254</v>
      </c>
      <c r="P40" s="215"/>
      <c r="Q40" s="215"/>
      <c r="R40" s="215"/>
      <c r="S40" s="215"/>
      <c r="T40" s="215"/>
      <c r="U40" s="215"/>
      <c r="V40" s="215"/>
    </row>
    <row r="41" spans="2:22" ht="12" customHeight="1" hidden="1">
      <c r="B41" s="70">
        <f>SUM(B5:B28)</f>
        <v>71974</v>
      </c>
      <c r="E41" s="70">
        <f>SUM(E5:E29)</f>
        <v>25828</v>
      </c>
      <c r="J41" s="33">
        <f>SUM(J5:J28)</f>
        <v>40556</v>
      </c>
      <c r="P41" s="215"/>
      <c r="Q41" s="215"/>
      <c r="R41" s="215"/>
      <c r="S41" s="215"/>
      <c r="T41" s="215"/>
      <c r="U41" s="215"/>
      <c r="V41" s="215"/>
    </row>
    <row r="42" spans="1:22" ht="12.75">
      <c r="A42" s="130" t="s">
        <v>218</v>
      </c>
      <c r="P42" s="215"/>
      <c r="Q42" s="215"/>
      <c r="R42" s="215"/>
      <c r="S42" s="215"/>
      <c r="T42" s="215"/>
      <c r="U42" s="215"/>
      <c r="V42" s="215"/>
    </row>
    <row r="43" spans="1:22" ht="12.75">
      <c r="A43" s="130"/>
      <c r="B43" s="130"/>
      <c r="C43" s="130"/>
      <c r="D43" s="130"/>
      <c r="E43" s="92">
        <v>25828</v>
      </c>
      <c r="J43" s="171">
        <v>40556</v>
      </c>
      <c r="N43" s="183"/>
      <c r="P43" s="215"/>
      <c r="Q43" s="215"/>
      <c r="R43" s="214">
        <v>5590</v>
      </c>
      <c r="S43" s="215"/>
      <c r="T43" s="215"/>
      <c r="U43" s="215"/>
      <c r="V43" s="214">
        <v>5590</v>
      </c>
    </row>
    <row r="44" spans="16:22" ht="12.75">
      <c r="P44" s="220"/>
      <c r="Q44" s="220"/>
      <c r="R44" s="220"/>
      <c r="S44" s="220"/>
      <c r="T44" s="220"/>
      <c r="U44" s="220"/>
      <c r="V44" s="220"/>
    </row>
  </sheetData>
  <mergeCells count="5">
    <mergeCell ref="T3:V3"/>
    <mergeCell ref="C3:E3"/>
    <mergeCell ref="H3:J3"/>
    <mergeCell ref="L3:N3"/>
    <mergeCell ref="P3:R3"/>
  </mergeCells>
  <printOptions/>
  <pageMargins left="0.75" right="0.75" top="0.58" bottom="0.56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2:D43"/>
  <sheetViews>
    <sheetView workbookViewId="0" topLeftCell="A13">
      <selection activeCell="O9" sqref="O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00390625" style="0" customWidth="1"/>
  </cols>
  <sheetData>
    <row r="2" ht="18">
      <c r="A2" s="25" t="s">
        <v>126</v>
      </c>
    </row>
    <row r="3" spans="1:4" ht="12.75">
      <c r="A3" s="13"/>
      <c r="B3" s="273" t="s">
        <v>40</v>
      </c>
      <c r="C3" s="274"/>
      <c r="D3" s="275"/>
    </row>
    <row r="4" spans="1:4" ht="12.75">
      <c r="A4" s="14"/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15"/>
      <c r="C5" s="17"/>
      <c r="D5" s="34">
        <v>14180</v>
      </c>
    </row>
    <row r="6" spans="1:4" ht="12.75">
      <c r="A6" s="4" t="s">
        <v>15</v>
      </c>
      <c r="B6" s="15"/>
      <c r="C6" s="17"/>
      <c r="D6" s="31">
        <v>4072</v>
      </c>
    </row>
    <row r="7" spans="1:4" ht="12.75">
      <c r="A7" s="4" t="s">
        <v>16</v>
      </c>
      <c r="B7" s="15"/>
      <c r="C7" s="17"/>
      <c r="D7" s="31">
        <v>1874</v>
      </c>
    </row>
    <row r="8" spans="1:4" ht="12.75">
      <c r="A8" s="4" t="s">
        <v>17</v>
      </c>
      <c r="B8" s="15"/>
      <c r="C8" s="17"/>
      <c r="D8" s="31">
        <v>3765</v>
      </c>
    </row>
    <row r="9" spans="1:4" ht="12.75">
      <c r="A9" s="4" t="s">
        <v>18</v>
      </c>
      <c r="B9" s="15"/>
      <c r="C9" s="17"/>
      <c r="D9" s="31">
        <v>3676</v>
      </c>
    </row>
    <row r="10" spans="1:4" ht="12.75">
      <c r="A10" s="4" t="s">
        <v>19</v>
      </c>
      <c r="B10" s="15"/>
      <c r="C10" s="17"/>
      <c r="D10" s="31">
        <v>8489</v>
      </c>
    </row>
    <row r="11" spans="1:4" ht="12.75">
      <c r="A11" s="4" t="s">
        <v>20</v>
      </c>
      <c r="B11" s="15"/>
      <c r="C11" s="17"/>
      <c r="D11" s="31">
        <v>826</v>
      </c>
    </row>
    <row r="12" spans="1:4" ht="12.75">
      <c r="A12" s="4" t="s">
        <v>21</v>
      </c>
      <c r="B12" s="15"/>
      <c r="C12" s="17"/>
      <c r="D12" s="31">
        <v>4351</v>
      </c>
    </row>
    <row r="13" spans="1:4" ht="12.75">
      <c r="A13" s="4" t="s">
        <v>22</v>
      </c>
      <c r="B13" s="15"/>
      <c r="C13" s="17"/>
      <c r="D13" s="31">
        <v>1786</v>
      </c>
    </row>
    <row r="14" spans="1:4" ht="12.75">
      <c r="A14" s="4" t="s">
        <v>23</v>
      </c>
      <c r="B14" s="15"/>
      <c r="C14" s="17"/>
      <c r="D14" s="31">
        <v>1908</v>
      </c>
    </row>
    <row r="15" spans="1:4" ht="12.75">
      <c r="A15" s="4" t="s">
        <v>24</v>
      </c>
      <c r="B15" s="15"/>
      <c r="C15" s="17"/>
      <c r="D15" s="31">
        <v>1675</v>
      </c>
    </row>
    <row r="16" spans="1:4" ht="12.75">
      <c r="A16" s="4" t="s">
        <v>25</v>
      </c>
      <c r="B16" s="15"/>
      <c r="C16" s="17"/>
      <c r="D16" s="31">
        <v>1448</v>
      </c>
    </row>
    <row r="17" spans="1:4" ht="12.75">
      <c r="A17" s="4" t="s">
        <v>26</v>
      </c>
      <c r="B17" s="15"/>
      <c r="C17" s="17"/>
      <c r="D17" s="31">
        <v>803</v>
      </c>
    </row>
    <row r="18" spans="1:4" ht="12.75">
      <c r="A18" s="4" t="s">
        <v>27</v>
      </c>
      <c r="B18" s="15"/>
      <c r="C18" s="17"/>
      <c r="D18" s="31">
        <v>4172</v>
      </c>
    </row>
    <row r="19" spans="1:4" ht="12.75">
      <c r="A19" s="4" t="s">
        <v>28</v>
      </c>
      <c r="B19" s="15"/>
      <c r="C19" s="17"/>
      <c r="D19" s="31">
        <v>1395</v>
      </c>
    </row>
    <row r="20" spans="1:4" ht="12.75">
      <c r="A20" s="4" t="s">
        <v>29</v>
      </c>
      <c r="B20" s="15"/>
      <c r="C20" s="17"/>
      <c r="D20" s="31">
        <v>802</v>
      </c>
    </row>
    <row r="21" spans="1:4" ht="12.75">
      <c r="A21" s="4" t="s">
        <v>30</v>
      </c>
      <c r="B21" s="15"/>
      <c r="C21" s="17"/>
      <c r="D21" s="31">
        <v>241</v>
      </c>
    </row>
    <row r="22" spans="1:4" ht="12.75">
      <c r="A22" s="4" t="s">
        <v>31</v>
      </c>
      <c r="B22" s="15"/>
      <c r="C22" s="17"/>
      <c r="D22" s="31">
        <v>1881</v>
      </c>
    </row>
    <row r="23" spans="1:4" ht="12.75">
      <c r="A23" s="4" t="s">
        <v>32</v>
      </c>
      <c r="B23" s="15"/>
      <c r="C23" s="17"/>
      <c r="D23" s="31">
        <v>256</v>
      </c>
    </row>
    <row r="24" spans="1:4" ht="12.75">
      <c r="A24" s="4" t="s">
        <v>33</v>
      </c>
      <c r="B24" s="15"/>
      <c r="C24" s="17"/>
      <c r="D24" s="31">
        <v>316</v>
      </c>
    </row>
    <row r="25" spans="1:4" ht="12.75">
      <c r="A25" s="4" t="s">
        <v>34</v>
      </c>
      <c r="B25" s="15"/>
      <c r="C25" s="17"/>
      <c r="D25" s="31">
        <v>389</v>
      </c>
    </row>
    <row r="26" spans="1:4" ht="12.75">
      <c r="A26" s="4" t="s">
        <v>35</v>
      </c>
      <c r="B26" s="15"/>
      <c r="C26" s="17"/>
      <c r="D26" s="31">
        <v>95</v>
      </c>
    </row>
    <row r="27" spans="1:4" ht="12.75">
      <c r="A27" s="4" t="s">
        <v>36</v>
      </c>
      <c r="B27" s="15"/>
      <c r="C27" s="17"/>
      <c r="D27" s="31">
        <v>284</v>
      </c>
    </row>
    <row r="28" spans="1:4" ht="12.75">
      <c r="A28" s="4" t="s">
        <v>37</v>
      </c>
      <c r="B28" s="15"/>
      <c r="C28" s="17"/>
      <c r="D28" s="31">
        <v>4274</v>
      </c>
    </row>
    <row r="29" spans="1:4" ht="12.75">
      <c r="A29" s="4" t="s">
        <v>38</v>
      </c>
      <c r="B29" s="15"/>
      <c r="C29" s="17"/>
      <c r="D29" s="31">
        <v>1532</v>
      </c>
    </row>
    <row r="30" spans="1:4" ht="12.75">
      <c r="A30" s="4" t="s">
        <v>8</v>
      </c>
      <c r="B30" s="15"/>
      <c r="C30" s="17"/>
      <c r="D30" s="31">
        <v>2447</v>
      </c>
    </row>
    <row r="31" spans="1:4" ht="12.75">
      <c r="A31" s="4" t="s">
        <v>51</v>
      </c>
      <c r="B31" s="15"/>
      <c r="C31" s="17"/>
      <c r="D31" s="31">
        <v>0</v>
      </c>
    </row>
    <row r="32" spans="1:4" ht="12.75">
      <c r="A32" s="4" t="s">
        <v>39</v>
      </c>
      <c r="B32" s="15"/>
      <c r="C32" s="17"/>
      <c r="D32" s="31">
        <v>8323</v>
      </c>
    </row>
    <row r="33" spans="1:4" ht="12.75">
      <c r="A33" s="4" t="s">
        <v>5</v>
      </c>
      <c r="B33" s="15"/>
      <c r="C33" s="17"/>
      <c r="D33" s="86">
        <v>961</v>
      </c>
    </row>
    <row r="34" spans="1:4" ht="12.75">
      <c r="A34" s="4" t="s">
        <v>6</v>
      </c>
      <c r="B34" s="15"/>
      <c r="C34" s="17"/>
      <c r="D34" s="31">
        <v>2421</v>
      </c>
    </row>
    <row r="35" spans="1:4" ht="12.75">
      <c r="A35" s="4" t="s">
        <v>9</v>
      </c>
      <c r="B35" s="32">
        <v>0</v>
      </c>
      <c r="C35" s="32">
        <v>0</v>
      </c>
      <c r="D35" s="49">
        <v>0</v>
      </c>
    </row>
    <row r="36" spans="1:4" ht="12.75">
      <c r="A36" s="4" t="s">
        <v>145</v>
      </c>
      <c r="B36" s="31"/>
      <c r="C36" s="32"/>
      <c r="D36" s="49">
        <v>0</v>
      </c>
    </row>
    <row r="37" spans="1:4" ht="12.75">
      <c r="A37" s="4" t="s">
        <v>128</v>
      </c>
      <c r="B37" s="18"/>
      <c r="C37" s="17"/>
      <c r="D37" s="36">
        <v>986</v>
      </c>
    </row>
    <row r="38" spans="1:4" ht="12.75">
      <c r="A38" s="20" t="s">
        <v>40</v>
      </c>
      <c r="B38" s="18"/>
      <c r="C38" s="18"/>
      <c r="D38" s="53">
        <f>SUM(D5:D37)</f>
        <v>79628</v>
      </c>
    </row>
    <row r="39" ht="12.75">
      <c r="A39" s="23" t="s">
        <v>203</v>
      </c>
    </row>
    <row r="41" ht="12.75">
      <c r="A41" s="130" t="s">
        <v>321</v>
      </c>
    </row>
    <row r="42" ht="12.75">
      <c r="A42" s="130" t="s">
        <v>322</v>
      </c>
    </row>
    <row r="43" ht="12.75">
      <c r="A43" s="130" t="s">
        <v>323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H39"/>
  <sheetViews>
    <sheetView workbookViewId="0" topLeftCell="A10">
      <selection activeCell="O9" sqref="O9"/>
    </sheetView>
  </sheetViews>
  <sheetFormatPr defaultColWidth="9.140625" defaultRowHeight="12.75"/>
  <cols>
    <col min="2" max="2" width="11.7109375" style="0" customWidth="1"/>
    <col min="3" max="3" width="12.8515625" style="0" customWidth="1"/>
    <col min="4" max="4" width="13.8515625" style="0" customWidth="1"/>
  </cols>
  <sheetData>
    <row r="1" spans="1:5" ht="18">
      <c r="A1" s="279" t="s">
        <v>150</v>
      </c>
      <c r="B1" s="279"/>
      <c r="C1" s="279"/>
      <c r="D1" s="279"/>
      <c r="E1" t="s">
        <v>193</v>
      </c>
    </row>
    <row r="2" spans="1:4" ht="18">
      <c r="A2" s="280" t="s">
        <v>151</v>
      </c>
      <c r="B2" s="280"/>
      <c r="C2" s="280"/>
      <c r="D2" s="280"/>
    </row>
    <row r="3" spans="1:4" ht="13.5" customHeight="1">
      <c r="A3" s="13"/>
      <c r="B3" s="273" t="s">
        <v>40</v>
      </c>
      <c r="C3" s="274"/>
      <c r="D3" s="275"/>
    </row>
    <row r="4" spans="1:4" ht="13.5" customHeight="1">
      <c r="A4" s="14"/>
      <c r="B4" s="21" t="s">
        <v>41</v>
      </c>
      <c r="C4" s="21" t="s">
        <v>42</v>
      </c>
      <c r="D4" s="22" t="s">
        <v>43</v>
      </c>
    </row>
    <row r="5" spans="1:4" ht="13.5" customHeight="1">
      <c r="A5" s="4" t="s">
        <v>0</v>
      </c>
      <c r="B5" s="15"/>
      <c r="C5" s="17"/>
      <c r="D5" s="34">
        <v>2028</v>
      </c>
    </row>
    <row r="6" spans="1:4" ht="12.75">
      <c r="A6" s="4" t="s">
        <v>15</v>
      </c>
      <c r="B6" s="15"/>
      <c r="C6" s="17"/>
      <c r="D6" s="31">
        <v>521</v>
      </c>
    </row>
    <row r="7" spans="1:4" ht="12.75">
      <c r="A7" s="4" t="s">
        <v>16</v>
      </c>
      <c r="B7" s="15"/>
      <c r="C7" s="17"/>
      <c r="D7" s="31">
        <v>208</v>
      </c>
    </row>
    <row r="8" spans="1:4" ht="12.75">
      <c r="A8" s="4" t="s">
        <v>17</v>
      </c>
      <c r="B8" s="15"/>
      <c r="C8" s="17"/>
      <c r="D8" s="31">
        <v>467</v>
      </c>
    </row>
    <row r="9" spans="1:4" ht="12.75">
      <c r="A9" s="4" t="s">
        <v>18</v>
      </c>
      <c r="B9" s="15"/>
      <c r="C9" s="17"/>
      <c r="D9" s="31">
        <v>446</v>
      </c>
    </row>
    <row r="10" spans="1:4" ht="12.75">
      <c r="A10" s="4" t="s">
        <v>19</v>
      </c>
      <c r="B10" s="15"/>
      <c r="C10" s="17"/>
      <c r="D10" s="31">
        <v>1272</v>
      </c>
    </row>
    <row r="11" spans="1:4" ht="12.75">
      <c r="A11" s="4" t="s">
        <v>20</v>
      </c>
      <c r="B11" s="15"/>
      <c r="C11" s="17"/>
      <c r="D11" s="31">
        <v>91</v>
      </c>
    </row>
    <row r="12" spans="1:4" ht="12.75">
      <c r="A12" s="4" t="s">
        <v>21</v>
      </c>
      <c r="B12" s="15"/>
      <c r="C12" s="17"/>
      <c r="D12" s="31">
        <v>547</v>
      </c>
    </row>
    <row r="13" spans="1:4" ht="12.75">
      <c r="A13" s="4" t="s">
        <v>22</v>
      </c>
      <c r="B13" s="15"/>
      <c r="C13" s="17"/>
      <c r="D13" s="31">
        <v>205</v>
      </c>
    </row>
    <row r="14" spans="1:4" ht="12.75">
      <c r="A14" s="4" t="s">
        <v>23</v>
      </c>
      <c r="B14" s="15"/>
      <c r="C14" s="17"/>
      <c r="D14" s="31">
        <v>434</v>
      </c>
    </row>
    <row r="15" spans="1:4" ht="12.75">
      <c r="A15" s="4" t="s">
        <v>24</v>
      </c>
      <c r="B15" s="15"/>
      <c r="C15" s="17"/>
      <c r="D15" s="31">
        <v>320</v>
      </c>
    </row>
    <row r="16" spans="1:4" ht="12.75">
      <c r="A16" s="4" t="s">
        <v>25</v>
      </c>
      <c r="B16" s="15"/>
      <c r="C16" s="17"/>
      <c r="D16" s="31">
        <v>175</v>
      </c>
    </row>
    <row r="17" spans="1:4" ht="12.75">
      <c r="A17" s="4" t="s">
        <v>26</v>
      </c>
      <c r="B17" s="15"/>
      <c r="C17" s="17"/>
      <c r="D17" s="31">
        <v>115</v>
      </c>
    </row>
    <row r="18" spans="1:4" ht="12.75">
      <c r="A18" s="4" t="s">
        <v>27</v>
      </c>
      <c r="B18" s="15"/>
      <c r="C18" s="17"/>
      <c r="D18" s="31">
        <v>526</v>
      </c>
    </row>
    <row r="19" spans="1:4" ht="12.75">
      <c r="A19" s="4" t="s">
        <v>28</v>
      </c>
      <c r="B19" s="15"/>
      <c r="C19" s="17"/>
      <c r="D19" s="31">
        <v>283</v>
      </c>
    </row>
    <row r="20" spans="1:4" ht="12.75">
      <c r="A20" s="4" t="s">
        <v>29</v>
      </c>
      <c r="B20" s="15"/>
      <c r="C20" s="17"/>
      <c r="D20" s="31">
        <v>135</v>
      </c>
    </row>
    <row r="21" spans="1:4" ht="12.75">
      <c r="A21" s="4" t="s">
        <v>30</v>
      </c>
      <c r="B21" s="15"/>
      <c r="C21" s="17"/>
      <c r="D21" s="31">
        <v>31</v>
      </c>
    </row>
    <row r="22" spans="1:4" ht="12.75">
      <c r="A22" s="4" t="s">
        <v>31</v>
      </c>
      <c r="B22" s="15"/>
      <c r="C22" s="17"/>
      <c r="D22" s="31">
        <v>236</v>
      </c>
    </row>
    <row r="23" spans="1:4" ht="12.75">
      <c r="A23" s="4" t="s">
        <v>32</v>
      </c>
      <c r="B23" s="15"/>
      <c r="C23" s="17"/>
      <c r="D23" s="31">
        <v>40</v>
      </c>
    </row>
    <row r="24" spans="1:4" ht="12.75">
      <c r="A24" s="4" t="s">
        <v>33</v>
      </c>
      <c r="B24" s="15"/>
      <c r="C24" s="17"/>
      <c r="D24" s="31">
        <v>55</v>
      </c>
    </row>
    <row r="25" spans="1:4" ht="12.75">
      <c r="A25" s="4" t="s">
        <v>34</v>
      </c>
      <c r="B25" s="15"/>
      <c r="C25" s="17"/>
      <c r="D25" s="31">
        <v>53</v>
      </c>
    </row>
    <row r="26" spans="1:4" ht="12.75">
      <c r="A26" s="4" t="s">
        <v>35</v>
      </c>
      <c r="B26" s="15"/>
      <c r="C26" s="17"/>
      <c r="D26" s="31">
        <v>17</v>
      </c>
    </row>
    <row r="27" spans="1:4" ht="12.75">
      <c r="A27" s="4" t="s">
        <v>36</v>
      </c>
      <c r="B27" s="15"/>
      <c r="C27" s="17"/>
      <c r="D27" s="31">
        <v>31</v>
      </c>
    </row>
    <row r="28" spans="1:4" ht="12.75">
      <c r="A28" s="4" t="s">
        <v>37</v>
      </c>
      <c r="B28" s="15"/>
      <c r="C28" s="17"/>
      <c r="D28" s="31">
        <v>560</v>
      </c>
    </row>
    <row r="29" spans="1:4" ht="12.75">
      <c r="A29" s="4" t="s">
        <v>38</v>
      </c>
      <c r="B29" s="15"/>
      <c r="C29" s="17"/>
      <c r="D29" s="31">
        <v>170</v>
      </c>
    </row>
    <row r="30" spans="1:4" ht="12.75">
      <c r="A30" s="4" t="s">
        <v>8</v>
      </c>
      <c r="B30" s="15"/>
      <c r="C30" s="17"/>
      <c r="D30" s="31">
        <v>426</v>
      </c>
    </row>
    <row r="31" spans="1:4" ht="12.75">
      <c r="A31" s="4" t="s">
        <v>51</v>
      </c>
      <c r="B31" s="15"/>
      <c r="C31" s="17"/>
      <c r="D31" s="31">
        <v>0</v>
      </c>
    </row>
    <row r="32" spans="1:4" ht="12.75">
      <c r="A32" s="4" t="s">
        <v>39</v>
      </c>
      <c r="B32" s="15"/>
      <c r="C32" s="17"/>
      <c r="D32" s="31">
        <v>935</v>
      </c>
    </row>
    <row r="33" spans="1:8" ht="12.75">
      <c r="A33" s="4" t="s">
        <v>5</v>
      </c>
      <c r="B33" s="15"/>
      <c r="C33" s="17"/>
      <c r="D33" s="31">
        <v>178</v>
      </c>
      <c r="H33" s="70"/>
    </row>
    <row r="34" spans="1:8" ht="12.75">
      <c r="A34" s="4" t="s">
        <v>6</v>
      </c>
      <c r="B34" s="15"/>
      <c r="C34" s="17"/>
      <c r="D34" s="31">
        <v>356</v>
      </c>
      <c r="H34" t="s">
        <v>241</v>
      </c>
    </row>
    <row r="35" spans="1:4" ht="12.75">
      <c r="A35" s="4" t="s">
        <v>9</v>
      </c>
      <c r="B35" s="32">
        <v>0</v>
      </c>
      <c r="C35" s="32">
        <v>0</v>
      </c>
      <c r="D35" s="49">
        <v>0</v>
      </c>
    </row>
    <row r="36" spans="1:4" ht="12.75">
      <c r="A36" s="4" t="s">
        <v>145</v>
      </c>
      <c r="B36" s="31"/>
      <c r="C36" s="32"/>
      <c r="D36" s="49">
        <v>0</v>
      </c>
    </row>
    <row r="37" spans="1:4" ht="12.75">
      <c r="A37" s="4" t="s">
        <v>128</v>
      </c>
      <c r="B37" s="18"/>
      <c r="C37" s="17"/>
      <c r="D37" s="36">
        <v>149</v>
      </c>
    </row>
    <row r="38" spans="1:4" ht="12.75">
      <c r="A38" s="20" t="s">
        <v>40</v>
      </c>
      <c r="B38" s="18"/>
      <c r="C38" s="18"/>
      <c r="D38" s="53">
        <f>SUM(D5:D37)</f>
        <v>11010</v>
      </c>
    </row>
    <row r="39" ht="12.75">
      <c r="A39" s="23" t="s">
        <v>203</v>
      </c>
    </row>
  </sheetData>
  <mergeCells count="3">
    <mergeCell ref="B3:D3"/>
    <mergeCell ref="A1:D1"/>
    <mergeCell ref="A2:D2"/>
  </mergeCells>
  <printOptions/>
  <pageMargins left="0.75" right="0.23" top="1" bottom="0.74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2:D43"/>
  <sheetViews>
    <sheetView workbookViewId="0" topLeftCell="A9">
      <selection activeCell="O9" sqref="O9"/>
    </sheetView>
  </sheetViews>
  <sheetFormatPr defaultColWidth="9.140625" defaultRowHeight="12.75"/>
  <cols>
    <col min="1" max="1" width="12.140625" style="0" customWidth="1"/>
    <col min="2" max="2" width="15.57421875" style="0" customWidth="1"/>
    <col min="3" max="3" width="16.28125" style="0" customWidth="1"/>
    <col min="4" max="4" width="14.57421875" style="0" customWidth="1"/>
  </cols>
  <sheetData>
    <row r="2" ht="18">
      <c r="A2" s="25" t="s">
        <v>300</v>
      </c>
    </row>
    <row r="3" spans="1:4" ht="12.75">
      <c r="A3" s="13"/>
      <c r="B3" s="273" t="s">
        <v>40</v>
      </c>
      <c r="C3" s="274"/>
      <c r="D3" s="275"/>
    </row>
    <row r="4" spans="2:4" ht="12.75">
      <c r="B4" s="21" t="s">
        <v>41</v>
      </c>
      <c r="C4" s="21" t="s">
        <v>42</v>
      </c>
      <c r="D4" s="22" t="s">
        <v>43</v>
      </c>
    </row>
    <row r="5" spans="1:4" ht="12.75">
      <c r="A5" s="4" t="s">
        <v>0</v>
      </c>
      <c r="B5" s="52">
        <f>SUM('FY07 PB'!B6)</f>
        <v>4688307</v>
      </c>
      <c r="C5" s="51">
        <v>0.17103615733187058</v>
      </c>
      <c r="D5" s="54">
        <f>ROUND(C5*$D$43,0)+1</f>
        <v>308</v>
      </c>
    </row>
    <row r="6" spans="1:4" ht="12.75">
      <c r="A6" s="4" t="s">
        <v>15</v>
      </c>
      <c r="B6" s="49">
        <f>SUM('FY07 PB'!B7)</f>
        <v>2865993</v>
      </c>
      <c r="C6" s="51">
        <v>0.104555531380526</v>
      </c>
      <c r="D6" s="49">
        <f>ROUND(C6*$D$43,0)</f>
        <v>188</v>
      </c>
    </row>
    <row r="7" spans="1:4" ht="12.75">
      <c r="A7" s="4" t="s">
        <v>16</v>
      </c>
      <c r="B7" s="49">
        <f>SUM('FY07 PB'!B8)</f>
        <v>381434</v>
      </c>
      <c r="C7" s="51">
        <v>0.013915258884651692</v>
      </c>
      <c r="D7" s="49">
        <f aca="true" t="shared" si="0" ref="D7:D28">ROUND(C7*$D$43,0)</f>
        <v>25</v>
      </c>
    </row>
    <row r="8" spans="1:4" ht="12.75">
      <c r="A8" s="4" t="s">
        <v>17</v>
      </c>
      <c r="B8" s="49">
        <f>SUM('FY07 PB'!B9)</f>
        <v>1823846</v>
      </c>
      <c r="C8" s="51">
        <v>0.06653651550657899</v>
      </c>
      <c r="D8" s="49">
        <f t="shared" si="0"/>
        <v>119</v>
      </c>
    </row>
    <row r="9" spans="1:4" ht="12.75">
      <c r="A9" s="4" t="s">
        <v>18</v>
      </c>
      <c r="B9" s="49">
        <f>SUM('FY07 PB'!B10)</f>
        <v>1506344</v>
      </c>
      <c r="C9" s="51">
        <v>0.054953587591409704</v>
      </c>
      <c r="D9" s="49">
        <f t="shared" si="0"/>
        <v>99</v>
      </c>
    </row>
    <row r="10" spans="1:4" ht="12.75">
      <c r="A10" s="4" t="s">
        <v>19</v>
      </c>
      <c r="B10" s="49">
        <f>SUM('FY07 PB'!B11)</f>
        <v>4343644</v>
      </c>
      <c r="C10" s="51">
        <v>0.15846235721714377</v>
      </c>
      <c r="D10" s="49">
        <f t="shared" si="0"/>
        <v>285</v>
      </c>
    </row>
    <row r="11" spans="1:4" ht="12.75">
      <c r="A11" s="4" t="s">
        <v>20</v>
      </c>
      <c r="B11" s="49">
        <f>SUM('FY07 PB'!B12)</f>
        <v>1900262</v>
      </c>
      <c r="C11" s="51">
        <v>0.06932428068464268</v>
      </c>
      <c r="D11" s="49">
        <f t="shared" si="0"/>
        <v>125</v>
      </c>
    </row>
    <row r="12" spans="1:4" ht="12.75">
      <c r="A12" s="4" t="s">
        <v>21</v>
      </c>
      <c r="B12" s="49">
        <f>SUM('FY07 PB'!B13)</f>
        <v>1242239</v>
      </c>
      <c r="C12" s="51">
        <v>0.04531865874990387</v>
      </c>
      <c r="D12" s="49">
        <f t="shared" si="0"/>
        <v>81</v>
      </c>
    </row>
    <row r="13" spans="1:4" ht="12.75">
      <c r="A13" s="4" t="s">
        <v>22</v>
      </c>
      <c r="B13" s="49">
        <f>SUM('FY07 PB'!B14)</f>
        <v>653375</v>
      </c>
      <c r="C13" s="51">
        <v>0.023836056234523666</v>
      </c>
      <c r="D13" s="49">
        <f t="shared" si="0"/>
        <v>43</v>
      </c>
    </row>
    <row r="14" spans="1:4" ht="12.75">
      <c r="A14" s="4" t="s">
        <v>23</v>
      </c>
      <c r="B14" s="49">
        <f>SUM('FY07 PB'!B15)</f>
        <v>629630</v>
      </c>
      <c r="C14" s="51">
        <v>0.02296980460982305</v>
      </c>
      <c r="D14" s="49">
        <f t="shared" si="0"/>
        <v>41</v>
      </c>
    </row>
    <row r="15" spans="1:4" ht="12.75">
      <c r="A15" s="4" t="s">
        <v>24</v>
      </c>
      <c r="B15" s="49">
        <f>SUM('FY07 PB'!B16)</f>
        <v>1027276</v>
      </c>
      <c r="C15" s="51">
        <v>0.03747650048498417</v>
      </c>
      <c r="D15" s="49">
        <f t="shared" si="0"/>
        <v>67</v>
      </c>
    </row>
    <row r="16" spans="1:4" ht="12.75">
      <c r="A16" s="4" t="s">
        <v>25</v>
      </c>
      <c r="B16" s="49">
        <f>SUM('FY07 PB'!B17)</f>
        <v>498443</v>
      </c>
      <c r="C16" s="51">
        <v>0.01818391486926295</v>
      </c>
      <c r="D16" s="49">
        <f t="shared" si="0"/>
        <v>33</v>
      </c>
    </row>
    <row r="17" spans="1:4" ht="12.75">
      <c r="A17" s="4" t="s">
        <v>26</v>
      </c>
      <c r="B17" s="49">
        <f>SUM('FY07 PB'!B18)</f>
        <v>386829</v>
      </c>
      <c r="C17" s="51">
        <v>0.014112076215258548</v>
      </c>
      <c r="D17" s="49">
        <f t="shared" si="0"/>
        <v>25</v>
      </c>
    </row>
    <row r="18" spans="1:4" ht="12.75">
      <c r="A18" s="4" t="s">
        <v>27</v>
      </c>
      <c r="B18" s="49">
        <f>SUM('FY07 PB'!B19)</f>
        <v>1377969</v>
      </c>
      <c r="C18" s="51">
        <v>0.05027028364022244</v>
      </c>
      <c r="D18" s="49">
        <f t="shared" si="0"/>
        <v>90</v>
      </c>
    </row>
    <row r="19" spans="1:4" ht="12.75">
      <c r="A19" s="4" t="s">
        <v>28</v>
      </c>
      <c r="B19" s="49">
        <f>SUM('FY07 PB'!B20)</f>
        <v>982820</v>
      </c>
      <c r="C19" s="51">
        <v>0.035854681903064164</v>
      </c>
      <c r="D19" s="49">
        <f t="shared" si="0"/>
        <v>64</v>
      </c>
    </row>
    <row r="20" spans="1:4" ht="12.75">
      <c r="A20" s="4" t="s">
        <v>29</v>
      </c>
      <c r="B20" s="49">
        <f>SUM('FY07 PB'!B21)</f>
        <v>428087</v>
      </c>
      <c r="C20" s="51">
        <v>0.015617227174698345</v>
      </c>
      <c r="D20" s="49">
        <f t="shared" si="0"/>
        <v>28</v>
      </c>
    </row>
    <row r="21" spans="1:4" ht="12.75">
      <c r="A21" s="4" t="s">
        <v>30</v>
      </c>
      <c r="B21" s="49">
        <f>SUM('FY07 PB'!B22)</f>
        <v>134902</v>
      </c>
      <c r="C21" s="51">
        <v>0.004921418263860281</v>
      </c>
      <c r="D21" s="49">
        <f t="shared" si="0"/>
        <v>9</v>
      </c>
    </row>
    <row r="22" spans="1:4" ht="12.75">
      <c r="A22" s="4" t="s">
        <v>31</v>
      </c>
      <c r="B22" s="49">
        <f>SUM('FY07 PB'!B23)</f>
        <v>477112</v>
      </c>
      <c r="C22" s="51">
        <v>0.01740572942363276</v>
      </c>
      <c r="D22" s="49">
        <f t="shared" si="0"/>
        <v>31</v>
      </c>
    </row>
    <row r="23" spans="1:4" ht="12.75">
      <c r="A23" s="4" t="s">
        <v>32</v>
      </c>
      <c r="B23" s="49">
        <f>SUM('FY07 PB'!B24)</f>
        <v>291291</v>
      </c>
      <c r="C23" s="51">
        <v>0.010626713076886372</v>
      </c>
      <c r="D23" s="49">
        <f t="shared" si="0"/>
        <v>19</v>
      </c>
    </row>
    <row r="24" spans="1:4" ht="12.75">
      <c r="A24" s="4" t="s">
        <v>33</v>
      </c>
      <c r="B24" s="49">
        <f>SUM('FY07 PB'!B25)</f>
        <v>1084985</v>
      </c>
      <c r="C24" s="51">
        <v>0.03958180749740143</v>
      </c>
      <c r="D24" s="49">
        <f t="shared" si="0"/>
        <v>71</v>
      </c>
    </row>
    <row r="25" spans="1:4" ht="12.75">
      <c r="A25" s="4" t="s">
        <v>34</v>
      </c>
      <c r="B25" s="49">
        <f>SUM('FY07 PB'!B26)</f>
        <v>119099</v>
      </c>
      <c r="C25" s="51">
        <v>0.004344902179415395</v>
      </c>
      <c r="D25" s="49">
        <f t="shared" si="0"/>
        <v>8</v>
      </c>
    </row>
    <row r="26" spans="1:4" ht="12.75">
      <c r="A26" s="4" t="s">
        <v>35</v>
      </c>
      <c r="B26" s="49">
        <f>SUM('FY07 PB'!B27)</f>
        <v>191954</v>
      </c>
      <c r="C26" s="51">
        <v>0.007002756974848679</v>
      </c>
      <c r="D26" s="49">
        <f t="shared" si="0"/>
        <v>13</v>
      </c>
    </row>
    <row r="27" spans="1:4" ht="12.75">
      <c r="A27" s="4" t="s">
        <v>36</v>
      </c>
      <c r="B27" s="49">
        <f>SUM('FY07 PB'!B28)</f>
        <v>65876</v>
      </c>
      <c r="C27" s="51">
        <v>0.0024032508750801316</v>
      </c>
      <c r="D27" s="49">
        <f t="shared" si="0"/>
        <v>4</v>
      </c>
    </row>
    <row r="28" spans="1:4" ht="12.75">
      <c r="A28" s="4" t="s">
        <v>37</v>
      </c>
      <c r="B28" s="49">
        <f>SUM('FY07 PB'!B29)</f>
        <v>309487</v>
      </c>
      <c r="C28" s="51">
        <v>0.011290529230310351</v>
      </c>
      <c r="D28" s="49">
        <f t="shared" si="0"/>
        <v>20</v>
      </c>
    </row>
    <row r="29" spans="1:4" ht="12.75">
      <c r="A29" s="4" t="s">
        <v>38</v>
      </c>
      <c r="B29" s="49">
        <v>0</v>
      </c>
      <c r="C29" s="49"/>
      <c r="D29" s="49"/>
    </row>
    <row r="30" spans="1:4" ht="12.75">
      <c r="A30" s="4" t="s">
        <v>8</v>
      </c>
      <c r="B30" s="49">
        <v>0</v>
      </c>
      <c r="C30" s="49"/>
      <c r="D30" s="49"/>
    </row>
    <row r="31" spans="1:4" ht="12.75">
      <c r="A31" s="4" t="s">
        <v>51</v>
      </c>
      <c r="B31" s="49">
        <v>0</v>
      </c>
      <c r="C31" s="17"/>
      <c r="D31" s="54"/>
    </row>
    <row r="32" spans="1:4" ht="12.75">
      <c r="A32" s="4" t="s">
        <v>39</v>
      </c>
      <c r="B32" s="49">
        <v>0</v>
      </c>
      <c r="C32" s="17"/>
      <c r="D32" s="17"/>
    </row>
    <row r="33" spans="1:4" ht="12.75">
      <c r="A33" s="4" t="s">
        <v>5</v>
      </c>
      <c r="B33" s="49">
        <v>0</v>
      </c>
      <c r="C33" s="17"/>
      <c r="D33" s="17"/>
    </row>
    <row r="34" spans="1:4" ht="12.75">
      <c r="A34" s="4" t="s">
        <v>6</v>
      </c>
      <c r="B34" s="49">
        <v>0</v>
      </c>
      <c r="C34" s="17"/>
      <c r="D34" s="17"/>
    </row>
    <row r="35" spans="1:4" ht="12.75">
      <c r="A35" s="4" t="s">
        <v>9</v>
      </c>
      <c r="B35" s="49">
        <v>0</v>
      </c>
      <c r="C35" s="32"/>
      <c r="D35" s="49"/>
    </row>
    <row r="36" spans="1:4" ht="12.75">
      <c r="A36" s="125" t="s">
        <v>145</v>
      </c>
      <c r="B36" s="31">
        <v>0</v>
      </c>
      <c r="C36" s="32"/>
      <c r="D36" s="49"/>
    </row>
    <row r="37" spans="1:4" ht="12.75">
      <c r="A37" s="4" t="s">
        <v>128</v>
      </c>
      <c r="B37" s="126">
        <v>0</v>
      </c>
      <c r="C37" s="17"/>
      <c r="D37" s="18"/>
    </row>
    <row r="38" spans="1:4" ht="12.75">
      <c r="A38" s="20" t="s">
        <v>40</v>
      </c>
      <c r="B38" s="50">
        <f>SUM(B5:B37)</f>
        <v>27411204</v>
      </c>
      <c r="C38" s="47">
        <v>1</v>
      </c>
      <c r="D38" s="50">
        <f>SUM(D5:D37)</f>
        <v>1796</v>
      </c>
    </row>
    <row r="39" ht="12.75">
      <c r="A39" s="112" t="s">
        <v>317</v>
      </c>
    </row>
    <row r="43" ht="12.75">
      <c r="D43" s="183">
        <v>1796</v>
      </c>
    </row>
  </sheetData>
  <mergeCells count="1">
    <mergeCell ref="B3:D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StoneC</dc:creator>
  <cp:keywords/>
  <dc:description/>
  <cp:lastModifiedBy> </cp:lastModifiedBy>
  <cp:lastPrinted>2007-06-08T17:43:32Z</cp:lastPrinted>
  <dcterms:created xsi:type="dcterms:W3CDTF">2002-06-03T18:58:59Z</dcterms:created>
  <dcterms:modified xsi:type="dcterms:W3CDTF">2007-07-27T13:44:54Z</dcterms:modified>
  <cp:category/>
  <cp:version/>
  <cp:contentType/>
  <cp:contentStatus/>
</cp:coreProperties>
</file>